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GRAND OUEST (PB)/2COUR-122/"/>
    </mc:Choice>
  </mc:AlternateContent>
  <xr:revisionPtr revIDLastSave="136" documentId="11_832EBC973FF36A9F0A417D33E5FDCA6337D90D96" xr6:coauthVersionLast="47" xr6:coauthVersionMax="47" xr10:uidLastSave="{99498FE1-23D8-4E69-B6D6-F940C58C066B}"/>
  <bookViews>
    <workbookView xWindow="2868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9" i="6" l="1"/>
  <c r="E268" i="6"/>
  <c r="E237" i="6"/>
  <c r="E206" i="6"/>
  <c r="E175" i="6"/>
  <c r="E144" i="6"/>
  <c r="E113" i="6"/>
  <c r="E82" i="6"/>
  <c r="E51" i="6"/>
  <c r="E20" i="6"/>
  <c r="E298" i="6"/>
  <c r="E267" i="6"/>
  <c r="E236" i="6"/>
  <c r="E205" i="6"/>
  <c r="E174" i="6"/>
  <c r="E143" i="6"/>
  <c r="E112" i="6"/>
  <c r="E81" i="6"/>
  <c r="E50" i="6"/>
  <c r="E19" i="6"/>
  <c r="E297" i="6"/>
  <c r="E266" i="6"/>
  <c r="E235" i="6"/>
  <c r="E204" i="6"/>
  <c r="E173" i="6"/>
  <c r="E142" i="6"/>
  <c r="E111" i="6"/>
  <c r="E80" i="6"/>
  <c r="E49" i="6"/>
  <c r="E18" i="6"/>
  <c r="E110" i="6"/>
  <c r="E141" i="6"/>
  <c r="E265" i="6"/>
  <c r="E296" i="6" l="1"/>
  <c r="E234" i="6"/>
  <c r="E203" i="6"/>
  <c r="E172" i="6"/>
  <c r="E79" i="6"/>
  <c r="E48" i="6"/>
  <c r="E17" i="6"/>
  <c r="I20" i="6" l="1"/>
  <c r="I21" i="6"/>
  <c r="F9" i="1" l="1" a="1"/>
  <c r="F9" i="1" s="1"/>
  <c r="F10" i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HH155" i="2"/>
  <c r="EA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FS156" i="2"/>
  <c r="ED155" i="2"/>
  <c r="HH156" i="2"/>
  <c r="EX156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H157" i="2"/>
  <c r="EX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D157" i="2"/>
  <c r="EC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FS160" i="2"/>
  <c r="HG160" i="2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HG161" i="2"/>
  <c r="HH161" i="2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EC162" i="2"/>
  <c r="DI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ED162" i="2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Y163" i="2"/>
  <c r="ED163" i="2"/>
  <c r="HG164" i="2"/>
  <c r="FS164" i="2"/>
  <c r="FR164" i="2"/>
  <c r="EX164" i="2"/>
  <c r="DI163" i="2"/>
  <c r="D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EA165" i="2"/>
  <c r="ED165" i="2" s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FS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H167" i="2"/>
  <c r="FR167" i="2"/>
  <c r="EY166" i="2"/>
  <c r="EX167" i="2"/>
  <c r="EC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I167" i="2"/>
  <c r="EW168" i="2"/>
  <c r="EC168" i="2"/>
  <c r="EB168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B172" i="2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HH173" i="2"/>
  <c r="EW173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HG178" i="2"/>
  <c r="EB178" i="2"/>
  <c r="EA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A179" i="2"/>
  <c r="EB179" i="2"/>
  <c r="EV179" i="2"/>
  <c r="DF179" i="2"/>
  <c r="HG179" i="2"/>
  <c r="HI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R186" i="2"/>
  <c r="EW186" i="2"/>
  <c r="EB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V190" i="2"/>
  <c r="ED189" i="2"/>
  <c r="HH190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V192" i="2"/>
  <c r="HH192" i="2"/>
  <c r="EB192" i="2"/>
  <c r="EW192" i="2"/>
  <c r="EY192" i="2" s="1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FQ193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HG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Y194" i="2" l="1"/>
  <c r="EA195" i="2"/>
  <c r="EB195" i="2"/>
  <c r="ED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Y196" i="2"/>
  <c r="AA197" i="2"/>
  <c r="FS197" i="2"/>
  <c r="EC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HJ199" i="2" s="1"/>
  <c r="EW199" i="2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B201" i="2" l="1"/>
  <c r="ED200" i="2"/>
  <c r="HH201" i="2"/>
  <c r="EA201" i="2"/>
  <c r="HG201" i="2"/>
  <c r="FS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HH202" i="2"/>
  <c r="FS202" i="2"/>
  <c r="EY201" i="2"/>
  <c r="ED201" i="2"/>
  <c r="EW202" i="2"/>
  <c r="FR202" i="2"/>
  <c r="HG202" i="2"/>
  <c r="HJ202" i="2" s="1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91" i="2" a="1"/>
  <c r="FY191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84" i="2" a="1"/>
  <c r="GT184" i="2" s="1"/>
  <c r="GT152" i="2" a="1"/>
  <c r="GT152" i="2" s="1"/>
  <c r="EI106" i="2" a="1"/>
  <c r="EI106" i="2" s="1"/>
  <c r="DN155" i="2" a="1"/>
  <c r="DN155" i="2" s="1"/>
  <c r="CS66" i="2" a="1"/>
  <c r="CS66" i="2" s="1"/>
  <c r="DN186" i="2" a="1"/>
  <c r="DN186" i="2" s="1"/>
  <c r="DN152" i="2" a="1"/>
  <c r="DN152" i="2" s="1"/>
  <c r="DN184" i="2" a="1"/>
  <c r="DN184" i="2" s="1"/>
  <c r="DN25" i="2" a="1"/>
  <c r="DN25" i="2" s="1"/>
  <c r="DN50" i="2" a="1"/>
  <c r="DN50" i="2" s="1"/>
  <c r="DN129" i="2" a="1"/>
  <c r="DN129" i="2" s="1"/>
  <c r="DN170" i="2" a="1"/>
  <c r="DN170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78" i="2" a="1"/>
  <c r="GT178" i="2" s="1"/>
  <c r="GT138" i="2" a="1"/>
  <c r="GT138" i="2" s="1"/>
  <c r="EI57" i="2" a="1"/>
  <c r="EI57" i="2" s="1"/>
  <c r="EI170" i="2" a="1"/>
  <c r="EI170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AX200" i="2"/>
  <c r="GT115" i="2" l="1" a="1"/>
  <c r="GT115" i="2" s="1"/>
  <c r="GT133" i="2" a="1"/>
  <c r="GT133" i="2" s="1"/>
  <c r="GT190" i="2" a="1"/>
  <c r="GT190" i="2" s="1"/>
  <c r="GT21" i="2" a="1"/>
  <c r="GT21" i="2" s="1"/>
  <c r="GT121" i="2" a="1"/>
  <c r="GT121" i="2" s="1"/>
  <c r="GT107" i="2" a="1"/>
  <c r="GT107" i="2" s="1"/>
  <c r="GT198" i="2" a="1"/>
  <c r="GT198" i="2" s="1"/>
  <c r="GT191" i="2" a="1"/>
  <c r="GT191" i="2" s="1"/>
  <c r="GT12" i="2" a="1"/>
  <c r="GT12" i="2" s="1"/>
  <c r="GT122" i="2" a="1"/>
  <c r="GT122" i="2" s="1"/>
  <c r="GT33" i="2" a="1"/>
  <c r="GT33" i="2" s="1"/>
  <c r="GT38" i="2" a="1"/>
  <c r="GT38" i="2" s="1"/>
  <c r="GT11" i="2" a="1"/>
  <c r="GT11" i="2" s="1"/>
  <c r="GT51" i="2" a="1"/>
  <c r="GT51" i="2" s="1"/>
  <c r="GT174" i="2" a="1"/>
  <c r="GT174" i="2" s="1"/>
  <c r="GT126" i="2" a="1"/>
  <c r="GT126" i="2" s="1"/>
  <c r="GT102" i="2" a="1"/>
  <c r="GT102" i="2" s="1"/>
  <c r="GT68" i="2" a="1"/>
  <c r="GT68" i="2" s="1"/>
  <c r="GT189" i="2" a="1"/>
  <c r="GT189" i="2" s="1"/>
  <c r="GT15" i="2" a="1"/>
  <c r="GT15" i="2" s="1"/>
  <c r="GT74" i="2" a="1"/>
  <c r="GT74" i="2" s="1"/>
  <c r="GT147" i="2" a="1"/>
  <c r="GT147" i="2" s="1"/>
  <c r="GT181" i="2" a="1"/>
  <c r="GT181" i="2" s="1"/>
  <c r="FY186" i="2" a="1"/>
  <c r="FY186" i="2" s="1"/>
  <c r="FY69" i="2" a="1"/>
  <c r="FY69" i="2" s="1"/>
  <c r="FY35" i="2" a="1"/>
  <c r="FY35" i="2" s="1"/>
  <c r="FY22" i="2" a="1"/>
  <c r="FY22" i="2" s="1"/>
  <c r="EI16" i="2" a="1"/>
  <c r="EI16" i="2" s="1"/>
  <c r="EI153" i="2" a="1"/>
  <c r="EI153" i="2" s="1"/>
  <c r="EI113" i="2" a="1"/>
  <c r="EI113" i="2" s="1"/>
  <c r="EI142" i="2" a="1"/>
  <c r="EI142" i="2" s="1"/>
  <c r="EI109" i="2" a="1"/>
  <c r="EI109" i="2" s="1"/>
  <c r="EI87" i="2" a="1"/>
  <c r="EI87" i="2" s="1"/>
  <c r="EI166" i="2" a="1"/>
  <c r="EI166" i="2" s="1"/>
  <c r="EI128" i="2" a="1"/>
  <c r="EI128" i="2" s="1"/>
  <c r="EI178" i="2" a="1"/>
  <c r="EI178" i="2" s="1"/>
  <c r="EI37" i="2" a="1"/>
  <c r="EI37" i="2" s="1"/>
  <c r="EI20" i="2" a="1"/>
  <c r="EI20" i="2" s="1"/>
  <c r="EI145" i="2" a="1"/>
  <c r="EI145" i="2" s="1"/>
  <c r="EI35" i="2" a="1"/>
  <c r="EI35" i="2" s="1"/>
  <c r="EI162" i="2" a="1"/>
  <c r="EI162" i="2" s="1"/>
  <c r="EI139" i="2" a="1"/>
  <c r="EI139" i="2" s="1"/>
  <c r="EI165" i="2" a="1"/>
  <c r="EI165" i="2" s="1"/>
  <c r="EI150" i="2" a="1"/>
  <c r="EI150" i="2" s="1"/>
  <c r="EI36" i="2" a="1"/>
  <c r="EI36" i="2" s="1"/>
  <c r="EI198" i="2" a="1"/>
  <c r="EI198" i="2" s="1"/>
  <c r="EI38" i="2" a="1"/>
  <c r="EI38" i="2" s="1"/>
  <c r="EI34" i="2" a="1"/>
  <c r="EI34" i="2" s="1"/>
  <c r="EI67" i="2" a="1"/>
  <c r="EI67" i="2" s="1"/>
  <c r="EI71" i="2" a="1"/>
  <c r="EI71" i="2" s="1"/>
  <c r="EI29" i="2" a="1"/>
  <c r="EI29" i="2" s="1"/>
  <c r="DN124" i="2" a="1"/>
  <c r="DN124" i="2" s="1"/>
  <c r="DN153" i="2" a="1"/>
  <c r="DN153" i="2" s="1"/>
  <c r="DN29" i="2" a="1"/>
  <c r="DN29" i="2" s="1"/>
  <c r="DN41" i="2" a="1"/>
  <c r="DN41" i="2" s="1"/>
  <c r="DN43" i="2" a="1"/>
  <c r="DN43" i="2" s="1"/>
  <c r="DN113" i="2" a="1"/>
  <c r="DN113" i="2" s="1"/>
  <c r="DN137" i="2" a="1"/>
  <c r="DN137" i="2" s="1"/>
  <c r="FR203" i="2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80" i="2" l="1"/>
  <c r="GZ146" i="2"/>
  <c r="GZ72" i="2"/>
  <c r="GZ59" i="2"/>
  <c r="GZ102" i="2"/>
  <c r="GZ31" i="2"/>
  <c r="GZ61" i="2"/>
  <c r="GZ131" i="2"/>
  <c r="GZ144" i="2"/>
  <c r="GZ127" i="2"/>
  <c r="GZ10" i="2"/>
  <c r="GZ176" i="2"/>
  <c r="GZ9" i="2"/>
  <c r="GZ51" i="2"/>
  <c r="GZ52" i="2"/>
  <c r="GZ64" i="2"/>
  <c r="GZ175" i="2"/>
  <c r="GZ165" i="2"/>
  <c r="GZ92" i="2"/>
  <c r="GZ53" i="2"/>
  <c r="GZ113" i="2"/>
  <c r="GZ17" i="2"/>
  <c r="GZ156" i="2"/>
  <c r="GZ105" i="2"/>
  <c r="GZ129" i="2"/>
  <c r="GZ30" i="2"/>
  <c r="GZ16" i="2"/>
  <c r="GZ119" i="2"/>
  <c r="GZ5" i="2"/>
  <c r="GZ7" i="2"/>
  <c r="GZ55" i="2"/>
  <c r="GZ75" i="2"/>
  <c r="GZ199" i="2"/>
  <c r="GZ22" i="2"/>
  <c r="GZ95" i="2"/>
  <c r="GZ187" i="2"/>
  <c r="GZ44" i="2"/>
  <c r="GZ200" i="2"/>
  <c r="GZ122" i="2"/>
  <c r="GZ162" i="2"/>
  <c r="GZ172" i="2"/>
  <c r="GZ161" i="2"/>
  <c r="GZ203" i="2"/>
  <c r="GZ153" i="2"/>
  <c r="GZ168" i="2"/>
  <c r="GZ167" i="2"/>
  <c r="GZ21" i="2"/>
  <c r="GZ115" i="2"/>
  <c r="GZ135" i="2"/>
  <c r="GZ112" i="2"/>
  <c r="GZ81" i="2"/>
  <c r="GZ77" i="2"/>
  <c r="GZ24" i="2"/>
  <c r="GZ166" i="2"/>
  <c r="GZ85" i="2"/>
  <c r="GZ14" i="2"/>
  <c r="GZ89" i="2"/>
  <c r="GZ160" i="2"/>
  <c r="GZ103" i="2"/>
  <c r="GZ84" i="2"/>
  <c r="GZ76" i="2"/>
  <c r="GZ43" i="2"/>
  <c r="GZ191" i="2"/>
  <c r="GZ78" i="2"/>
  <c r="GZ48" i="2"/>
  <c r="GZ99" i="2"/>
  <c r="GZ196" i="2"/>
  <c r="GZ87" i="2"/>
  <c r="GZ136" i="2"/>
  <c r="GZ35" i="2"/>
  <c r="GZ158" i="2"/>
  <c r="GZ45" i="2"/>
  <c r="GZ8" i="2"/>
  <c r="GZ178" i="2"/>
  <c r="GZ147" i="2"/>
  <c r="GZ74" i="2"/>
  <c r="GZ173" i="2"/>
  <c r="GZ23" i="2"/>
  <c r="GZ94" i="2"/>
  <c r="GZ149" i="2"/>
  <c r="GZ50" i="2"/>
  <c r="GZ108" i="2"/>
  <c r="GZ125" i="2"/>
  <c r="GZ37" i="2"/>
  <c r="GZ177" i="2"/>
  <c r="GZ96" i="2"/>
  <c r="GZ114" i="2"/>
  <c r="GZ121" i="2"/>
  <c r="GZ130" i="2"/>
  <c r="GZ185" i="2"/>
  <c r="GZ88" i="2"/>
  <c r="GZ126" i="2"/>
  <c r="GZ134" i="2"/>
  <c r="GZ201" i="2"/>
  <c r="GZ193" i="2"/>
  <c r="GZ194" i="2"/>
  <c r="GZ57" i="2"/>
  <c r="GZ124" i="2"/>
  <c r="GZ71" i="2"/>
  <c r="GZ198" i="2"/>
  <c r="GZ90" i="2"/>
  <c r="GZ179" i="2"/>
  <c r="GZ189" i="2"/>
  <c r="GZ145" i="2"/>
  <c r="GZ155" i="2"/>
  <c r="GZ27" i="2"/>
  <c r="GZ54" i="2"/>
  <c r="GZ116" i="2"/>
  <c r="GZ192" i="2"/>
  <c r="GZ91" i="2"/>
  <c r="GZ186" i="2"/>
  <c r="GZ157" i="2"/>
  <c r="GZ98" i="2"/>
  <c r="GZ6" i="2"/>
  <c r="GZ70" i="2"/>
  <c r="GZ86" i="2"/>
  <c r="GZ123" i="2"/>
  <c r="GZ38" i="2"/>
  <c r="GZ197" i="2"/>
  <c r="GZ174" i="2"/>
  <c r="GZ36" i="2"/>
  <c r="GZ195" i="2"/>
  <c r="GZ69" i="2"/>
  <c r="GZ93" i="2"/>
  <c r="GZ67" i="2"/>
  <c r="GZ82" i="2"/>
  <c r="GZ12" i="2"/>
  <c r="GZ62" i="2"/>
  <c r="GZ80" i="2"/>
  <c r="GZ188" i="2"/>
  <c r="GZ142" i="2"/>
  <c r="GZ68" i="2"/>
  <c r="GZ47" i="2"/>
  <c r="GZ100" i="2"/>
  <c r="GZ184" i="2"/>
  <c r="GZ56" i="2"/>
  <c r="GZ18" i="2"/>
  <c r="GZ151" i="2"/>
  <c r="GZ11" i="2"/>
  <c r="GZ49" i="2"/>
  <c r="GZ181" i="2"/>
  <c r="GZ152" i="2"/>
  <c r="GZ42" i="2"/>
  <c r="GZ169" i="2"/>
  <c r="GZ73" i="2"/>
  <c r="GZ182" i="2"/>
  <c r="GZ141" i="2"/>
  <c r="GZ139" i="2"/>
  <c r="GZ120" i="2"/>
  <c r="GZ154" i="2"/>
  <c r="GZ46" i="2"/>
  <c r="GZ13" i="2"/>
  <c r="GZ97" i="2"/>
  <c r="GZ66" i="2"/>
  <c r="GZ159" i="2"/>
  <c r="GZ109" i="2"/>
  <c r="GZ32" i="2"/>
  <c r="GZ111" i="2"/>
  <c r="GZ133" i="2"/>
  <c r="GZ20" i="2"/>
  <c r="GZ104" i="2"/>
  <c r="GZ140" i="2"/>
  <c r="GZ65" i="2"/>
  <c r="GZ164" i="2"/>
  <c r="GZ143" i="2"/>
  <c r="GZ58" i="2"/>
  <c r="GZ138" i="2"/>
  <c r="GZ40" i="2"/>
  <c r="GZ171" i="2"/>
  <c r="GZ163" i="2"/>
  <c r="GZ150" i="2"/>
  <c r="GZ132" i="2"/>
  <c r="GZ26" i="2"/>
  <c r="GZ170" i="2"/>
  <c r="GZ63" i="2"/>
  <c r="GZ29" i="2"/>
  <c r="GZ137" i="2"/>
  <c r="GZ41" i="2"/>
  <c r="GZ128" i="2"/>
  <c r="GZ118" i="2"/>
  <c r="GZ107" i="2"/>
  <c r="GZ148" i="2"/>
  <c r="GZ33" i="2"/>
  <c r="GZ110" i="2"/>
  <c r="GZ25" i="2"/>
  <c r="GZ34" i="2"/>
  <c r="GZ19" i="2"/>
  <c r="GZ15" i="2"/>
  <c r="GZ28" i="2"/>
  <c r="GZ83" i="2"/>
  <c r="GZ106" i="2"/>
  <c r="GZ183" i="2"/>
  <c r="GZ117" i="2"/>
  <c r="GZ101" i="2"/>
  <c r="GZ79" i="2"/>
  <c r="GZ4" i="2"/>
  <c r="GZ39" i="2"/>
  <c r="GZ190" i="2"/>
  <c r="GZ60" i="2"/>
  <c r="GZ202" i="2"/>
  <c r="GZ3" i="2"/>
  <c r="C15" i="4" s="1"/>
  <c r="E15" i="4" s="1"/>
  <c r="F15" i="4" s="1"/>
  <c r="G15" i="4" s="1"/>
  <c r="L15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68" i="2" l="1"/>
  <c r="BI136" i="2"/>
  <c r="BI137" i="2"/>
  <c r="BI176" i="2"/>
  <c r="BI145" i="2"/>
  <c r="BI30" i="2"/>
  <c r="BI177" i="2"/>
  <c r="BI182" i="2"/>
  <c r="BI178" i="2"/>
  <c r="BI131" i="2"/>
  <c r="BI180" i="2"/>
  <c r="BI166" i="2"/>
  <c r="BI76" i="2"/>
  <c r="BI64" i="2"/>
  <c r="BI28" i="2"/>
  <c r="BI69" i="2"/>
  <c r="BI60" i="2"/>
  <c r="BI100" i="2"/>
  <c r="BI70" i="2"/>
  <c r="BI133" i="2"/>
  <c r="BI19" i="2"/>
  <c r="BI95" i="2"/>
  <c r="BI89" i="2"/>
  <c r="BI80" i="2"/>
  <c r="BI8" i="2"/>
  <c r="BI6" i="2"/>
  <c r="BI57" i="2"/>
  <c r="BI152" i="2"/>
  <c r="BI73" i="2"/>
  <c r="BI196" i="2"/>
  <c r="BI187" i="2"/>
  <c r="BI126" i="2"/>
  <c r="BI31" i="2"/>
  <c r="BI124" i="2"/>
  <c r="BI105" i="2"/>
  <c r="BI42" i="2"/>
  <c r="BI129" i="2"/>
  <c r="BI85" i="2"/>
  <c r="BI29" i="2"/>
  <c r="BI39" i="2"/>
  <c r="BI90" i="2"/>
  <c r="BI184" i="2"/>
  <c r="BI34" i="2"/>
  <c r="BI58" i="2"/>
  <c r="BI79" i="2"/>
  <c r="BI23" i="2"/>
  <c r="BI93" i="2"/>
  <c r="BI53" i="2"/>
  <c r="BI128" i="2"/>
  <c r="BI117" i="2"/>
  <c r="BI179" i="2"/>
  <c r="BI47" i="2"/>
  <c r="BI67" i="2"/>
  <c r="BI198" i="2"/>
  <c r="BI103" i="2"/>
  <c r="BI118" i="2"/>
  <c r="BI113" i="2"/>
  <c r="BI119" i="2"/>
  <c r="BI15" i="2"/>
  <c r="BI146" i="2"/>
  <c r="BI141" i="2"/>
  <c r="BI149" i="2"/>
  <c r="BI155" i="2"/>
  <c r="BI161" i="2"/>
  <c r="BI35" i="2"/>
  <c r="BI7" i="2"/>
  <c r="BI12" i="2"/>
  <c r="BI199" i="2"/>
  <c r="BI72" i="2"/>
  <c r="BI91" i="2"/>
  <c r="BI41" i="2"/>
  <c r="BI191" i="2"/>
  <c r="BI68" i="2"/>
  <c r="BI97" i="2"/>
  <c r="BI86" i="2"/>
  <c r="BI5" i="2"/>
  <c r="BI88" i="2"/>
  <c r="BI50" i="2"/>
  <c r="BI99" i="2"/>
  <c r="BI134" i="2"/>
  <c r="BI63" i="2"/>
  <c r="BI174" i="2"/>
  <c r="BI201" i="2"/>
  <c r="BI111" i="2"/>
  <c r="BI181" i="2"/>
  <c r="BI92" i="2"/>
  <c r="BI183" i="2"/>
  <c r="BI121" i="2"/>
  <c r="BI45" i="2"/>
  <c r="BI173" i="2"/>
  <c r="BI21" i="2"/>
  <c r="BI108" i="2"/>
  <c r="BI65" i="2"/>
  <c r="BI37" i="2"/>
  <c r="BI26" i="2"/>
  <c r="BI202" i="2"/>
  <c r="BI74" i="2"/>
  <c r="BI159" i="2"/>
  <c r="BI77" i="2"/>
  <c r="BI101" i="2"/>
  <c r="BI56" i="2"/>
  <c r="BI140" i="2"/>
  <c r="BI14" i="2"/>
  <c r="BI192" i="2"/>
  <c r="BI139" i="2"/>
  <c r="BI153" i="2"/>
  <c r="BI127" i="2"/>
  <c r="BI171" i="2"/>
  <c r="BI144" i="2"/>
  <c r="BI164" i="2"/>
  <c r="BI135" i="2"/>
  <c r="BI36" i="2"/>
  <c r="BI170" i="2"/>
  <c r="BI13" i="2"/>
  <c r="BI157" i="2"/>
  <c r="BI25" i="2"/>
  <c r="BI150" i="2"/>
  <c r="BI162" i="2"/>
  <c r="BI200" i="2"/>
  <c r="BI104" i="2"/>
  <c r="BI48" i="2"/>
  <c r="BI142" i="2"/>
  <c r="BI33" i="2"/>
  <c r="BI9" i="2"/>
  <c r="BI189" i="2"/>
  <c r="BI109" i="2"/>
  <c r="BI40" i="2"/>
  <c r="BI87" i="2"/>
  <c r="BI116" i="2"/>
  <c r="BI75" i="2"/>
  <c r="BI98" i="2"/>
  <c r="BI11" i="2"/>
  <c r="BI84" i="2"/>
  <c r="BI51" i="2"/>
  <c r="BI194" i="2"/>
  <c r="BI154" i="2"/>
  <c r="BI147" i="2"/>
  <c r="BI188" i="2"/>
  <c r="BI203" i="2"/>
  <c r="BI115" i="2"/>
  <c r="BI172" i="2"/>
  <c r="BI38" i="2"/>
  <c r="BI96" i="2"/>
  <c r="BI18" i="2"/>
  <c r="BI132" i="2"/>
  <c r="BI83" i="2"/>
  <c r="BI123" i="2"/>
  <c r="BI193" i="2"/>
  <c r="BI27" i="2"/>
  <c r="BI186" i="2"/>
  <c r="BI165" i="2"/>
  <c r="BI20" i="2"/>
  <c r="BI163" i="2"/>
  <c r="BI17" i="2"/>
  <c r="BI82" i="2"/>
  <c r="BI122" i="2"/>
  <c r="BI190" i="2"/>
  <c r="BI148" i="2"/>
  <c r="BI16" i="2"/>
  <c r="BI44" i="2"/>
  <c r="BI169" i="2"/>
  <c r="BI54" i="2"/>
  <c r="BI46" i="2"/>
  <c r="BI61" i="2"/>
  <c r="BI158" i="2"/>
  <c r="BI175" i="2"/>
  <c r="BI4" i="2"/>
  <c r="BI167" i="2"/>
  <c r="BI160" i="2"/>
  <c r="BI185" i="2"/>
  <c r="BI138" i="2"/>
  <c r="BI22" i="2"/>
  <c r="BI151" i="2"/>
  <c r="BI78" i="2"/>
  <c r="BI195" i="2"/>
  <c r="BI143" i="2"/>
  <c r="BI120" i="2"/>
  <c r="BI110" i="2"/>
  <c r="BI102" i="2"/>
  <c r="BI114" i="2"/>
  <c r="BI125" i="2"/>
  <c r="BI130" i="2"/>
  <c r="BI71" i="2"/>
  <c r="BI197" i="2"/>
  <c r="BI106" i="2"/>
  <c r="BI24" i="2"/>
  <c r="BI107" i="2"/>
  <c r="BI112" i="2"/>
  <c r="BI81" i="2"/>
  <c r="BI55" i="2"/>
  <c r="BI10" i="2"/>
  <c r="BI156" i="2"/>
  <c r="BI3" i="2"/>
  <c r="C8" i="4" s="1"/>
  <c r="E8" i="4" s="1"/>
  <c r="F8" i="4" s="1"/>
  <c r="G8" i="4" s="1"/>
  <c r="L8" i="4" s="1"/>
  <c r="BI62" i="2"/>
  <c r="BI52" i="2"/>
  <c r="BI49" i="2"/>
  <c r="BI94" i="2"/>
  <c r="BI66" i="2"/>
  <c r="BI43" i="2"/>
  <c r="BI59" i="2"/>
  <c r="BI3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<sst xmlns="http://schemas.openxmlformats.org/spreadsheetml/2006/main" count="1182" uniqueCount="327">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</sst>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E016FC0A-BF1D-4807-9758-795E346C32D7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7.8416812518275494</c:v>
                </c:pt>
                <c:pt idx="2">
                  <c:v>15.334584394665216</c:v>
                </c:pt>
                <c:pt idx="3">
                  <c:v>22.714849715865025</c:v>
                </c:pt>
                <c:pt idx="4">
                  <c:v>30.025682463014238</c:v>
                </c:pt>
                <c:pt idx="5">
                  <c:v>37.286664670681112</c:v>
                </c:pt>
                <c:pt idx="6">
                  <c:v>44.508966748956091</c:v>
                </c:pt>
                <c:pt idx="7">
                  <c:v>51.699789829314369</c:v>
                </c:pt>
                <c:pt idx="8">
                  <c:v>58.864149784128841</c:v>
                </c:pt>
                <c:pt idx="9">
                  <c:v>66.005733343400635</c:v>
                </c:pt>
                <c:pt idx="10">
                  <c:v>73.127359901020441</c:v>
                </c:pt>
                <c:pt idx="11">
                  <c:v>80.231252341942835</c:v>
                </c:pt>
                <c:pt idx="12">
                  <c:v>87.319206208881965</c:v>
                </c:pt>
                <c:pt idx="13">
                  <c:v>94.392700722529355</c:v>
                </c:pt>
                <c:pt idx="14">
                  <c:v>101.45297460358488</c:v>
                </c:pt>
                <c:pt idx="15">
                  <c:v>108.50107958525473</c:v>
                </c:pt>
                <c:pt idx="16">
                  <c:v>115.53791923613043</c:v>
                </c:pt>
                <c:pt idx="17">
                  <c:v>122.56427779499695</c:v>
                </c:pt>
                <c:pt idx="18">
                  <c:v>129.58084202522676</c:v>
                </c:pt>
                <c:pt idx="19">
                  <c:v>136.58821807340979</c:v>
                </c:pt>
                <c:pt idx="20">
                  <c:v>143.58694467754751</c:v>
                </c:pt>
                <c:pt idx="21">
                  <c:v>150.57750365853744</c:v>
                </c:pt>
                <c:pt idx="22">
                  <c:v>157.56032835665889</c:v>
                </c:pt>
                <c:pt idx="23">
                  <c:v>164.5358104907921</c:v>
                </c:pt>
                <c:pt idx="24">
                  <c:v>171.50430579106953</c:v>
                </c:pt>
                <c:pt idx="25">
                  <c:v>178.46613866629886</c:v>
                </c:pt>
                <c:pt idx="26">
                  <c:v>185.42160610357715</c:v>
                </c:pt>
                <c:pt idx="27">
                  <c:v>192.3709809510899</c:v>
                </c:pt>
                <c:pt idx="28">
                  <c:v>199.31451470089735</c:v>
                </c:pt>
                <c:pt idx="29">
                  <c:v>206.25243986300856</c:v>
                </c:pt>
                <c:pt idx="30">
                  <c:v>213.18497200279739</c:v>
                </c:pt>
                <c:pt idx="31">
                  <c:v>220.11231149913181</c:v>
                </c:pt>
                <c:pt idx="32">
                  <c:v>227.03464506927492</c:v>
                </c:pt>
                <c:pt idx="33">
                  <c:v>233.95214709781916</c:v>
                </c:pt>
                <c:pt idx="34">
                  <c:v>240.86498080001115</c:v>
                </c:pt>
                <c:pt idx="35">
                  <c:v>247.77329924436927</c:v>
                </c:pt>
                <c:pt idx="36">
                  <c:v>254.677246255146</c:v>
                </c:pt>
                <c:pt idx="37">
                  <c:v>261.57695721169699</c:v>
                </c:pt>
                <c:pt idx="38">
                  <c:v>268.47255975900185</c:v>
                </c:pt>
                <c:pt idx="39">
                  <c:v>159.13424306647443</c:v>
                </c:pt>
                <c:pt idx="40">
                  <c:v>175.51556479645032</c:v>
                </c:pt>
                <c:pt idx="41">
                  <c:v>191.86098640807214</c:v>
                </c:pt>
                <c:pt idx="42">
                  <c:v>208.17399808399605</c:v>
                </c:pt>
                <c:pt idx="43">
                  <c:v>224.45749769106285</c:v>
                </c:pt>
                <c:pt idx="44">
                  <c:v>240.7139279284028</c:v>
                </c:pt>
                <c:pt idx="45">
                  <c:v>256.94537440132541</c:v>
                </c:pt>
                <c:pt idx="46">
                  <c:v>202.22829097191121</c:v>
                </c:pt>
                <c:pt idx="47">
                  <c:v>218.55599706941132</c:v>
                </c:pt>
                <c:pt idx="48">
                  <c:v>234.85567780270017</c:v>
                </c:pt>
                <c:pt idx="49">
                  <c:v>251.12955222049018</c:v>
                </c:pt>
                <c:pt idx="50">
                  <c:v>267.37952812778133</c:v>
                </c:pt>
                <c:pt idx="51">
                  <c:v>283.60726240907678</c:v>
                </c:pt>
                <c:pt idx="52">
                  <c:v>299.81420680494631</c:v>
                </c:pt>
                <c:pt idx="53">
                  <c:v>241.6852366162332</c:v>
                </c:pt>
                <c:pt idx="54">
                  <c:v>257.55058563444715</c:v>
                </c:pt>
                <c:pt idx="55">
                  <c:v>273.39384260859043</c:v>
                </c:pt>
                <c:pt idx="56">
                  <c:v>289.21646803530473</c:v>
                </c:pt>
                <c:pt idx="57">
                  <c:v>305.01974952062346</c:v>
                </c:pt>
                <c:pt idx="58">
                  <c:v>320.80483033300214</c:v>
                </c:pt>
                <c:pt idx="59">
                  <c:v>336.57273203877315</c:v>
                </c:pt>
                <c:pt idx="60">
                  <c:v>283.25886324647348</c:v>
                </c:pt>
                <c:pt idx="61">
                  <c:v>298.69552666245664</c:v>
                </c:pt>
                <c:pt idx="62">
                  <c:v>314.11441948835591</c:v>
                </c:pt>
                <c:pt idx="63">
                  <c:v>329.5165368153817</c:v>
                </c:pt>
                <c:pt idx="64">
                  <c:v>344.90277311048459</c:v>
                </c:pt>
                <c:pt idx="65">
                  <c:v>360.27393652075779</c:v>
                </c:pt>
                <c:pt idx="66">
                  <c:v>375.63076060827984</c:v>
                </c:pt>
                <c:pt idx="67">
                  <c:v>390.97391406527368</c:v>
                </c:pt>
                <c:pt idx="68">
                  <c:v>337.3982904915398</c:v>
                </c:pt>
                <c:pt idx="69">
                  <c:v>352.52277406224692</c:v>
                </c:pt>
                <c:pt idx="70">
                  <c:v>367.633038881017</c:v>
                </c:pt>
                <c:pt idx="71">
                  <c:v>382.72975159104658</c:v>
                </c:pt>
                <c:pt idx="72">
                  <c:v>397.81352195706603</c:v>
                </c:pt>
                <c:pt idx="73">
                  <c:v>412.88490973595452</c:v>
                </c:pt>
                <c:pt idx="74">
                  <c:v>427.94443049178523</c:v>
                </c:pt>
                <c:pt idx="75">
                  <c:v>442.99256054965764</c:v>
                </c:pt>
                <c:pt idx="76">
                  <c:v>387.99604929412675</c:v>
                </c:pt>
                <c:pt idx="77">
                  <c:v>402.71916140738546</c:v>
                </c:pt>
                <c:pt idx="78">
                  <c:v>417.43063383513555</c:v>
                </c:pt>
                <c:pt idx="79">
                  <c:v>432.13093449997854</c:v>
                </c:pt>
                <c:pt idx="80">
                  <c:v>446.82049689717434</c:v>
                </c:pt>
                <c:pt idx="81">
                  <c:v>461.49972369979611</c:v>
                </c:pt>
                <c:pt idx="82">
                  <c:v>476.16898988135159</c:v>
                </c:pt>
                <c:pt idx="83">
                  <c:v>490.8286454336303</c:v>
                </c:pt>
                <c:pt idx="84">
                  <c:v>426.05876215311855</c:v>
                </c:pt>
                <c:pt idx="85">
                  <c:v>440.35552328942782</c:v>
                </c:pt>
                <c:pt idx="86">
                  <c:v>454.64233594685237</c:v>
                </c:pt>
                <c:pt idx="87">
                  <c:v>468.91955672259991</c:v>
                </c:pt>
                <c:pt idx="88">
                  <c:v>483.18751873278489</c:v>
                </c:pt>
                <c:pt idx="89">
                  <c:v>497.44653382078923</c:v>
                </c:pt>
                <c:pt idx="90">
                  <c:v>511.69689449928336</c:v>
                </c:pt>
                <c:pt idx="91">
                  <c:v>525.93887566470653</c:v>
                </c:pt>
                <c:pt idx="92">
                  <c:v>540.17273611642679</c:v>
                </c:pt>
                <c:pt idx="93">
                  <c:v>554.39871990749418</c:v>
                </c:pt>
                <c:pt idx="94">
                  <c:v>462.45057577316379</c:v>
                </c:pt>
                <c:pt idx="95">
                  <c:v>476.2297193668951</c:v>
                </c:pt>
                <c:pt idx="96">
                  <c:v>490.00038431965748</c:v>
                </c:pt>
                <c:pt idx="97">
                  <c:v>503.76284242511315</c:v>
                </c:pt>
                <c:pt idx="98">
                  <c:v>517.51734941902237</c:v>
                </c:pt>
                <c:pt idx="99">
                  <c:v>531.26414633845241</c:v>
                </c:pt>
                <c:pt idx="100">
                  <c:v>545.00346073302319</c:v>
                </c:pt>
                <c:pt idx="101">
                  <c:v>558.73550774769456</c:v>
                </c:pt>
                <c:pt idx="102">
                  <c:v>572.46049109360445</c:v>
                </c:pt>
                <c:pt idx="103">
                  <c:v>586.17860392099487</c:v>
                </c:pt>
                <c:pt idx="104">
                  <c:v>494.39304365003255</c:v>
                </c:pt>
                <c:pt idx="105">
                  <c:v>507.69808885047905</c:v>
                </c:pt>
                <c:pt idx="106">
                  <c:v>520.99576594668645</c:v>
                </c:pt>
                <c:pt idx="107">
                  <c:v>534.28628945011303</c:v>
                </c:pt>
                <c:pt idx="108">
                  <c:v>547.56986233272289</c:v>
                </c:pt>
                <c:pt idx="109">
                  <c:v>560.84667691848119</c:v>
                </c:pt>
                <c:pt idx="110">
                  <c:v>574.11691568606932</c:v>
                </c:pt>
                <c:pt idx="111">
                  <c:v>587.38075199355023</c:v>
                </c:pt>
                <c:pt idx="112">
                  <c:v>600.63835073419614</c:v>
                </c:pt>
                <c:pt idx="113">
                  <c:v>613.88986893142953</c:v>
                </c:pt>
                <c:pt idx="114">
                  <c:v>521.12234181312056</c:v>
                </c:pt>
                <c:pt idx="115">
                  <c:v>534.29698035461945</c:v>
                </c:pt>
                <c:pt idx="116">
                  <c:v>547.46478909061773</c:v>
                </c:pt>
                <c:pt idx="117">
                  <c:v>560.62595539326617</c:v>
                </c:pt>
                <c:pt idx="118">
                  <c:v>573.78065712263424</c:v>
                </c:pt>
                <c:pt idx="119">
                  <c:v>586.92906332116638</c:v>
                </c:pt>
                <c:pt idx="120">
                  <c:v>600.07133484269514</c:v>
                </c:pt>
                <c:pt idx="121">
                  <c:v>613.20762492350696</c:v>
                </c:pt>
                <c:pt idx="122">
                  <c:v>626.33807970195176</c:v>
                </c:pt>
                <c:pt idx="123">
                  <c:v>639.46283869223191</c:v>
                </c:pt>
                <c:pt idx="124">
                  <c:v>333.6660506110839</c:v>
                </c:pt>
                <c:pt idx="125">
                  <c:v>341.01717737647567</c:v>
                </c:pt>
                <c:pt idx="126">
                  <c:v>236.43132973115257</c:v>
                </c:pt>
                <c:pt idx="127">
                  <c:v>241.4909819994119</c:v>
                </c:pt>
                <c:pt idx="128">
                  <c:v>173.26777390076953</c:v>
                </c:pt>
                <c:pt idx="129">
                  <c:v>177.0427019008545</c:v>
                </c:pt>
                <c:pt idx="130">
                  <c:v>180.81574144693499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3.0805225009345862E-12</c:v>
                </c:pt>
                <c:pt idx="92">
                  <c:v>3.0805225009345862E-12</c:v>
                </c:pt>
                <c:pt idx="93">
                  <c:v>3.0805225009345862E-12</c:v>
                </c:pt>
                <c:pt idx="94">
                  <c:v>3.0805225009345862E-12</c:v>
                </c:pt>
                <c:pt idx="95">
                  <c:v>3.0805225009345862E-12</c:v>
                </c:pt>
                <c:pt idx="96">
                  <c:v>3.0805225009345862E-12</c:v>
                </c:pt>
                <c:pt idx="97">
                  <c:v>3.0805225009345862E-12</c:v>
                </c:pt>
                <c:pt idx="98">
                  <c:v>3.0805225009345862E-12</c:v>
                </c:pt>
                <c:pt idx="99">
                  <c:v>3.0805225009345862E-12</c:v>
                </c:pt>
                <c:pt idx="100">
                  <c:v>3.0805225009345862E-12</c:v>
                </c:pt>
                <c:pt idx="101">
                  <c:v>3.0805225009345862E-12</c:v>
                </c:pt>
                <c:pt idx="102">
                  <c:v>3.0805225009345862E-12</c:v>
                </c:pt>
                <c:pt idx="103">
                  <c:v>3.0805225009345862E-12</c:v>
                </c:pt>
                <c:pt idx="104">
                  <c:v>3.0805225009345862E-12</c:v>
                </c:pt>
                <c:pt idx="105">
                  <c:v>3.0805225009345862E-12</c:v>
                </c:pt>
                <c:pt idx="106">
                  <c:v>3.0805225009345862E-12</c:v>
                </c:pt>
                <c:pt idx="107">
                  <c:v>3.0805225009345862E-12</c:v>
                </c:pt>
                <c:pt idx="108">
                  <c:v>3.0805225009345862E-12</c:v>
                </c:pt>
                <c:pt idx="109">
                  <c:v>3.0805225009345862E-12</c:v>
                </c:pt>
                <c:pt idx="110">
                  <c:v>3.0805225009345862E-12</c:v>
                </c:pt>
                <c:pt idx="111">
                  <c:v>3.0805225009345862E-12</c:v>
                </c:pt>
                <c:pt idx="112">
                  <c:v>3.0805225009345862E-12</c:v>
                </c:pt>
                <c:pt idx="113">
                  <c:v>3.0805225009345862E-12</c:v>
                </c:pt>
                <c:pt idx="114">
                  <c:v>3.0805225009345862E-12</c:v>
                </c:pt>
                <c:pt idx="115">
                  <c:v>3.0805225009345862E-12</c:v>
                </c:pt>
                <c:pt idx="116">
                  <c:v>3.0805225009345862E-12</c:v>
                </c:pt>
                <c:pt idx="117">
                  <c:v>3.0805225009345862E-12</c:v>
                </c:pt>
                <c:pt idx="118">
                  <c:v>3.0805225009345862E-12</c:v>
                </c:pt>
                <c:pt idx="119">
                  <c:v>3.0805225009345862E-12</c:v>
                </c:pt>
                <c:pt idx="120">
                  <c:v>3.0805225009345862E-12</c:v>
                </c:pt>
                <c:pt idx="121">
                  <c:v>3.0805225009345862E-12</c:v>
                </c:pt>
                <c:pt idx="122">
                  <c:v>3.0805225009345862E-12</c:v>
                </c:pt>
                <c:pt idx="123">
                  <c:v>3.0805225009345862E-12</c:v>
                </c:pt>
                <c:pt idx="124">
                  <c:v>3.0805225009345862E-12</c:v>
                </c:pt>
                <c:pt idx="125">
                  <c:v>3.0805225009345862E-12</c:v>
                </c:pt>
                <c:pt idx="126">
                  <c:v>3.0805225009345862E-12</c:v>
                </c:pt>
                <c:pt idx="127">
                  <c:v>3.0805225009345862E-12</c:v>
                </c:pt>
                <c:pt idx="128">
                  <c:v>3.0805225009345862E-12</c:v>
                </c:pt>
                <c:pt idx="129">
                  <c:v>3.0805225009345862E-12</c:v>
                </c:pt>
                <c:pt idx="130">
                  <c:v>3.0805225009345862E-12</c:v>
                </c:pt>
                <c:pt idx="131">
                  <c:v>3.0805225009345862E-12</c:v>
                </c:pt>
                <c:pt idx="132">
                  <c:v>3.0805225009345862E-12</c:v>
                </c:pt>
                <c:pt idx="133">
                  <c:v>3.0805225009345862E-12</c:v>
                </c:pt>
                <c:pt idx="134">
                  <c:v>3.0805225009345862E-12</c:v>
                </c:pt>
                <c:pt idx="135">
                  <c:v>3.0805225009345862E-12</c:v>
                </c:pt>
                <c:pt idx="136">
                  <c:v>3.0805225009345862E-12</c:v>
                </c:pt>
                <c:pt idx="137">
                  <c:v>3.0805225009345862E-12</c:v>
                </c:pt>
                <c:pt idx="138">
                  <c:v>3.0805225009345862E-12</c:v>
                </c:pt>
                <c:pt idx="139">
                  <c:v>3.0805225009345862E-12</c:v>
                </c:pt>
                <c:pt idx="140">
                  <c:v>3.0805225009345862E-12</c:v>
                </c:pt>
                <c:pt idx="141">
                  <c:v>3.0805225009345862E-12</c:v>
                </c:pt>
                <c:pt idx="142">
                  <c:v>3.0805225009345862E-12</c:v>
                </c:pt>
                <c:pt idx="143">
                  <c:v>3.0805225009345862E-12</c:v>
                </c:pt>
                <c:pt idx="144">
                  <c:v>3.0805225009345862E-12</c:v>
                </c:pt>
                <c:pt idx="145">
                  <c:v>3.0805225009345862E-12</c:v>
                </c:pt>
                <c:pt idx="146">
                  <c:v>3.0805225009345862E-12</c:v>
                </c:pt>
                <c:pt idx="147">
                  <c:v>3.0805225009345862E-12</c:v>
                </c:pt>
                <c:pt idx="148">
                  <c:v>3.0805225009345862E-12</c:v>
                </c:pt>
                <c:pt idx="149">
                  <c:v>3.0805225009345862E-12</c:v>
                </c:pt>
                <c:pt idx="150">
                  <c:v>3.0805225009345862E-12</c:v>
                </c:pt>
                <c:pt idx="151">
                  <c:v>3.0805225009345862E-12</c:v>
                </c:pt>
                <c:pt idx="152">
                  <c:v>3.0805225009345862E-12</c:v>
                </c:pt>
                <c:pt idx="153">
                  <c:v>3.0805225009345862E-12</c:v>
                </c:pt>
                <c:pt idx="154">
                  <c:v>3.0805225009345862E-12</c:v>
                </c:pt>
                <c:pt idx="155">
                  <c:v>3.0805225009345862E-12</c:v>
                </c:pt>
                <c:pt idx="156">
                  <c:v>3.0805225009345862E-12</c:v>
                </c:pt>
                <c:pt idx="157">
                  <c:v>3.0805225009345862E-12</c:v>
                </c:pt>
                <c:pt idx="158">
                  <c:v>3.0805225009345862E-12</c:v>
                </c:pt>
                <c:pt idx="159">
                  <c:v>3.0805225009345862E-12</c:v>
                </c:pt>
                <c:pt idx="160">
                  <c:v>3.0805225009345862E-12</c:v>
                </c:pt>
                <c:pt idx="161">
                  <c:v>3.0805225009345862E-12</c:v>
                </c:pt>
                <c:pt idx="162">
                  <c:v>3.0805225009345862E-12</c:v>
                </c:pt>
                <c:pt idx="163">
                  <c:v>3.0805225009345862E-12</c:v>
                </c:pt>
                <c:pt idx="164">
                  <c:v>3.0805225009345862E-12</c:v>
                </c:pt>
                <c:pt idx="165">
                  <c:v>3.0805225009345862E-12</c:v>
                </c:pt>
                <c:pt idx="166">
                  <c:v>3.0805225009345862E-12</c:v>
                </c:pt>
                <c:pt idx="167">
                  <c:v>3.0805225009345862E-12</c:v>
                </c:pt>
                <c:pt idx="168">
                  <c:v>3.0805225009345862E-12</c:v>
                </c:pt>
                <c:pt idx="169">
                  <c:v>3.0805225009345862E-12</c:v>
                </c:pt>
                <c:pt idx="170">
                  <c:v>3.0805225009345862E-12</c:v>
                </c:pt>
                <c:pt idx="171">
                  <c:v>3.0805225009345862E-12</c:v>
                </c:pt>
                <c:pt idx="172">
                  <c:v>3.0805225009345862E-12</c:v>
                </c:pt>
                <c:pt idx="173">
                  <c:v>3.0805225009345862E-12</c:v>
                </c:pt>
                <c:pt idx="174">
                  <c:v>3.0805225009345862E-12</c:v>
                </c:pt>
                <c:pt idx="175">
                  <c:v>3.0805225009345862E-12</c:v>
                </c:pt>
                <c:pt idx="176">
                  <c:v>3.0805225009345862E-12</c:v>
                </c:pt>
                <c:pt idx="177">
                  <c:v>3.0805225009345862E-12</c:v>
                </c:pt>
                <c:pt idx="178">
                  <c:v>3.0805225009345862E-12</c:v>
                </c:pt>
                <c:pt idx="179">
                  <c:v>3.0805225009345862E-12</c:v>
                </c:pt>
                <c:pt idx="180">
                  <c:v>3.0805225009345862E-12</c:v>
                </c:pt>
                <c:pt idx="181">
                  <c:v>3.0805225009345862E-12</c:v>
                </c:pt>
                <c:pt idx="182">
                  <c:v>3.0805225009345862E-12</c:v>
                </c:pt>
                <c:pt idx="183">
                  <c:v>3.0805225009345862E-12</c:v>
                </c:pt>
                <c:pt idx="184">
                  <c:v>3.0805225009345862E-12</c:v>
                </c:pt>
                <c:pt idx="185">
                  <c:v>3.0805225009345862E-12</c:v>
                </c:pt>
                <c:pt idx="186">
                  <c:v>3.0805225009345862E-12</c:v>
                </c:pt>
                <c:pt idx="187">
                  <c:v>3.0805225009345862E-12</c:v>
                </c:pt>
                <c:pt idx="188">
                  <c:v>3.0805225009345862E-12</c:v>
                </c:pt>
                <c:pt idx="189">
                  <c:v>3.0805225009345862E-12</c:v>
                </c:pt>
                <c:pt idx="190">
                  <c:v>3.0805225009345862E-12</c:v>
                </c:pt>
                <c:pt idx="191">
                  <c:v>3.0805225009345862E-12</c:v>
                </c:pt>
                <c:pt idx="192">
                  <c:v>3.0805225009345862E-12</c:v>
                </c:pt>
                <c:pt idx="193">
                  <c:v>3.0805225009345862E-12</c:v>
                </c:pt>
                <c:pt idx="194">
                  <c:v>3.0805225009345862E-12</c:v>
                </c:pt>
                <c:pt idx="195">
                  <c:v>3.0805225009345862E-12</c:v>
                </c:pt>
                <c:pt idx="196">
                  <c:v>3.0805225009345862E-12</c:v>
                </c:pt>
                <c:pt idx="197">
                  <c:v>3.0805225009345862E-12</c:v>
                </c:pt>
                <c:pt idx="198">
                  <c:v>3.0805225009345862E-12</c:v>
                </c:pt>
                <c:pt idx="199">
                  <c:v>3.0805225009345862E-12</c:v>
                </c:pt>
                <c:pt idx="200">
                  <c:v>3.0805225009345862E-12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3.0805225009345862E-12</c:v>
                </c:pt>
                <c:pt idx="92">
                  <c:v>3.0805225009345862E-12</c:v>
                </c:pt>
                <c:pt idx="93">
                  <c:v>3.0805225009345862E-12</c:v>
                </c:pt>
                <c:pt idx="94">
                  <c:v>3.0805225009345862E-12</c:v>
                </c:pt>
                <c:pt idx="95">
                  <c:v>3.0805225009345862E-12</c:v>
                </c:pt>
                <c:pt idx="96">
                  <c:v>3.0805225009345862E-12</c:v>
                </c:pt>
                <c:pt idx="97">
                  <c:v>3.0805225009345862E-12</c:v>
                </c:pt>
                <c:pt idx="98">
                  <c:v>3.0805225009345862E-12</c:v>
                </c:pt>
                <c:pt idx="99">
                  <c:v>3.0805225009345862E-12</c:v>
                </c:pt>
                <c:pt idx="100">
                  <c:v>3.0805225009345862E-12</c:v>
                </c:pt>
                <c:pt idx="101">
                  <c:v>3.0805225009345862E-12</c:v>
                </c:pt>
                <c:pt idx="102">
                  <c:v>3.0805225009345862E-12</c:v>
                </c:pt>
                <c:pt idx="103">
                  <c:v>3.0805225009345862E-12</c:v>
                </c:pt>
                <c:pt idx="104">
                  <c:v>3.0805225009345862E-12</c:v>
                </c:pt>
                <c:pt idx="105">
                  <c:v>3.0805225009345862E-12</c:v>
                </c:pt>
                <c:pt idx="106">
                  <c:v>3.0805225009345862E-12</c:v>
                </c:pt>
                <c:pt idx="107">
                  <c:v>3.0805225009345862E-12</c:v>
                </c:pt>
                <c:pt idx="108">
                  <c:v>3.0805225009345862E-12</c:v>
                </c:pt>
                <c:pt idx="109">
                  <c:v>3.0805225009345862E-12</c:v>
                </c:pt>
                <c:pt idx="110">
                  <c:v>3.0805225009345862E-12</c:v>
                </c:pt>
                <c:pt idx="111">
                  <c:v>3.0805225009345862E-12</c:v>
                </c:pt>
                <c:pt idx="112">
                  <c:v>3.0805225009345862E-12</c:v>
                </c:pt>
                <c:pt idx="113">
                  <c:v>3.0805225009345862E-12</c:v>
                </c:pt>
                <c:pt idx="114">
                  <c:v>3.0805225009345862E-12</c:v>
                </c:pt>
                <c:pt idx="115">
                  <c:v>3.0805225009345862E-12</c:v>
                </c:pt>
                <c:pt idx="116">
                  <c:v>3.0805225009345862E-12</c:v>
                </c:pt>
                <c:pt idx="117">
                  <c:v>3.0805225009345862E-12</c:v>
                </c:pt>
                <c:pt idx="118">
                  <c:v>3.0805225009345862E-12</c:v>
                </c:pt>
                <c:pt idx="119">
                  <c:v>3.0805225009345862E-12</c:v>
                </c:pt>
                <c:pt idx="120">
                  <c:v>3.0805225009345862E-12</c:v>
                </c:pt>
                <c:pt idx="121">
                  <c:v>3.0805225009345862E-12</c:v>
                </c:pt>
                <c:pt idx="122">
                  <c:v>3.0805225009345862E-12</c:v>
                </c:pt>
                <c:pt idx="123">
                  <c:v>3.0805225009345862E-12</c:v>
                </c:pt>
                <c:pt idx="124">
                  <c:v>3.0805225009345862E-12</c:v>
                </c:pt>
                <c:pt idx="125">
                  <c:v>3.0805225009345862E-12</c:v>
                </c:pt>
                <c:pt idx="126">
                  <c:v>3.0805225009345862E-12</c:v>
                </c:pt>
                <c:pt idx="127">
                  <c:v>3.0805225009345862E-12</c:v>
                </c:pt>
                <c:pt idx="128">
                  <c:v>3.0805225009345862E-12</c:v>
                </c:pt>
                <c:pt idx="129">
                  <c:v>3.0805225009345862E-12</c:v>
                </c:pt>
                <c:pt idx="130">
                  <c:v>3.0805225009345862E-12</c:v>
                </c:pt>
                <c:pt idx="131">
                  <c:v>3.0805225009345862E-12</c:v>
                </c:pt>
                <c:pt idx="132">
                  <c:v>3.0805225009345862E-12</c:v>
                </c:pt>
                <c:pt idx="133">
                  <c:v>3.0805225009345862E-12</c:v>
                </c:pt>
                <c:pt idx="134">
                  <c:v>3.0805225009345862E-12</c:v>
                </c:pt>
                <c:pt idx="135">
                  <c:v>3.0805225009345862E-12</c:v>
                </c:pt>
                <c:pt idx="136">
                  <c:v>3.0805225009345862E-12</c:v>
                </c:pt>
                <c:pt idx="137">
                  <c:v>3.0805225009345862E-12</c:v>
                </c:pt>
                <c:pt idx="138">
                  <c:v>3.0805225009345862E-12</c:v>
                </c:pt>
                <c:pt idx="139">
                  <c:v>3.0805225009345862E-12</c:v>
                </c:pt>
                <c:pt idx="140">
                  <c:v>3.0805225009345862E-12</c:v>
                </c:pt>
                <c:pt idx="141">
                  <c:v>3.0805225009345862E-12</c:v>
                </c:pt>
                <c:pt idx="142">
                  <c:v>3.0805225009345862E-12</c:v>
                </c:pt>
                <c:pt idx="143">
                  <c:v>3.0805225009345862E-12</c:v>
                </c:pt>
                <c:pt idx="144">
                  <c:v>3.0805225009345862E-12</c:v>
                </c:pt>
                <c:pt idx="145">
                  <c:v>3.0805225009345862E-12</c:v>
                </c:pt>
                <c:pt idx="146">
                  <c:v>3.0805225009345862E-12</c:v>
                </c:pt>
                <c:pt idx="147">
                  <c:v>3.0805225009345862E-12</c:v>
                </c:pt>
                <c:pt idx="148">
                  <c:v>3.0805225009345862E-12</c:v>
                </c:pt>
                <c:pt idx="149">
                  <c:v>3.0805225009345862E-12</c:v>
                </c:pt>
                <c:pt idx="150">
                  <c:v>3.0805225009345862E-12</c:v>
                </c:pt>
                <c:pt idx="151">
                  <c:v>3.0805225009345862E-12</c:v>
                </c:pt>
                <c:pt idx="152">
                  <c:v>3.0805225009345862E-12</c:v>
                </c:pt>
                <c:pt idx="153">
                  <c:v>3.0805225009345862E-12</c:v>
                </c:pt>
                <c:pt idx="154">
                  <c:v>3.0805225009345862E-12</c:v>
                </c:pt>
                <c:pt idx="155">
                  <c:v>3.0805225009345862E-12</c:v>
                </c:pt>
                <c:pt idx="156">
                  <c:v>3.0805225009345862E-12</c:v>
                </c:pt>
                <c:pt idx="157">
                  <c:v>3.0805225009345862E-12</c:v>
                </c:pt>
                <c:pt idx="158">
                  <c:v>3.0805225009345862E-12</c:v>
                </c:pt>
                <c:pt idx="159">
                  <c:v>3.0805225009345862E-12</c:v>
                </c:pt>
                <c:pt idx="160">
                  <c:v>3.0805225009345862E-12</c:v>
                </c:pt>
                <c:pt idx="161">
                  <c:v>3.0805225009345862E-12</c:v>
                </c:pt>
                <c:pt idx="162">
                  <c:v>3.0805225009345862E-12</c:v>
                </c:pt>
                <c:pt idx="163">
                  <c:v>3.0805225009345862E-12</c:v>
                </c:pt>
                <c:pt idx="164">
                  <c:v>3.0805225009345862E-12</c:v>
                </c:pt>
                <c:pt idx="165">
                  <c:v>3.0805225009345862E-12</c:v>
                </c:pt>
                <c:pt idx="166">
                  <c:v>3.0805225009345862E-12</c:v>
                </c:pt>
                <c:pt idx="167">
                  <c:v>3.0805225009345862E-12</c:v>
                </c:pt>
                <c:pt idx="168">
                  <c:v>3.0805225009345862E-12</c:v>
                </c:pt>
                <c:pt idx="169">
                  <c:v>3.0805225009345862E-12</c:v>
                </c:pt>
                <c:pt idx="170">
                  <c:v>3.0805225009345862E-12</c:v>
                </c:pt>
                <c:pt idx="171">
                  <c:v>3.0805225009345862E-12</c:v>
                </c:pt>
                <c:pt idx="172">
                  <c:v>3.0805225009345862E-12</c:v>
                </c:pt>
                <c:pt idx="173">
                  <c:v>3.0805225009345862E-12</c:v>
                </c:pt>
                <c:pt idx="174">
                  <c:v>3.0805225009345862E-12</c:v>
                </c:pt>
                <c:pt idx="175">
                  <c:v>3.0805225009345862E-12</c:v>
                </c:pt>
                <c:pt idx="176">
                  <c:v>3.0805225009345862E-12</c:v>
                </c:pt>
                <c:pt idx="177">
                  <c:v>3.0805225009345862E-12</c:v>
                </c:pt>
                <c:pt idx="178">
                  <c:v>3.0805225009345862E-12</c:v>
                </c:pt>
                <c:pt idx="179">
                  <c:v>3.0805225009345862E-12</c:v>
                </c:pt>
                <c:pt idx="180">
                  <c:v>3.0805225009345862E-12</c:v>
                </c:pt>
                <c:pt idx="181">
                  <c:v>3.0805225009345862E-12</c:v>
                </c:pt>
                <c:pt idx="182">
                  <c:v>3.0805225009345862E-12</c:v>
                </c:pt>
                <c:pt idx="183">
                  <c:v>3.0805225009345862E-12</c:v>
                </c:pt>
                <c:pt idx="184">
                  <c:v>3.0805225009345862E-12</c:v>
                </c:pt>
                <c:pt idx="185">
                  <c:v>3.0805225009345862E-12</c:v>
                </c:pt>
                <c:pt idx="186">
                  <c:v>3.0805225009345862E-12</c:v>
                </c:pt>
                <c:pt idx="187">
                  <c:v>3.0805225009345862E-12</c:v>
                </c:pt>
                <c:pt idx="188">
                  <c:v>3.0805225009345862E-12</c:v>
                </c:pt>
                <c:pt idx="189">
                  <c:v>3.0805225009345862E-12</c:v>
                </c:pt>
                <c:pt idx="190">
                  <c:v>3.0805225009345862E-12</c:v>
                </c:pt>
                <c:pt idx="191">
                  <c:v>3.0805225009345862E-12</c:v>
                </c:pt>
                <c:pt idx="192">
                  <c:v>3.0805225009345862E-12</c:v>
                </c:pt>
                <c:pt idx="193">
                  <c:v>3.0805225009345862E-12</c:v>
                </c:pt>
                <c:pt idx="194">
                  <c:v>3.0805225009345862E-12</c:v>
                </c:pt>
                <c:pt idx="195">
                  <c:v>3.0805225009345862E-12</c:v>
                </c:pt>
                <c:pt idx="196">
                  <c:v>3.0805225009345862E-12</c:v>
                </c:pt>
                <c:pt idx="197">
                  <c:v>3.0805225009345862E-12</c:v>
                </c:pt>
                <c:pt idx="198">
                  <c:v>3.0805225009345862E-12</c:v>
                </c:pt>
                <c:pt idx="199">
                  <c:v>3.0805225009345862E-12</c:v>
                </c:pt>
                <c:pt idx="200">
                  <c:v>3.0805225009345862E-12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1.7942123854382175</c:v>
                </c:pt>
                <c:pt idx="2">
                  <c:v>2.1663300476980978</c:v>
                </c:pt>
                <c:pt idx="3">
                  <c:v>2.6159200306824988</c:v>
                </c:pt>
                <c:pt idx="4">
                  <c:v>3.1591697522834004</c:v>
                </c:pt>
                <c:pt idx="5">
                  <c:v>3.8156603274664582</c:v>
                </c:pt>
                <c:pt idx="6">
                  <c:v>4.6090802918055163</c:v>
                </c:pt>
                <c:pt idx="7">
                  <c:v>5.5680898625223136</c:v>
                </c:pt>
                <c:pt idx="8">
                  <c:v>6.727367572749853</c:v>
                </c:pt>
                <c:pt idx="9">
                  <c:v>8.128877863747535</c:v>
                </c:pt>
                <c:pt idx="10">
                  <c:v>9.823406402726361</c:v>
                </c:pt>
                <c:pt idx="11">
                  <c:v>11.872419816059166</c:v>
                </c:pt>
                <c:pt idx="12">
                  <c:v>14.350318559325613</c:v>
                </c:pt>
                <c:pt idx="13">
                  <c:v>17.347166236258321</c:v>
                </c:pt>
                <c:pt idx="14">
                  <c:v>20.971996373495585</c:v>
                </c:pt>
                <c:pt idx="15">
                  <c:v>25.356819118778436</c:v>
                </c:pt>
                <c:pt idx="16">
                  <c:v>30.661476359800918</c:v>
                </c:pt>
                <c:pt idx="17">
                  <c:v>37.079525333759101</c:v>
                </c:pt>
                <c:pt idx="18">
                  <c:v>44.845369096333279</c:v>
                </c:pt>
                <c:pt idx="19">
                  <c:v>54.242898678656623</c:v>
                </c:pt>
                <c:pt idx="20">
                  <c:v>65.615968123812308</c:v>
                </c:pt>
                <c:pt idx="21">
                  <c:v>79.381091975017199</c:v>
                </c:pt>
                <c:pt idx="22">
                  <c:v>96.042837752496851</c:v>
                </c:pt>
                <c:pt idx="23">
                  <c:v>116.2124866206902</c:v>
                </c:pt>
                <c:pt idx="24">
                  <c:v>140.63065759393206</c:v>
                </c:pt>
                <c:pt idx="25">
                  <c:v>170.19473884853133</c:v>
                </c:pt>
                <c:pt idx="26">
                  <c:v>205.99214957628718</c:v>
                </c:pt>
                <c:pt idx="27">
                  <c:v>249.34067409633633</c:v>
                </c:pt>
                <c:pt idx="28">
                  <c:v>182.3673189925232</c:v>
                </c:pt>
                <c:pt idx="29">
                  <c:v>197.5607625088866</c:v>
                </c:pt>
                <c:pt idx="30">
                  <c:v>212.72709151379988</c:v>
                </c:pt>
                <c:pt idx="31">
                  <c:v>227.86851187621963</c:v>
                </c:pt>
                <c:pt idx="32">
                  <c:v>242.98691214148096</c:v>
                </c:pt>
                <c:pt idx="33">
                  <c:v>258.08392651045216</c:v>
                </c:pt>
                <c:pt idx="34">
                  <c:v>211.2806483135854</c:v>
                </c:pt>
                <c:pt idx="35">
                  <c:v>225.07453317179332</c:v>
                </c:pt>
                <c:pt idx="36">
                  <c:v>238.84905254829377</c:v>
                </c:pt>
                <c:pt idx="37">
                  <c:v>252.60548090824568</c:v>
                </c:pt>
                <c:pt idx="38">
                  <c:v>266.34494249201498</c:v>
                </c:pt>
                <c:pt idx="39">
                  <c:v>280.06843602455473</c:v>
                </c:pt>
                <c:pt idx="40">
                  <c:v>293.77685432349591</c:v>
                </c:pt>
                <c:pt idx="41">
                  <c:v>240.60738632928701</c:v>
                </c:pt>
                <c:pt idx="42">
                  <c:v>252.75701279318207</c:v>
                </c:pt>
                <c:pt idx="43">
                  <c:v>264.89341308783179</c:v>
                </c:pt>
                <c:pt idx="44">
                  <c:v>277.0172788362492</c:v>
                </c:pt>
                <c:pt idx="45">
                  <c:v>289.12923614671598</c:v>
                </c:pt>
                <c:pt idx="46">
                  <c:v>301.22985436208018</c:v>
                </c:pt>
                <c:pt idx="47">
                  <c:v>313.3196533287076</c:v>
                </c:pt>
                <c:pt idx="48">
                  <c:v>325.39910948418361</c:v>
                </c:pt>
                <c:pt idx="49">
                  <c:v>281.26415253628846</c:v>
                </c:pt>
                <c:pt idx="50">
                  <c:v>292.07552464906695</c:v>
                </c:pt>
                <c:pt idx="51">
                  <c:v>302.87796194320782</c:v>
                </c:pt>
                <c:pt idx="52">
                  <c:v>313.67182817206998</c:v>
                </c:pt>
                <c:pt idx="53">
                  <c:v>324.45745999738591</c:v>
                </c:pt>
                <c:pt idx="54">
                  <c:v>335.23516985988971</c:v>
                </c:pt>
                <c:pt idx="55">
                  <c:v>346.00524846131549</c:v>
                </c:pt>
                <c:pt idx="56">
                  <c:v>356.76796692108866</c:v>
                </c:pt>
                <c:pt idx="57">
                  <c:v>367.52357865907578</c:v>
                </c:pt>
                <c:pt idx="58">
                  <c:v>378.27232104635658</c:v>
                </c:pt>
                <c:pt idx="59">
                  <c:v>322.51282353490825</c:v>
                </c:pt>
                <c:pt idx="60">
                  <c:v>331.81785207718048</c:v>
                </c:pt>
                <c:pt idx="61">
                  <c:v>341.11712768957779</c:v>
                </c:pt>
                <c:pt idx="62">
                  <c:v>350.41082941647056</c:v>
                </c:pt>
                <c:pt idx="63">
                  <c:v>359.69912602398244</c:v>
                </c:pt>
                <c:pt idx="64">
                  <c:v>368.98217684596511</c:v>
                </c:pt>
                <c:pt idx="65">
                  <c:v>378.26013254035746</c:v>
                </c:pt>
                <c:pt idx="66">
                  <c:v>387.53313576743295</c:v>
                </c:pt>
                <c:pt idx="67">
                  <c:v>396.80132179971861</c:v>
                </c:pt>
                <c:pt idx="68">
                  <c:v>406.0648190719362</c:v>
                </c:pt>
                <c:pt idx="69">
                  <c:v>355.04221727250643</c:v>
                </c:pt>
                <c:pt idx="70">
                  <c:v>362.97867138655016</c:v>
                </c:pt>
                <c:pt idx="71">
                  <c:v>370.91133341208069</c:v>
                </c:pt>
                <c:pt idx="72">
                  <c:v>378.84029594824074</c:v>
                </c:pt>
                <c:pt idx="73">
                  <c:v>386.76564739902051</c:v>
                </c:pt>
                <c:pt idx="74">
                  <c:v>394.6874722472744</c:v>
                </c:pt>
                <c:pt idx="75">
                  <c:v>402.60585130557843</c:v>
                </c:pt>
                <c:pt idx="76">
                  <c:v>410.52086194631539</c:v>
                </c:pt>
                <c:pt idx="77">
                  <c:v>418.43257831308216</c:v>
                </c:pt>
                <c:pt idx="78">
                  <c:v>426.341071515267</c:v>
                </c:pt>
                <c:pt idx="79">
                  <c:v>381.98210631041849</c:v>
                </c:pt>
                <c:pt idx="80">
                  <c:v>388.82195470211951</c:v>
                </c:pt>
                <c:pt idx="81">
                  <c:v>395.65919154761076</c:v>
                </c:pt>
                <c:pt idx="82">
                  <c:v>402.49386837861624</c:v>
                </c:pt>
                <c:pt idx="83">
                  <c:v>409.32603483259305</c:v>
                </c:pt>
                <c:pt idx="84">
                  <c:v>416.15573875351964</c:v>
                </c:pt>
                <c:pt idx="85">
                  <c:v>422.98302628571696</c:v>
                </c:pt>
                <c:pt idx="86">
                  <c:v>429.8079419612946</c:v>
                </c:pt>
                <c:pt idx="87">
                  <c:v>436.63052878175125</c:v>
                </c:pt>
                <c:pt idx="88">
                  <c:v>443.45082829420477</c:v>
                </c:pt>
                <c:pt idx="89">
                  <c:v>406.11593203156923</c:v>
                </c:pt>
                <c:pt idx="90">
                  <c:v>411.92243716041048</c:v>
                </c:pt>
                <c:pt idx="91">
                  <c:v>417.72717587702368</c:v>
                </c:pt>
                <c:pt idx="92">
                  <c:v>423.53017621209983</c:v>
                </c:pt>
                <c:pt idx="93">
                  <c:v>429.33146536487726</c:v>
                </c:pt>
                <c:pt idx="94">
                  <c:v>435.13106973895759</c:v>
                </c:pt>
                <c:pt idx="95">
                  <c:v>440.9290149761103</c:v>
                </c:pt>
                <c:pt idx="96">
                  <c:v>446.7253259882059</c:v>
                </c:pt>
                <c:pt idx="97">
                  <c:v>452.52002698740461</c:v>
                </c:pt>
                <c:pt idx="98">
                  <c:v>458.31314151471719</c:v>
                </c:pt>
                <c:pt idx="99">
                  <c:v>464.10469246704571</c:v>
                </c:pt>
                <c:pt idx="100">
                  <c:v>469.89470212280389</c:v>
                </c:pt>
                <c:pt idx="101">
                  <c:v>475.68319216620824</c:v>
                </c:pt>
                <c:pt idx="102">
                  <c:v>481.4701837103234</c:v>
                </c:pt>
                <c:pt idx="103">
                  <c:v>487.2556973189441</c:v>
                </c:pt>
                <c:pt idx="104">
                  <c:v>493.0397530273799</c:v>
                </c:pt>
                <c:pt idx="105">
                  <c:v>498.82237036221676</c:v>
                </c:pt>
                <c:pt idx="106">
                  <c:v>504.60356836011186</c:v>
                </c:pt>
                <c:pt idx="107">
                  <c:v>510.38336558568136</c:v>
                </c:pt>
                <c:pt idx="108">
                  <c:v>516.1617801485387</c:v>
                </c:pt>
                <c:pt idx="109">
                  <c:v>213.95550815036611</c:v>
                </c:pt>
                <c:pt idx="110">
                  <c:v>217.60276676056196</c:v>
                </c:pt>
                <c:pt idx="111">
                  <c:v>221.24861983544915</c:v>
                </c:pt>
                <c:pt idx="112">
                  <c:v>224.89309385892565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1.5402544434585883</c:v>
                </c:pt>
                <c:pt idx="2">
                  <c:v>2.045780035636779</c:v>
                </c:pt>
                <c:pt idx="3">
                  <c:v>2.717922289174671</c:v>
                </c:pt>
                <c:pt idx="4">
                  <c:v>3.6118140013264668</c:v>
                </c:pt>
                <c:pt idx="5">
                  <c:v>4.8008986035752175</c:v>
                </c:pt>
                <c:pt idx="6">
                  <c:v>6.3830322798094565</c:v>
                </c:pt>
                <c:pt idx="7">
                  <c:v>8.4886260514539114</c:v>
                </c:pt>
                <c:pt idx="8">
                  <c:v>11.291511763194011</c:v>
                </c:pt>
                <c:pt idx="9">
                  <c:v>15.023445803273242</c:v>
                </c:pt>
                <c:pt idx="10">
                  <c:v>19.99347175518178</c:v>
                </c:pt>
                <c:pt idx="11">
                  <c:v>26.613774158639355</c:v>
                </c:pt>
                <c:pt idx="12">
                  <c:v>35.434205161367345</c:v>
                </c:pt>
                <c:pt idx="13">
                  <c:v>47.188400920588187</c:v>
                </c:pt>
                <c:pt idx="14">
                  <c:v>62.855387879153078</c:v>
                </c:pt>
                <c:pt idx="15">
                  <c:v>83.741894453467935</c:v>
                </c:pt>
                <c:pt idx="16">
                  <c:v>111.59234363672935</c:v>
                </c:pt>
                <c:pt idx="17">
                  <c:v>148.73585705438913</c:v>
                </c:pt>
                <c:pt idx="18">
                  <c:v>198.2827526638622</c:v>
                </c:pt>
                <c:pt idx="19">
                  <c:v>152.3864623038144</c:v>
                </c:pt>
                <c:pt idx="20">
                  <c:v>178.23495739466622</c:v>
                </c:pt>
                <c:pt idx="21">
                  <c:v>203.99545422081783</c:v>
                </c:pt>
                <c:pt idx="22">
                  <c:v>229.68063675506048</c:v>
                </c:pt>
                <c:pt idx="23">
                  <c:v>255.30011308757412</c:v>
                </c:pt>
                <c:pt idx="24">
                  <c:v>280.86140248997191</c:v>
                </c:pt>
                <c:pt idx="25">
                  <c:v>259.43544652877773</c:v>
                </c:pt>
                <c:pt idx="26">
                  <c:v>286.76641000957017</c:v>
                </c:pt>
                <c:pt idx="27">
                  <c:v>314.03909760954588</c:v>
                </c:pt>
                <c:pt idx="28">
                  <c:v>341.25927813642528</c:v>
                </c:pt>
                <c:pt idx="29">
                  <c:v>368.43172495291293</c:v>
                </c:pt>
                <c:pt idx="30">
                  <c:v>395.5604500494847</c:v>
                </c:pt>
                <c:pt idx="31">
                  <c:v>346.24890026667828</c:v>
                </c:pt>
                <c:pt idx="32">
                  <c:v>373.24974422733004</c:v>
                </c:pt>
                <c:pt idx="33">
                  <c:v>400.20802972261481</c:v>
                </c:pt>
                <c:pt idx="34">
                  <c:v>427.12702359531545</c:v>
                </c:pt>
                <c:pt idx="35">
                  <c:v>454.00954759463934</c:v>
                </c:pt>
                <c:pt idx="36">
                  <c:v>480.85806231909402</c:v>
                </c:pt>
                <c:pt idx="37">
                  <c:v>426.61349667894268</c:v>
                </c:pt>
                <c:pt idx="38">
                  <c:v>452.9556801030223</c:v>
                </c:pt>
                <c:pt idx="39">
                  <c:v>479.26512417586628</c:v>
                </c:pt>
                <c:pt idx="40">
                  <c:v>505.54387680430187</c:v>
                </c:pt>
                <c:pt idx="41">
                  <c:v>531.79375583365902</c:v>
                </c:pt>
                <c:pt idx="42">
                  <c:v>558.01638520079189</c:v>
                </c:pt>
                <c:pt idx="43">
                  <c:v>497.99699632678494</c:v>
                </c:pt>
                <c:pt idx="44">
                  <c:v>523.32749575764262</c:v>
                </c:pt>
                <c:pt idx="45">
                  <c:v>548.63216886276189</c:v>
                </c:pt>
                <c:pt idx="46">
                  <c:v>573.91237297748114</c:v>
                </c:pt>
                <c:pt idx="47">
                  <c:v>599.16933624116075</c:v>
                </c:pt>
                <c:pt idx="48">
                  <c:v>624.40417493070879</c:v>
                </c:pt>
                <c:pt idx="49">
                  <c:v>553.80659006304643</c:v>
                </c:pt>
                <c:pt idx="50">
                  <c:v>577.77991843712778</c:v>
                </c:pt>
                <c:pt idx="51">
                  <c:v>601.73250042950247</c:v>
                </c:pt>
                <c:pt idx="52">
                  <c:v>625.66527709965862</c:v>
                </c:pt>
                <c:pt idx="53">
                  <c:v>649.57911172546289</c:v>
                </c:pt>
                <c:pt idx="54">
                  <c:v>673.47479891593559</c:v>
                </c:pt>
                <c:pt idx="55">
                  <c:v>2.8030510891776262E-12</c:v>
                </c:pt>
                <c:pt idx="56">
                  <c:v>2.8030510891776262E-12</c:v>
                </c:pt>
                <c:pt idx="57">
                  <c:v>2.8030510891776262E-12</c:v>
                </c:pt>
                <c:pt idx="58">
                  <c:v>2.8030510891776262E-12</c:v>
                </c:pt>
                <c:pt idx="59">
                  <c:v>2.8030510891776262E-12</c:v>
                </c:pt>
                <c:pt idx="60">
                  <c:v>2.8030510891776262E-12</c:v>
                </c:pt>
                <c:pt idx="61">
                  <c:v>2.8030510891776262E-12</c:v>
                </c:pt>
                <c:pt idx="62">
                  <c:v>2.8030510891776262E-12</c:v>
                </c:pt>
                <c:pt idx="63">
                  <c:v>2.8030510891776262E-12</c:v>
                </c:pt>
                <c:pt idx="64">
                  <c:v>2.8030510891776262E-12</c:v>
                </c:pt>
                <c:pt idx="65">
                  <c:v>2.8030510891776262E-12</c:v>
                </c:pt>
                <c:pt idx="66">
                  <c:v>2.8030510891776262E-12</c:v>
                </c:pt>
                <c:pt idx="67">
                  <c:v>2.8030510891776262E-12</c:v>
                </c:pt>
                <c:pt idx="68">
                  <c:v>2.8030510891776262E-12</c:v>
                </c:pt>
                <c:pt idx="69">
                  <c:v>2.8030510891776262E-12</c:v>
                </c:pt>
                <c:pt idx="70">
                  <c:v>2.8030510891776262E-12</c:v>
                </c:pt>
                <c:pt idx="71">
                  <c:v>2.8030510891776262E-12</c:v>
                </c:pt>
                <c:pt idx="72">
                  <c:v>2.8030510891776262E-12</c:v>
                </c:pt>
                <c:pt idx="73">
                  <c:v>2.8030510891776262E-12</c:v>
                </c:pt>
                <c:pt idx="74">
                  <c:v>2.8030510891776262E-12</c:v>
                </c:pt>
                <c:pt idx="75">
                  <c:v>2.8030510891776262E-12</c:v>
                </c:pt>
                <c:pt idx="76">
                  <c:v>2.8030510891776262E-12</c:v>
                </c:pt>
                <c:pt idx="77">
                  <c:v>2.8030510891776262E-12</c:v>
                </c:pt>
                <c:pt idx="78">
                  <c:v>2.8030510891776262E-12</c:v>
                </c:pt>
                <c:pt idx="79">
                  <c:v>2.8030510891776262E-12</c:v>
                </c:pt>
                <c:pt idx="80">
                  <c:v>2.8030510891776262E-12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A37" sqref="A3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16.84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6.2E-2</v>
      </c>
      <c r="D9" s="33">
        <f t="shared" ref="D9:D18" si="0">C9*$C$5</f>
        <v>1.0440799999999999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0.05</v>
      </c>
      <c r="D10" s="33">
        <f t="shared" si="0"/>
        <v>0.84200000000000008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12</v>
      </c>
      <c r="C11" s="32">
        <v>0.06</v>
      </c>
      <c r="D11" s="33">
        <f t="shared" si="0"/>
        <v>1.0104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4</v>
      </c>
      <c r="C12" s="32">
        <v>0.03</v>
      </c>
      <c r="D12" s="33">
        <f t="shared" si="0"/>
        <v>0.50519999999999998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98</v>
      </c>
      <c r="C13" s="32">
        <v>0.06</v>
      </c>
      <c r="D13" s="33">
        <f t="shared" si="0"/>
        <v>1.0104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41</v>
      </c>
      <c r="C14" s="32">
        <v>0.06</v>
      </c>
      <c r="D14" s="33">
        <f t="shared" si="0"/>
        <v>1.0104</v>
      </c>
      <c r="E14" s="34">
        <v>112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138</v>
      </c>
      <c r="C15" s="32">
        <v>0.09</v>
      </c>
      <c r="D15" s="33">
        <f t="shared" si="0"/>
        <v>1.5155999999999998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36</v>
      </c>
      <c r="C16" s="32">
        <v>0.09</v>
      </c>
      <c r="D16" s="33">
        <f t="shared" si="0"/>
        <v>1.5155999999999998</v>
      </c>
      <c r="E16" s="34">
        <v>60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156</v>
      </c>
      <c r="C17" s="32">
        <v>0.14000000000000001</v>
      </c>
      <c r="D17" s="33">
        <f t="shared" si="0"/>
        <v>2.3576000000000001</v>
      </c>
      <c r="E17" s="34">
        <v>54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35</v>
      </c>
      <c r="C18" s="32">
        <v>0.25</v>
      </c>
      <c r="D18" s="33">
        <f t="shared" si="0"/>
        <v>4.21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0.89200000000000002</v>
      </c>
      <c r="D19" s="38">
        <f>SUM(D9:D18)</f>
        <v>15.021279999999997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42</v>
      </c>
      <c r="B36" s="60">
        <v>163.26</v>
      </c>
      <c r="C36" s="60">
        <v>1</v>
      </c>
      <c r="D36" s="60">
        <v>43.21</v>
      </c>
      <c r="E36" s="51">
        <v>0.3</v>
      </c>
      <c r="F36" s="51">
        <v>0</v>
      </c>
      <c r="G36" s="51">
        <v>0</v>
      </c>
      <c r="H36" s="51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50</v>
      </c>
      <c r="B37" s="60">
        <v>195.02</v>
      </c>
      <c r="C37" s="60">
        <v>2</v>
      </c>
      <c r="D37" s="60">
        <v>35.58</v>
      </c>
      <c r="E37" s="51">
        <v>0.3</v>
      </c>
      <c r="F37" s="51">
        <v>0</v>
      </c>
      <c r="G37" s="51">
        <v>0</v>
      </c>
      <c r="H37" s="51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58</v>
      </c>
      <c r="B38" s="60">
        <v>235.87</v>
      </c>
      <c r="C38" s="60">
        <v>3</v>
      </c>
      <c r="D38" s="60">
        <v>44.93</v>
      </c>
      <c r="E38" s="51">
        <v>0.3</v>
      </c>
      <c r="F38" s="51">
        <v>0</v>
      </c>
      <c r="G38" s="51">
        <v>0</v>
      </c>
      <c r="H38" s="51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66</v>
      </c>
      <c r="B39" s="60">
        <v>264.95999999999998</v>
      </c>
      <c r="C39" s="60">
        <v>4</v>
      </c>
      <c r="D39" s="60">
        <v>49.91</v>
      </c>
      <c r="E39" s="51">
        <v>0.6</v>
      </c>
      <c r="F39" s="51">
        <v>0</v>
      </c>
      <c r="G39" s="51">
        <v>0</v>
      </c>
      <c r="H39" s="51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74</v>
      </c>
      <c r="B40" s="60">
        <v>285.98</v>
      </c>
      <c r="C40" s="60">
        <v>5</v>
      </c>
      <c r="D40" s="60">
        <v>47.4</v>
      </c>
      <c r="E40" s="51">
        <v>0.6</v>
      </c>
      <c r="F40" s="51">
        <v>0</v>
      </c>
      <c r="G40" s="51">
        <v>0</v>
      </c>
      <c r="H40" s="51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84</v>
      </c>
      <c r="B41" s="60">
        <v>325.35000000000002</v>
      </c>
      <c r="C41" s="60">
        <v>6</v>
      </c>
      <c r="D41" s="60">
        <v>61.47</v>
      </c>
      <c r="E41" s="51">
        <v>0.6</v>
      </c>
      <c r="F41" s="51">
        <v>0</v>
      </c>
      <c r="G41" s="51">
        <v>0</v>
      </c>
      <c r="H41" s="51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94</v>
      </c>
      <c r="B42" s="60">
        <v>346.79</v>
      </c>
      <c r="C42" s="60">
        <v>7</v>
      </c>
      <c r="D42" s="60">
        <v>61.85</v>
      </c>
      <c r="E42" s="51">
        <v>0.6</v>
      </c>
      <c r="F42" s="51">
        <v>0</v>
      </c>
      <c r="G42" s="51">
        <v>0</v>
      </c>
      <c r="H42" s="51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104</v>
      </c>
      <c r="B43" s="60">
        <v>365.41</v>
      </c>
      <c r="C43" s="60">
        <v>8</v>
      </c>
      <c r="D43" s="60">
        <v>60.19</v>
      </c>
      <c r="E43" s="51">
        <v>0.6</v>
      </c>
      <c r="F43" s="51">
        <v>0</v>
      </c>
      <c r="G43" s="51">
        <v>0</v>
      </c>
      <c r="H43" s="51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114</v>
      </c>
      <c r="B44" s="60">
        <v>384.57</v>
      </c>
      <c r="C44" s="60">
        <v>9</v>
      </c>
      <c r="D44" s="60">
        <v>56.07</v>
      </c>
      <c r="E44" s="51">
        <v>0.6</v>
      </c>
      <c r="F44" s="51">
        <v>0</v>
      </c>
      <c r="G44" s="51">
        <v>0</v>
      </c>
      <c r="H44" s="51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124</v>
      </c>
      <c r="B45" s="60">
        <v>408.42</v>
      </c>
      <c r="C45" s="60">
        <v>10</v>
      </c>
      <c r="D45" s="60">
        <v>52.53</v>
      </c>
      <c r="E45" s="51">
        <v>0.6</v>
      </c>
      <c r="F45" s="51">
        <v>0</v>
      </c>
      <c r="G45" s="51">
        <v>0</v>
      </c>
      <c r="H45" s="51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134</v>
      </c>
      <c r="B46" s="60">
        <v>436.59</v>
      </c>
      <c r="C46" s="60">
        <v>11</v>
      </c>
      <c r="D46" s="60">
        <v>54.95</v>
      </c>
      <c r="E46" s="51">
        <v>0.6</v>
      </c>
      <c r="F46" s="51">
        <v>0</v>
      </c>
      <c r="G46" s="51">
        <v>0</v>
      </c>
      <c r="H46" s="51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144</v>
      </c>
      <c r="B47" s="60">
        <v>463.23</v>
      </c>
      <c r="C47" s="60">
        <v>12</v>
      </c>
      <c r="D47" s="60">
        <v>56.01</v>
      </c>
      <c r="E47" s="51">
        <v>0.6</v>
      </c>
      <c r="F47" s="51">
        <v>0</v>
      </c>
      <c r="G47" s="51">
        <v>0</v>
      </c>
      <c r="H47" s="51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154</v>
      </c>
      <c r="B48" s="60">
        <v>490.47</v>
      </c>
      <c r="C48" s="60">
        <v>13</v>
      </c>
      <c r="D48" s="60">
        <v>55.13</v>
      </c>
      <c r="E48" s="51">
        <v>0.6</v>
      </c>
      <c r="F48" s="51">
        <v>0</v>
      </c>
      <c r="G48" s="51">
        <v>0</v>
      </c>
      <c r="H48" s="51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164</v>
      </c>
      <c r="B49" s="60">
        <v>519.77</v>
      </c>
      <c r="C49" s="60">
        <v>14</v>
      </c>
      <c r="D49" s="60">
        <v>59.58</v>
      </c>
      <c r="E49" s="51">
        <v>0.6</v>
      </c>
      <c r="F49" s="51">
        <v>0</v>
      </c>
      <c r="G49" s="51">
        <v>0</v>
      </c>
      <c r="H49" s="51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174</v>
      </c>
      <c r="B50" s="50">
        <v>545.65</v>
      </c>
      <c r="C50" s="50">
        <v>15</v>
      </c>
      <c r="D50" s="50">
        <v>214.77</v>
      </c>
      <c r="E50" s="51">
        <v>0.6</v>
      </c>
      <c r="F50" s="51">
        <v>0</v>
      </c>
      <c r="G50" s="51">
        <v>0</v>
      </c>
      <c r="H50" s="51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177</v>
      </c>
      <c r="B51" s="50">
        <v>347.04</v>
      </c>
      <c r="C51" s="50">
        <v>16</v>
      </c>
      <c r="D51" s="50">
        <v>115.19</v>
      </c>
      <c r="E51" s="51">
        <v>0.6</v>
      </c>
      <c r="F51" s="51">
        <v>0</v>
      </c>
      <c r="G51" s="51">
        <v>0</v>
      </c>
      <c r="H51" s="51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180</v>
      </c>
      <c r="B52" s="50">
        <v>241.62</v>
      </c>
      <c r="C52" s="50">
        <v>17</v>
      </c>
      <c r="D52" s="50">
        <v>77.72</v>
      </c>
      <c r="E52" s="51">
        <v>0.6</v>
      </c>
      <c r="F52" s="51">
        <v>0</v>
      </c>
      <c r="G52" s="51">
        <v>0</v>
      </c>
      <c r="H52" s="51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183</v>
      </c>
      <c r="B53" s="50">
        <v>169.76</v>
      </c>
      <c r="C53" s="50">
        <v>18</v>
      </c>
      <c r="D53" s="50">
        <v>169.76</v>
      </c>
      <c r="E53" s="51">
        <v>0.6</v>
      </c>
      <c r="F53" s="51">
        <v>0</v>
      </c>
      <c r="G53" s="51">
        <v>0</v>
      </c>
      <c r="H53" s="51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38</v>
      </c>
      <c r="B62" s="60">
        <v>144.83000000000001</v>
      </c>
      <c r="C62" s="60">
        <v>1</v>
      </c>
      <c r="D62" s="60">
        <v>69.08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3.8113157894736847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45</v>
      </c>
      <c r="B63" s="60">
        <v>138.46</v>
      </c>
      <c r="C63" s="60">
        <v>2</v>
      </c>
      <c r="D63" s="60">
        <v>39.119999999999997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8.9585714285714282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52</v>
      </c>
      <c r="B64" s="60">
        <v>162.18</v>
      </c>
      <c r="C64" s="60">
        <v>3</v>
      </c>
      <c r="D64" s="60">
        <v>40.9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8.9771428571428569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59</v>
      </c>
      <c r="B65" s="60">
        <v>182.58</v>
      </c>
      <c r="C65" s="60">
        <v>4</v>
      </c>
      <c r="D65" s="60">
        <v>38.119999999999997</v>
      </c>
      <c r="E65" s="51">
        <v>0.3</v>
      </c>
      <c r="F65" s="51">
        <v>0</v>
      </c>
      <c r="G65" s="51">
        <v>0</v>
      </c>
      <c r="H65" s="51">
        <v>0.7</v>
      </c>
      <c r="I65" s="49">
        <f>IF(A65&lt;&gt;0,(B65-(B64-D64))/(A65-A64),"")</f>
        <v>8.757142857142858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67</v>
      </c>
      <c r="B66" s="60">
        <v>212.86</v>
      </c>
      <c r="C66" s="60">
        <v>5</v>
      </c>
      <c r="D66" s="60">
        <v>38.229999999999997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8.5500000000000007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75</v>
      </c>
      <c r="B67" s="60">
        <v>241.9</v>
      </c>
      <c r="C67" s="60">
        <v>6</v>
      </c>
      <c r="D67" s="60">
        <v>38.909999999999997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8.4087499999999977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83</v>
      </c>
      <c r="B68" s="60">
        <v>268.67</v>
      </c>
      <c r="C68" s="60">
        <v>7</v>
      </c>
      <c r="D68" s="60">
        <v>44.22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8.2100000000000009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93</v>
      </c>
      <c r="B69" s="50">
        <v>304.33</v>
      </c>
      <c r="C69" s="50">
        <v>8</v>
      </c>
      <c r="D69" s="50">
        <v>59.26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7.9879999999999969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103</v>
      </c>
      <c r="B70" s="50">
        <v>322.19</v>
      </c>
      <c r="C70" s="50">
        <v>9</v>
      </c>
      <c r="D70" s="50">
        <v>58.98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7.7120000000000006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113</v>
      </c>
      <c r="B71" s="50">
        <v>337.78</v>
      </c>
      <c r="C71" s="50">
        <v>10</v>
      </c>
      <c r="D71" s="50">
        <v>59.52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7.456999999999999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123</v>
      </c>
      <c r="B72" s="50">
        <v>352.18</v>
      </c>
      <c r="C72" s="50">
        <v>11</v>
      </c>
      <c r="D72" s="50">
        <v>175.3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7.3920000000000012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125</v>
      </c>
      <c r="B73" s="50">
        <v>185.05</v>
      </c>
      <c r="C73" s="50">
        <v>12</v>
      </c>
      <c r="D73" s="50">
        <v>60.7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4.085000000000008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127</v>
      </c>
      <c r="B74" s="50">
        <v>129.93</v>
      </c>
      <c r="C74" s="50">
        <v>13</v>
      </c>
      <c r="D74" s="50">
        <v>39.56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2.7899999999999991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130</v>
      </c>
      <c r="B75" s="50">
        <v>96.57</v>
      </c>
      <c r="C75" s="50">
        <v>14</v>
      </c>
      <c r="D75" s="50">
        <v>96.57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2.0666666666666629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Aulne glutineux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9</v>
      </c>
      <c r="C114" s="50">
        <v>1</v>
      </c>
      <c r="D114" s="60">
        <v>1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0.9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36</v>
      </c>
      <c r="C115" s="50">
        <v>2</v>
      </c>
      <c r="D115" s="60">
        <v>3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84</v>
      </c>
      <c r="C116" s="50">
        <v>3</v>
      </c>
      <c r="D116" s="60">
        <v>9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25</v>
      </c>
      <c r="B117" s="60">
        <v>116</v>
      </c>
      <c r="C117" s="50">
        <v>4</v>
      </c>
      <c r="D117" s="60">
        <v>18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8.1999999999999993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137</v>
      </c>
      <c r="C118" s="50">
        <v>5</v>
      </c>
      <c r="D118" s="60">
        <v>20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35</v>
      </c>
      <c r="B119" s="60">
        <v>153</v>
      </c>
      <c r="C119" s="50">
        <v>6</v>
      </c>
      <c r="D119" s="60">
        <v>21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40</v>
      </c>
      <c r="B120" s="60">
        <v>167</v>
      </c>
      <c r="C120" s="60">
        <v>7</v>
      </c>
      <c r="D120" s="60">
        <v>22</v>
      </c>
      <c r="E120" s="87">
        <v>0</v>
      </c>
      <c r="F120" s="87">
        <v>0</v>
      </c>
      <c r="G120" s="87">
        <v>0</v>
      </c>
      <c r="H120" s="87">
        <v>1</v>
      </c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45</v>
      </c>
      <c r="B121" s="60">
        <v>177</v>
      </c>
      <c r="C121" s="60">
        <v>8</v>
      </c>
      <c r="D121" s="60">
        <v>22</v>
      </c>
      <c r="E121" s="87">
        <v>0.3</v>
      </c>
      <c r="F121" s="87">
        <v>0</v>
      </c>
      <c r="G121" s="87">
        <v>0</v>
      </c>
      <c r="H121" s="87">
        <v>0.7</v>
      </c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50</v>
      </c>
      <c r="B122" s="60">
        <v>184</v>
      </c>
      <c r="C122" s="60">
        <v>9</v>
      </c>
      <c r="D122" s="60">
        <v>21</v>
      </c>
      <c r="E122" s="87">
        <v>0.3</v>
      </c>
      <c r="F122" s="87">
        <v>0</v>
      </c>
      <c r="G122" s="87">
        <v>0</v>
      </c>
      <c r="H122" s="87">
        <v>0.7</v>
      </c>
      <c r="I122" s="53">
        <f t="shared" si="4"/>
        <v>5.8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55</v>
      </c>
      <c r="B123" s="60">
        <v>191</v>
      </c>
      <c r="C123" s="60">
        <v>10</v>
      </c>
      <c r="D123" s="60">
        <v>20</v>
      </c>
      <c r="E123" s="87">
        <v>0.3</v>
      </c>
      <c r="F123" s="87">
        <v>0</v>
      </c>
      <c r="G123" s="87">
        <v>0</v>
      </c>
      <c r="H123" s="87">
        <v>0.7</v>
      </c>
      <c r="I123" s="53">
        <f t="shared" si="4"/>
        <v>5.6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60</v>
      </c>
      <c r="B124" s="60">
        <v>196</v>
      </c>
      <c r="C124" s="60">
        <v>11</v>
      </c>
      <c r="D124" s="60">
        <v>19</v>
      </c>
      <c r="E124" s="87">
        <v>0.3</v>
      </c>
      <c r="F124" s="87">
        <v>0</v>
      </c>
      <c r="G124" s="87">
        <v>0</v>
      </c>
      <c r="H124" s="87">
        <v>0.7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65</v>
      </c>
      <c r="B125" s="60">
        <v>201</v>
      </c>
      <c r="C125" s="60">
        <v>12</v>
      </c>
      <c r="D125" s="60">
        <v>18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4.8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70</v>
      </c>
      <c r="B126" s="60">
        <v>205</v>
      </c>
      <c r="C126" s="60">
        <v>13</v>
      </c>
      <c r="D126" s="60">
        <v>17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75</v>
      </c>
      <c r="B127" s="60">
        <v>208</v>
      </c>
      <c r="C127" s="60">
        <v>14</v>
      </c>
      <c r="D127" s="60">
        <v>16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211</v>
      </c>
      <c r="C128" s="50">
        <v>15</v>
      </c>
      <c r="D128" s="50">
        <v>15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3.8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85</v>
      </c>
      <c r="B129" s="50">
        <v>214</v>
      </c>
      <c r="C129" s="50">
        <v>16</v>
      </c>
      <c r="D129" s="50">
        <v>14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3.6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90</v>
      </c>
      <c r="B130" s="50">
        <v>217</v>
      </c>
      <c r="C130" s="50">
        <v>17</v>
      </c>
      <c r="D130" s="50">
        <v>217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Aulne à feuilles en cœur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9</v>
      </c>
      <c r="C140" s="50">
        <v>1</v>
      </c>
      <c r="D140" s="60">
        <v>1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0.9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36</v>
      </c>
      <c r="C141" s="50">
        <v>2</v>
      </c>
      <c r="D141" s="60">
        <v>3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5.6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84</v>
      </c>
      <c r="C142" s="50">
        <v>3</v>
      </c>
      <c r="D142" s="60">
        <v>9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10.199999999999999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116</v>
      </c>
      <c r="C143" s="50">
        <v>4</v>
      </c>
      <c r="D143" s="60">
        <v>18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8.1999999999999993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137</v>
      </c>
      <c r="C144" s="50">
        <v>5</v>
      </c>
      <c r="D144" s="60">
        <v>20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7.8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153</v>
      </c>
      <c r="C145" s="50">
        <v>6</v>
      </c>
      <c r="D145" s="60">
        <v>21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7.2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167</v>
      </c>
      <c r="C146" s="50">
        <v>7</v>
      </c>
      <c r="D146" s="60">
        <v>22</v>
      </c>
      <c r="E146" s="51">
        <v>0</v>
      </c>
      <c r="F146" s="51">
        <v>0</v>
      </c>
      <c r="G146" s="51">
        <v>0</v>
      </c>
      <c r="H146" s="51">
        <v>1</v>
      </c>
      <c r="I146" s="57">
        <f t="shared" si="5"/>
        <v>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177</v>
      </c>
      <c r="C147" s="50">
        <v>8</v>
      </c>
      <c r="D147" s="60">
        <v>22</v>
      </c>
      <c r="E147" s="51">
        <v>0.3</v>
      </c>
      <c r="F147" s="51">
        <v>0</v>
      </c>
      <c r="G147" s="51">
        <v>0</v>
      </c>
      <c r="H147" s="51">
        <v>0.7</v>
      </c>
      <c r="I147" s="57">
        <f>IF(A147&lt;&gt;0,(B147-(B146-D146))/(A147-A146),"")</f>
        <v>6.4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184</v>
      </c>
      <c r="C148" s="50">
        <v>9</v>
      </c>
      <c r="D148" s="60">
        <v>21</v>
      </c>
      <c r="E148" s="51">
        <v>0.3</v>
      </c>
      <c r="F148" s="51">
        <v>0</v>
      </c>
      <c r="G148" s="51">
        <v>0</v>
      </c>
      <c r="H148" s="51">
        <v>0.7</v>
      </c>
      <c r="I148" s="57">
        <f t="shared" si="5"/>
        <v>5.8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191</v>
      </c>
      <c r="C149" s="50">
        <v>10</v>
      </c>
      <c r="D149" s="60">
        <v>20</v>
      </c>
      <c r="E149" s="51">
        <v>0.3</v>
      </c>
      <c r="F149" s="51">
        <v>0</v>
      </c>
      <c r="G149" s="51">
        <v>0</v>
      </c>
      <c r="H149" s="51">
        <v>0.7</v>
      </c>
      <c r="I149" s="57">
        <f t="shared" si="5"/>
        <v>5.6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196</v>
      </c>
      <c r="C150" s="50">
        <v>11</v>
      </c>
      <c r="D150" s="60">
        <v>19</v>
      </c>
      <c r="E150" s="51">
        <v>0.3</v>
      </c>
      <c r="F150" s="51">
        <v>0</v>
      </c>
      <c r="G150" s="51">
        <v>0</v>
      </c>
      <c r="H150" s="51">
        <v>0.7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201</v>
      </c>
      <c r="C151" s="50">
        <v>12</v>
      </c>
      <c r="D151" s="60">
        <v>18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4.8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205</v>
      </c>
      <c r="C152" s="50">
        <v>13</v>
      </c>
      <c r="D152" s="60">
        <v>17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4.4000000000000004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208</v>
      </c>
      <c r="C153" s="50">
        <v>14</v>
      </c>
      <c r="D153" s="60">
        <v>16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211</v>
      </c>
      <c r="C154" s="50">
        <v>15</v>
      </c>
      <c r="D154" s="50">
        <v>15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5"/>
        <v>3.8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85</v>
      </c>
      <c r="B155" s="56">
        <v>214</v>
      </c>
      <c r="C155" s="50">
        <v>16</v>
      </c>
      <c r="D155" s="50">
        <v>14</v>
      </c>
      <c r="E155" s="54">
        <v>0.6</v>
      </c>
      <c r="F155" s="54">
        <v>0</v>
      </c>
      <c r="G155" s="54">
        <v>0</v>
      </c>
      <c r="H155" s="54">
        <v>0.4</v>
      </c>
      <c r="I155" s="57">
        <f t="shared" si="5"/>
        <v>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90</v>
      </c>
      <c r="B156" s="56">
        <v>217</v>
      </c>
      <c r="C156" s="50">
        <v>17</v>
      </c>
      <c r="D156" s="50">
        <v>217</v>
      </c>
      <c r="E156" s="54">
        <v>0.6</v>
      </c>
      <c r="F156" s="54">
        <v>0</v>
      </c>
      <c r="G156" s="54">
        <v>0</v>
      </c>
      <c r="H156" s="54">
        <v>0.4</v>
      </c>
      <c r="I156" s="57">
        <f t="shared" si="5"/>
        <v>3.4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Pin sylvestre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27</v>
      </c>
      <c r="B166" s="60">
        <v>197.73</v>
      </c>
      <c r="C166" s="60">
        <v>1</v>
      </c>
      <c r="D166" s="60">
        <v>66.53</v>
      </c>
      <c r="E166" s="51">
        <v>0</v>
      </c>
      <c r="F166" s="51">
        <v>1</v>
      </c>
      <c r="G166" s="51">
        <v>0</v>
      </c>
      <c r="H166" s="51">
        <v>0</v>
      </c>
      <c r="I166" s="49">
        <f>IFERROR(B166/A166,"")</f>
        <v>7.3233333333333333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33</v>
      </c>
      <c r="B167" s="60">
        <v>204.84</v>
      </c>
      <c r="C167" s="60">
        <v>2</v>
      </c>
      <c r="D167" s="60">
        <v>49.17</v>
      </c>
      <c r="E167" s="51">
        <v>0</v>
      </c>
      <c r="F167" s="51">
        <v>1</v>
      </c>
      <c r="G167" s="51">
        <v>0</v>
      </c>
      <c r="H167" s="51">
        <v>0</v>
      </c>
      <c r="I167" s="49">
        <f t="shared" ref="I167:I185" si="6">IF(A167&lt;&gt;0,(B167-(B166-D166))/(A167-A166),"")</f>
        <v>12.273333333333335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40</v>
      </c>
      <c r="B168" s="60">
        <v>233.92</v>
      </c>
      <c r="C168" s="60">
        <v>3</v>
      </c>
      <c r="D168" s="60">
        <v>53.16</v>
      </c>
      <c r="E168" s="51">
        <v>0</v>
      </c>
      <c r="F168" s="51">
        <v>1</v>
      </c>
      <c r="G168" s="51">
        <v>0</v>
      </c>
      <c r="H168" s="51">
        <v>0</v>
      </c>
      <c r="I168" s="49">
        <f t="shared" si="6"/>
        <v>11.178571428571425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48</v>
      </c>
      <c r="B169" s="60">
        <v>259.75</v>
      </c>
      <c r="C169" s="60">
        <v>4</v>
      </c>
      <c r="D169" s="60">
        <v>44.85</v>
      </c>
      <c r="E169" s="51">
        <v>0.5</v>
      </c>
      <c r="F169" s="51">
        <v>0.5</v>
      </c>
      <c r="G169" s="51">
        <v>0</v>
      </c>
      <c r="H169" s="51">
        <v>0</v>
      </c>
      <c r="I169" s="49">
        <f t="shared" si="6"/>
        <v>9.8737500000000011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58</v>
      </c>
      <c r="B170" s="60">
        <v>303.06</v>
      </c>
      <c r="C170" s="60">
        <v>5</v>
      </c>
      <c r="D170" s="60">
        <v>53.28</v>
      </c>
      <c r="E170" s="51">
        <v>0.7</v>
      </c>
      <c r="F170" s="51">
        <v>0.3</v>
      </c>
      <c r="G170" s="51">
        <v>0</v>
      </c>
      <c r="H170" s="51">
        <v>0</v>
      </c>
      <c r="I170" s="49">
        <f t="shared" si="6"/>
        <v>8.8159999999999989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68</v>
      </c>
      <c r="B171" s="60">
        <v>325.88</v>
      </c>
      <c r="C171" s="60">
        <v>6</v>
      </c>
      <c r="D171" s="60">
        <v>48.37</v>
      </c>
      <c r="E171" s="51">
        <v>0.7</v>
      </c>
      <c r="F171" s="51">
        <v>0.3</v>
      </c>
      <c r="G171" s="51">
        <v>0</v>
      </c>
      <c r="H171" s="51">
        <v>0</v>
      </c>
      <c r="I171" s="49">
        <f t="shared" si="6"/>
        <v>7.6099999999999994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78</v>
      </c>
      <c r="B172" s="60">
        <v>342.55</v>
      </c>
      <c r="C172" s="60">
        <v>7</v>
      </c>
      <c r="D172" s="60">
        <v>42.06</v>
      </c>
      <c r="E172" s="51">
        <v>0.7</v>
      </c>
      <c r="F172" s="51">
        <v>0.3</v>
      </c>
      <c r="G172" s="51">
        <v>0</v>
      </c>
      <c r="H172" s="51">
        <v>0</v>
      </c>
      <c r="I172" s="49">
        <f t="shared" si="6"/>
        <v>6.5040000000000022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88</v>
      </c>
      <c r="B173" s="50">
        <v>356.63</v>
      </c>
      <c r="C173" s="50">
        <v>8</v>
      </c>
      <c r="D173" s="50">
        <v>35.479999999999997</v>
      </c>
      <c r="E173" s="51">
        <v>0.7</v>
      </c>
      <c r="F173" s="51">
        <v>0.3</v>
      </c>
      <c r="G173" s="51">
        <v>0</v>
      </c>
      <c r="H173" s="51">
        <v>0</v>
      </c>
      <c r="I173" s="49">
        <f t="shared" si="6"/>
        <v>5.613999999999999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108</v>
      </c>
      <c r="B174" s="50">
        <v>416.59</v>
      </c>
      <c r="C174" s="50">
        <v>9</v>
      </c>
      <c r="D174" s="50">
        <v>250.53</v>
      </c>
      <c r="E174" s="51">
        <v>0.7</v>
      </c>
      <c r="F174" s="51">
        <v>0.3</v>
      </c>
      <c r="G174" s="51">
        <v>0</v>
      </c>
      <c r="H174" s="51">
        <v>0</v>
      </c>
      <c r="I174" s="49">
        <f t="shared" si="6"/>
        <v>4.7720000000000002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112</v>
      </c>
      <c r="B175" s="50">
        <v>177.88</v>
      </c>
      <c r="C175" s="50">
        <v>10</v>
      </c>
      <c r="D175" s="50">
        <v>177.88</v>
      </c>
      <c r="E175" s="51">
        <v>0.7</v>
      </c>
      <c r="F175" s="51">
        <v>0.3</v>
      </c>
      <c r="G175" s="51">
        <v>0</v>
      </c>
      <c r="H175" s="51">
        <v>0</v>
      </c>
      <c r="I175" s="49">
        <f t="shared" si="6"/>
        <v>2.9550000000000054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taeda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22</v>
      </c>
      <c r="B192" s="60">
        <v>129.07</v>
      </c>
      <c r="C192" s="60">
        <v>1</v>
      </c>
      <c r="D192" s="60">
        <v>52.41</v>
      </c>
      <c r="E192" s="51">
        <v>0.1</v>
      </c>
      <c r="F192" s="51">
        <v>0.8</v>
      </c>
      <c r="G192" s="51">
        <v>0</v>
      </c>
      <c r="H192" s="51">
        <v>0.1</v>
      </c>
      <c r="I192" s="49">
        <f>IFERROR(B192/A192,"")</f>
        <v>5.8668181818181813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27</v>
      </c>
      <c r="B193" s="60">
        <v>155.49</v>
      </c>
      <c r="C193" s="60">
        <v>2</v>
      </c>
      <c r="D193" s="60">
        <v>37.840000000000003</v>
      </c>
      <c r="E193" s="51">
        <v>0.1</v>
      </c>
      <c r="F193" s="51">
        <v>0.8</v>
      </c>
      <c r="G193" s="51">
        <v>0</v>
      </c>
      <c r="H193" s="51">
        <v>0.1</v>
      </c>
      <c r="I193" s="49">
        <f t="shared" ref="I193:I211" si="7">IF(A193&lt;&gt;0,(B193-(B192-D192))/(A193-A192),"")</f>
        <v>15.766000000000002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33</v>
      </c>
      <c r="B194" s="60">
        <v>217.34</v>
      </c>
      <c r="C194" s="60">
        <v>3</v>
      </c>
      <c r="D194" s="60">
        <v>50.41</v>
      </c>
      <c r="E194" s="51">
        <v>0.3</v>
      </c>
      <c r="F194" s="51">
        <v>0.5</v>
      </c>
      <c r="G194" s="51">
        <v>0</v>
      </c>
      <c r="H194" s="51">
        <v>0.2</v>
      </c>
      <c r="I194" s="49">
        <f t="shared" si="7"/>
        <v>16.614999999999998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41</v>
      </c>
      <c r="B195" s="60">
        <v>300.54000000000002</v>
      </c>
      <c r="C195" s="60">
        <v>4</v>
      </c>
      <c r="D195" s="60">
        <v>72.13</v>
      </c>
      <c r="E195" s="51">
        <v>0.3</v>
      </c>
      <c r="F195" s="51">
        <v>0.5</v>
      </c>
      <c r="G195" s="51">
        <v>0</v>
      </c>
      <c r="H195" s="51">
        <v>0.2</v>
      </c>
      <c r="I195" s="49">
        <f t="shared" si="7"/>
        <v>16.701250000000002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50</v>
      </c>
      <c r="B196" s="60">
        <v>369.94</v>
      </c>
      <c r="C196" s="60">
        <v>5</v>
      </c>
      <c r="D196" s="60">
        <v>70.2</v>
      </c>
      <c r="E196" s="51">
        <v>0.3</v>
      </c>
      <c r="F196" s="51">
        <v>0.5</v>
      </c>
      <c r="G196" s="51">
        <v>0</v>
      </c>
      <c r="H196" s="51">
        <v>0.2</v>
      </c>
      <c r="I196" s="49">
        <f t="shared" si="7"/>
        <v>15.725555555555552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60</v>
      </c>
      <c r="B197" s="60">
        <v>440.94</v>
      </c>
      <c r="C197" s="60">
        <v>6</v>
      </c>
      <c r="D197" s="60">
        <v>69.849999999999994</v>
      </c>
      <c r="E197" s="51">
        <v>0.7</v>
      </c>
      <c r="F197" s="51">
        <v>0.3</v>
      </c>
      <c r="G197" s="51">
        <v>0</v>
      </c>
      <c r="H197" s="51">
        <v>0</v>
      </c>
      <c r="I197" s="49">
        <f t="shared" si="7"/>
        <v>14.12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70</v>
      </c>
      <c r="B198" s="60">
        <v>490.06</v>
      </c>
      <c r="C198" s="60">
        <v>7</v>
      </c>
      <c r="D198" s="60">
        <v>67.88</v>
      </c>
      <c r="E198" s="51">
        <v>0.7</v>
      </c>
      <c r="F198" s="51">
        <v>0.3</v>
      </c>
      <c r="G198" s="51">
        <v>0</v>
      </c>
      <c r="H198" s="51">
        <v>0</v>
      </c>
      <c r="I198" s="49">
        <f t="shared" si="7"/>
        <v>11.896999999999997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80</v>
      </c>
      <c r="B199" s="50">
        <v>520</v>
      </c>
      <c r="C199" s="50">
        <v>8</v>
      </c>
      <c r="D199" s="50">
        <v>520</v>
      </c>
      <c r="E199" s="51">
        <v>0.7</v>
      </c>
      <c r="F199" s="51">
        <v>0.3</v>
      </c>
      <c r="G199" s="51">
        <v>0</v>
      </c>
      <c r="H199" s="51">
        <v>0</v>
      </c>
      <c r="I199" s="49">
        <f t="shared" si="7"/>
        <v>9.782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Pin maritime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17</v>
      </c>
      <c r="B218" s="60">
        <v>122.32</v>
      </c>
      <c r="C218" s="50">
        <v>1</v>
      </c>
      <c r="D218" s="60">
        <v>40.76</v>
      </c>
      <c r="E218" s="63">
        <v>0</v>
      </c>
      <c r="F218" s="63">
        <v>1</v>
      </c>
      <c r="G218" s="63">
        <v>0</v>
      </c>
      <c r="H218" s="63">
        <v>0</v>
      </c>
      <c r="I218" s="53">
        <f>IFERROR(B218/A218,"")</f>
        <v>7.1952941176470588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23</v>
      </c>
      <c r="B219" s="60">
        <v>187.68</v>
      </c>
      <c r="C219" s="50">
        <v>2</v>
      </c>
      <c r="D219" s="60">
        <v>57.75</v>
      </c>
      <c r="E219" s="63">
        <v>0.1</v>
      </c>
      <c r="F219" s="63">
        <v>0.8</v>
      </c>
      <c r="G219" s="63">
        <v>0</v>
      </c>
      <c r="H219" s="63">
        <v>0.1</v>
      </c>
      <c r="I219" s="53">
        <f t="shared" ref="I219:I237" si="8">IF(A219&lt;&gt;0,(B219-(B218-D218))/(A219-A218),"")</f>
        <v>17.686666666666667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29</v>
      </c>
      <c r="B220" s="60">
        <v>241.61</v>
      </c>
      <c r="C220" s="50">
        <v>3</v>
      </c>
      <c r="D220" s="60">
        <v>54.64</v>
      </c>
      <c r="E220" s="63">
        <v>0.1</v>
      </c>
      <c r="F220" s="63">
        <v>0.8</v>
      </c>
      <c r="G220" s="63">
        <v>0</v>
      </c>
      <c r="H220" s="63">
        <v>0.1</v>
      </c>
      <c r="I220" s="53">
        <f t="shared" si="8"/>
        <v>18.613333333333333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36</v>
      </c>
      <c r="B221" s="55">
        <v>311.13</v>
      </c>
      <c r="C221" s="55">
        <v>4</v>
      </c>
      <c r="D221" s="55">
        <v>76.069999999999993</v>
      </c>
      <c r="E221" s="63">
        <v>0.3</v>
      </c>
      <c r="F221" s="63">
        <v>0.5</v>
      </c>
      <c r="G221" s="63">
        <v>0</v>
      </c>
      <c r="H221" s="63">
        <v>0.2</v>
      </c>
      <c r="I221" s="53">
        <f t="shared" si="8"/>
        <v>17.737142857142853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44</v>
      </c>
      <c r="B222" s="55">
        <v>367.35</v>
      </c>
      <c r="C222" s="55">
        <v>5</v>
      </c>
      <c r="D222" s="55">
        <v>77.91</v>
      </c>
      <c r="E222" s="63">
        <v>0.3</v>
      </c>
      <c r="F222" s="63">
        <v>0.5</v>
      </c>
      <c r="G222" s="63">
        <v>0</v>
      </c>
      <c r="H222" s="63">
        <v>0.2</v>
      </c>
      <c r="I222" s="53">
        <f t="shared" si="8"/>
        <v>16.536250000000003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52</v>
      </c>
      <c r="B223" s="55">
        <v>406.59</v>
      </c>
      <c r="C223" s="55">
        <v>6</v>
      </c>
      <c r="D223" s="55">
        <v>75.37</v>
      </c>
      <c r="E223" s="63">
        <v>0.7</v>
      </c>
      <c r="F223" s="63">
        <v>0.3</v>
      </c>
      <c r="G223" s="63">
        <v>0</v>
      </c>
      <c r="H223" s="63">
        <v>0</v>
      </c>
      <c r="I223" s="53">
        <f t="shared" si="8"/>
        <v>14.64374999999999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60</v>
      </c>
      <c r="B224" s="55">
        <v>436.34</v>
      </c>
      <c r="C224" s="55">
        <v>7</v>
      </c>
      <c r="D224" s="55">
        <v>436.34</v>
      </c>
      <c r="E224" s="63">
        <v>0.7</v>
      </c>
      <c r="F224" s="63">
        <v>0.3</v>
      </c>
      <c r="G224" s="63">
        <v>0</v>
      </c>
      <c r="H224" s="63">
        <v>0</v>
      </c>
      <c r="I224" s="53">
        <f t="shared" si="8"/>
        <v>13.14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Séquoia toujours vert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18</v>
      </c>
      <c r="B244" s="60">
        <v>202.31</v>
      </c>
      <c r="C244" s="60">
        <v>1</v>
      </c>
      <c r="D244" s="60">
        <v>74.819999999999993</v>
      </c>
      <c r="E244" s="51">
        <v>0</v>
      </c>
      <c r="F244" s="51">
        <v>1</v>
      </c>
      <c r="G244" s="51">
        <v>0</v>
      </c>
      <c r="H244" s="63">
        <v>0</v>
      </c>
      <c r="I244" s="53">
        <f>IFERROR(B244/A244,"")</f>
        <v>11.239444444444445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24</v>
      </c>
      <c r="B245" s="60">
        <v>289.08999999999997</v>
      </c>
      <c r="C245" s="60">
        <v>2</v>
      </c>
      <c r="D245" s="60">
        <v>51.39</v>
      </c>
      <c r="E245" s="63">
        <v>0</v>
      </c>
      <c r="F245" s="63">
        <v>1</v>
      </c>
      <c r="G245" s="63">
        <v>0</v>
      </c>
      <c r="H245" s="63">
        <v>0</v>
      </c>
      <c r="I245" s="53">
        <f>IF(A245&lt;&gt;0,(B245-(B244-D244))/(A245-A244),"")</f>
        <v>26.933333333333326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30</v>
      </c>
      <c r="B246" s="60">
        <v>410.56</v>
      </c>
      <c r="C246" s="60">
        <v>3</v>
      </c>
      <c r="D246" s="60">
        <v>80.97</v>
      </c>
      <c r="E246" s="63">
        <v>0</v>
      </c>
      <c r="F246" s="63">
        <v>1</v>
      </c>
      <c r="G246" s="63">
        <v>0</v>
      </c>
      <c r="H246" s="63">
        <v>0</v>
      </c>
      <c r="I246" s="53">
        <f>IF(A246&lt;&gt;0,(B246-(B245-D245))/(A246-A245),"")</f>
        <v>28.810000000000002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36</v>
      </c>
      <c r="B247" s="60">
        <v>501.41</v>
      </c>
      <c r="C247" s="60">
        <v>4</v>
      </c>
      <c r="D247" s="60">
        <v>85.88</v>
      </c>
      <c r="E247" s="63">
        <v>0</v>
      </c>
      <c r="F247" s="63">
        <v>1</v>
      </c>
      <c r="G247" s="63">
        <v>0</v>
      </c>
      <c r="H247" s="63">
        <v>0</v>
      </c>
      <c r="I247" s="53">
        <f t="shared" ref="I247:I263" si="9">IF(A247&lt;&gt;0,(B247-(B246-D246))/(A247-A246),"")</f>
        <v>28.636666666666667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42</v>
      </c>
      <c r="B248" s="60">
        <v>583.89</v>
      </c>
      <c r="C248" s="60">
        <v>5</v>
      </c>
      <c r="D248" s="60">
        <v>91.25</v>
      </c>
      <c r="E248" s="63">
        <v>0.5</v>
      </c>
      <c r="F248" s="63">
        <v>0.5</v>
      </c>
      <c r="G248" s="63">
        <v>0</v>
      </c>
      <c r="H248" s="63">
        <v>0</v>
      </c>
      <c r="I248" s="53">
        <f t="shared" si="9"/>
        <v>28.059999999999992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48</v>
      </c>
      <c r="B249" s="60">
        <v>655.04999999999995</v>
      </c>
      <c r="C249" s="60">
        <v>6</v>
      </c>
      <c r="D249" s="60">
        <v>101.34</v>
      </c>
      <c r="E249" s="63">
        <v>0.5</v>
      </c>
      <c r="F249" s="63">
        <v>0.5</v>
      </c>
      <c r="G249" s="63">
        <v>0</v>
      </c>
      <c r="H249" s="63">
        <v>0</v>
      </c>
      <c r="I249" s="53">
        <f t="shared" si="9"/>
        <v>27.068333333333328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54</v>
      </c>
      <c r="B250" s="60">
        <v>707.75</v>
      </c>
      <c r="C250" s="60">
        <v>7</v>
      </c>
      <c r="D250" s="60">
        <v>707.75</v>
      </c>
      <c r="E250" s="63">
        <v>0.7</v>
      </c>
      <c r="F250" s="63">
        <v>0.3</v>
      </c>
      <c r="G250" s="63">
        <v>0</v>
      </c>
      <c r="H250" s="63">
        <v>0</v>
      </c>
      <c r="I250" s="53">
        <f t="shared" si="9"/>
        <v>25.673333333333346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laricio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22</v>
      </c>
      <c r="B270" s="60">
        <v>129.07</v>
      </c>
      <c r="C270" s="50">
        <v>1</v>
      </c>
      <c r="D270" s="60">
        <v>52.41</v>
      </c>
      <c r="E270" s="51">
        <v>0.1</v>
      </c>
      <c r="F270" s="51">
        <v>0.8</v>
      </c>
      <c r="G270" s="51">
        <v>0</v>
      </c>
      <c r="H270" s="51">
        <v>0.1</v>
      </c>
      <c r="I270" s="53">
        <f>IFERROR(B270/A270,"")</f>
        <v>5.8668181818181813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27</v>
      </c>
      <c r="B271" s="60">
        <v>155.49</v>
      </c>
      <c r="C271" s="50">
        <v>2</v>
      </c>
      <c r="D271" s="60">
        <v>37.840000000000003</v>
      </c>
      <c r="E271" s="51">
        <v>0.1</v>
      </c>
      <c r="F271" s="51">
        <v>0.8</v>
      </c>
      <c r="G271" s="51">
        <v>0</v>
      </c>
      <c r="H271" s="51">
        <v>0.1</v>
      </c>
      <c r="I271" s="53">
        <f>IF(A271&lt;&gt;0,(B271-(B270-D270))/(A271-A270),"")</f>
        <v>15.766000000000002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33</v>
      </c>
      <c r="B272" s="60">
        <v>217.34</v>
      </c>
      <c r="C272" s="50">
        <v>3</v>
      </c>
      <c r="D272" s="60">
        <v>50.41</v>
      </c>
      <c r="E272" s="51">
        <v>0.3</v>
      </c>
      <c r="F272" s="51">
        <v>0.5</v>
      </c>
      <c r="G272" s="51">
        <v>0</v>
      </c>
      <c r="H272" s="51">
        <v>0.2</v>
      </c>
      <c r="I272" s="53">
        <f t="shared" ref="I272:I289" si="10">IF(A272&lt;&gt;0,(B272-(B271-D271))/(A272-A271),"")</f>
        <v>16.614999999999998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41</v>
      </c>
      <c r="B273" s="60">
        <v>300.54000000000002</v>
      </c>
      <c r="C273" s="50">
        <v>4</v>
      </c>
      <c r="D273" s="60">
        <v>72.13</v>
      </c>
      <c r="E273" s="51">
        <v>0.3</v>
      </c>
      <c r="F273" s="51">
        <v>0.5</v>
      </c>
      <c r="G273" s="51">
        <v>0</v>
      </c>
      <c r="H273" s="51">
        <v>0.2</v>
      </c>
      <c r="I273" s="53">
        <f t="shared" si="10"/>
        <v>16.701250000000002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50</v>
      </c>
      <c r="B274" s="60">
        <v>369.94</v>
      </c>
      <c r="C274" s="50">
        <v>5</v>
      </c>
      <c r="D274" s="60">
        <v>70.2</v>
      </c>
      <c r="E274" s="51">
        <v>0.3</v>
      </c>
      <c r="F274" s="51">
        <v>0.5</v>
      </c>
      <c r="G274" s="51">
        <v>0</v>
      </c>
      <c r="H274" s="51">
        <v>0.2</v>
      </c>
      <c r="I274" s="53">
        <f t="shared" si="10"/>
        <v>15.725555555555552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60</v>
      </c>
      <c r="B275" s="60">
        <v>440.94</v>
      </c>
      <c r="C275" s="50">
        <v>6</v>
      </c>
      <c r="D275" s="60">
        <v>69.849999999999994</v>
      </c>
      <c r="E275" s="63">
        <v>0.7</v>
      </c>
      <c r="F275" s="63">
        <v>0.3</v>
      </c>
      <c r="G275" s="63">
        <v>0</v>
      </c>
      <c r="H275" s="63">
        <v>0</v>
      </c>
      <c r="I275" s="53">
        <f t="shared" si="10"/>
        <v>14.12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70</v>
      </c>
      <c r="B276" s="60">
        <v>490.06</v>
      </c>
      <c r="C276" s="50">
        <v>7</v>
      </c>
      <c r="D276" s="60">
        <v>67.88</v>
      </c>
      <c r="E276" s="63">
        <v>0.7</v>
      </c>
      <c r="F276" s="63">
        <v>0.3</v>
      </c>
      <c r="G276" s="63">
        <v>0</v>
      </c>
      <c r="H276" s="63">
        <v>0</v>
      </c>
      <c r="I276" s="53">
        <f t="shared" si="10"/>
        <v>11.896999999999997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80</v>
      </c>
      <c r="B277" s="55">
        <v>520</v>
      </c>
      <c r="C277" s="55">
        <v>8</v>
      </c>
      <c r="D277" s="55">
        <v>520</v>
      </c>
      <c r="E277" s="63">
        <v>0.7</v>
      </c>
      <c r="F277" s="63">
        <v>0.3</v>
      </c>
      <c r="G277" s="63">
        <v>0</v>
      </c>
      <c r="H277" s="63">
        <v>0</v>
      </c>
      <c r="I277" s="53">
        <f t="shared" si="10"/>
        <v>9.782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D17" sqref="D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0.89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0.11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Aulne glutineux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Aulne à feuilles en cœur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sylvestre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taeda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maritime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Séquoia toujours vert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Pin laricio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178.09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159.75666666666666</v>
      </c>
      <c r="S3" s="59">
        <f ca="1">AVERAGE(OFFSET($R$3,0,0,'Données projet'!$E$9+1,1))-AVERAGE(OFFSET($H$3,0,0,'Données projet'!$E$9+1,1))</f>
        <v>631.31712308065664</v>
      </c>
      <c r="T3" s="59">
        <f>IF('Données projet'!E9&gt;30,$R$33-$H$33,LOOKUP('Données projet'!$E$9,$A$3:$A$203,R3:R203)-LOOKUP('Données projet'!$E$9,$A$3:$A$203,$H$3:$H$203))</f>
        <v>290.92244624361285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159.75666666666666</v>
      </c>
      <c r="AN3" s="59">
        <f ca="1">AVERAGE(OFFSET($AM$3,0,0,'Données projet'!$E$10+1,1))-AVERAGE(OFFSET($H$3,0,0,'Données projet'!$E$10+1,1))</f>
        <v>401.19166052471473</v>
      </c>
      <c r="AO3" s="59">
        <f>IF('Données projet'!E10&gt;30,$AM$33-$H$33,LOOKUP('Données projet'!$E$10,$A$3:$A$203,AM3:AM203)-LOOKUP('Données projet'!$E$10,$A$3:$A$203,$H$3:$H$203))</f>
        <v>271.10067497534271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159.75666666666666</v>
      </c>
      <c r="BI3" s="59">
        <f ca="1">AVERAGE(OFFSET($BH$3,0,0,'Données projet'!$E$11+1,1))-AVERAGE(OFFSET($H$3,0,0,'Données projet'!$E$11+1,1))</f>
        <v>695.93700574708214</v>
      </c>
      <c r="BJ3" s="59">
        <f>IF('Données projet'!E11&gt;30,$BH$33-$H$33,LOOKUP('Données projet'!$E$11,$A$3:$A$203,BH3:BH203)-LOOKUP('Données projet'!$E$11,$A$3:$A$203,$H$3:$H$203))</f>
        <v>318.31690229208471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159.75666666666666</v>
      </c>
      <c r="CD3" s="59">
        <f ca="1">AVERAGE(OFFSET($CC$3,0,0,'Données projet'!$E$12+1,1))-AVERAGE(OFFSET($H$3,0,0,'Données projet'!$E$12+1,1))</f>
        <v>260.25859566735949</v>
      </c>
      <c r="CE3" s="59">
        <f>IF('Données projet'!E12&gt;30,$CC$33-$H$33,LOOKUP('Données projet'!$E$12,$A$3:$A$203,CC3:CC203)-LOOKUP('Données projet'!$E$12,$A$3:$A$203,$H$3:$H$203))</f>
        <v>256.93649773468667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159.75666666666666</v>
      </c>
      <c r="CY3" s="59">
        <f ca="1">AVERAGE(OFFSET($CX$3,0,0,'Données projet'!$E$13+1,1))-AVERAGE(OFFSET($H$3,0,0,'Données projet'!$E$13+1,1))</f>
        <v>260.25859566735949</v>
      </c>
      <c r="CZ3" s="59">
        <f>IF('Données projet'!E13&gt;30,$CX$33-$H$33,LOOKUP('Données projet'!$E$13,$A$3:$A$203,CX3:CX203)-LOOKUP('Données projet'!$E$13,$A$3:$A$203,$H$3:$H$203))</f>
        <v>256.93649773468667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159.75666666666666</v>
      </c>
      <c r="DT3" s="59">
        <f ca="1">AVERAGE(OFFSET($DS$3,0,0,'Données projet'!$E$14+1,1))-AVERAGE(OFFSET($H$3,0,0,'Données projet'!$E$14+1,1))</f>
        <v>349.56396446903</v>
      </c>
      <c r="DU3" s="59">
        <f>IF('Données projet'!E14&gt;30,$DS$33-$H$33,LOOKUP('Données projet'!$E$14,$A$3:$A$203,DS3:DS203)-LOOKUP('Données projet'!$E$14,$A$3:$A$203,$H$3:$H$203))</f>
        <v>270.64279448634522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159.75666666666666</v>
      </c>
      <c r="EO3" s="59">
        <f ca="1">AVERAGE(OFFSET($EN$3,0,0,'Données projet'!$E$15+1,1))-AVERAGE(OFFSET($H$3,0,0,'Données projet'!$E$15+1,1))</f>
        <v>375.89365709113105</v>
      </c>
      <c r="EP3" s="59">
        <f>IF('Données projet'!E15&gt;30,$EN$33-$H$33,LOOKUP('Données projet'!$E$15,$A$3:$A$203,EN3:EN203)-LOOKUP('Données projet'!$E$15,$A$3:$A$203,$H$3:$H$203))</f>
        <v>279.39056561403834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159.75666666666666</v>
      </c>
      <c r="FJ3" s="59">
        <f ca="1">AVERAGE(OFFSET($FI$3,0,0,'Données projet'!$E$16+1,1))-AVERAGE(OFFSET($H$3,0,0,'Données projet'!$E$16+1,1))</f>
        <v>319.29539841078537</v>
      </c>
      <c r="FK3" s="59">
        <f>IF('Données projet'!E16&gt;30,$FI$33-$H$33,LOOKUP('Données projet'!$E$16,$A$3:$A$203,FI3:FI203)-LOOKUP('Données projet'!$E$16,$A$3:$A$203,$H$3:$H$203))</f>
        <v>327.26871144121412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159.75666666666666</v>
      </c>
      <c r="GE3" s="59">
        <f ca="1">AVERAGE(OFFSET($GD$3,0,0,'Données projet'!$E$17+1,1))-AVERAGE(OFFSET($H$3,0,0,'Données projet'!$E$17+1,1))</f>
        <v>342.89128067483233</v>
      </c>
      <c r="GF3" s="59">
        <f>IF('Données projet'!E17&gt;30,$GD$33-$H$33,LOOKUP('Données projet'!$E$17,$A$3:$A$203,GD3:GD203)-LOOKUP('Données projet'!$E$17,$A$3:$A$203,$H$3:$H$203))</f>
        <v>453.47615302202996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43.57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159.75666666666666</v>
      </c>
      <c r="GZ3" s="59">
        <f ca="1">AVERAGE(OFFSET($GY$3,0,0,'Données projet'!$E$18+1,1))-AVERAGE(OFFSET($H$3,0,0,'Données projet'!$E$18+1,1))</f>
        <v>375.89365709113105</v>
      </c>
      <c r="HA3" s="59">
        <f>IF('Données projet'!E18&gt;30,$GY$33-$H$33,LOOKUP('Données projet'!$E$18,$A$3:$A$203,GY3:GY203)-LOOKUP('Données projet'!$E$18,$A$3:$A$203,$H$3:$H$203))</f>
        <v>279.39056561403834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178.09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3.5170868571428571</v>
      </c>
      <c r="P4" s="13">
        <f>EXP(-1.0587+0.8836*LN(O4)+0.284)</f>
        <v>1.400101260019349</v>
      </c>
      <c r="Q4" s="20">
        <f t="shared" ref="Q4:Q34" si="2">(O4+P4)*0.475*44/12</f>
        <v>8.5641026373908407</v>
      </c>
      <c r="R4" s="59">
        <f t="shared" si="0"/>
        <v>171.2241633679775</v>
      </c>
      <c r="S4" s="59">
        <f ca="1">AVERAGE(OFFSET($R$3,0,0,'Données projet'!$E$9+1,1))-AVERAGE(OFFSET($H$3,0,0,'Données projet'!$E$9+1,1))</f>
        <v>631.31712308065664</v>
      </c>
      <c r="T4" s="59">
        <f>$T$3</f>
        <v>290.92244624361285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3.8113157894736847</v>
      </c>
      <c r="AI4" s="13">
        <f>IF('Données projet'!$A$62&gt;35,AI3+AH4-AQ3,IF(A4&lt;'Données projet'!$A$62,$AF$205^A4,IF(A4='Données projet'!$A$62,'Données projet'!$B$62,AI3+AH4-AQ3)))</f>
        <v>3.8113157894736847</v>
      </c>
      <c r="AJ4" s="13">
        <f>AI4*VLOOKUP('Données projet'!$B$10,Paramètres!$A$1:$I$89,3,0)*VLOOKUP('Données projet'!$B$10,Paramètres!$A$1:$I$89,5,0)</f>
        <v>3.2106524210526319</v>
      </c>
      <c r="AK4" s="13">
        <f>EXP(-1.0587+0.8836*LN(AJ4)+0.284)</f>
        <v>1.2917482977000276</v>
      </c>
      <c r="AL4" s="20">
        <f t="shared" ref="AL4:AL67" si="4">(AJ4+AK4)*0.475*44/12</f>
        <v>7.8416812518275494</v>
      </c>
      <c r="AM4" s="59">
        <f t="shared" ref="AM4:AM67" si="5">AL4+(AD4+AE4)*44/12</f>
        <v>170.50174198241419</v>
      </c>
      <c r="AN4" s="59">
        <f ca="1">AVERAGE(OFFSET($AM$3,0,0,'Données projet'!$E$10+1,1))-AVERAGE(OFFSET($H$3,0,0,'Données projet'!$E$10+1,1))</f>
        <v>401.19166052471473</v>
      </c>
      <c r="AO4" s="59">
        <f>$AO$3</f>
        <v>271.10067497534271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3.9415628571428569</v>
      </c>
      <c r="BF4" s="13">
        <f>EXP(-1.0587+0.8836*LN(BE4)+0.284)</f>
        <v>1.5484055284644385</v>
      </c>
      <c r="BG4" s="20">
        <f t="shared" ref="BG4:BG67" si="7">(BE4+BF4)*0.475*44/12</f>
        <v>9.5616949382660383</v>
      </c>
      <c r="BH4" s="59">
        <f t="shared" ref="BH4:BH67" si="8">BG4+(AY4+AZ4)*44/12</f>
        <v>172.22175566885269</v>
      </c>
      <c r="BI4" s="59">
        <f ca="1">AVERAGE(OFFSET($BH$3,0,0,'Données projet'!$E$11+1,1))-AVERAGE(OFFSET($H$3,0,0,'Données projet'!$E$11+1,1))</f>
        <v>695.93700574708214</v>
      </c>
      <c r="BJ4" s="59">
        <f>$BJ$3</f>
        <v>318.31690229208471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0.9</v>
      </c>
      <c r="BY4" s="12">
        <f>IF('Données projet'!$A$114&gt;35,BY3+BX4-CG3,IF(A4&lt;'Données projet'!$A$114,$BV$205^A4,IF(A4='Données projet'!$A$114,'Données projet'!$B$114,BY3+BX4-CG3)))</f>
        <v>1.2457309396155174</v>
      </c>
      <c r="BZ4" s="13">
        <f>BY4*VLOOKUP('Données projet'!$B$12,Paramètres!$A$1:$I$89,3,0)*VLOOKUP('Données projet'!$B$12,Paramètres!$A$1:$I$89,5,0)</f>
        <v>0.81620291163608694</v>
      </c>
      <c r="CA4" s="13">
        <f>EXP(-1.0587+0.8836*LN(BZ4)+0.284)</f>
        <v>0.38513847027569503</v>
      </c>
      <c r="CB4" s="20">
        <f t="shared" ref="CB4:CB67" si="10">(BZ4+CA4)*0.475*44/12</f>
        <v>2.0923362401630201</v>
      </c>
      <c r="CC4" s="59">
        <f t="shared" ref="CC4:CC67" si="11">CB4+(BT4+BU4)*44/12</f>
        <v>164.75239697074966</v>
      </c>
      <c r="CD4" s="59">
        <f ca="1">AVERAGE(OFFSET($CC$3,0,0,'Données projet'!$E$12+1,1))-AVERAGE(OFFSET($H$3,0,0,'Données projet'!$E$12+1,1))</f>
        <v>260.25859566735949</v>
      </c>
      <c r="CE4" s="59">
        <f>$CE$3</f>
        <v>256.93649773468667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0.9</v>
      </c>
      <c r="CT4" s="12">
        <f>IF('Données projet'!$A$140&gt;35,CT3+CS4-DB3,IF(A4&lt;'Données projet'!$A$140,$CQ$205^A4,IF(A4='Données projet'!$A$140,'Données projet'!$B$140,CT3+CS4-DB3)))</f>
        <v>1.2457309396155174</v>
      </c>
      <c r="CU4" s="17">
        <f>CT4*VLOOKUP('Données projet'!$B$13,Paramètres!$A$1:$I$89,3,0)*VLOOKUP('Données projet'!$B$13,Paramètres!$A$1:$I$89,5,0)</f>
        <v>0.81620291163608694</v>
      </c>
      <c r="CV4" s="13">
        <f>EXP(-1.0587+0.8836*LN(CU4)+0.284)</f>
        <v>0.38513847027569503</v>
      </c>
      <c r="CW4" s="20">
        <f t="shared" ref="CW4:CW67" si="13">(CU4+CV4)*0.475*44/12</f>
        <v>2.0923362401630201</v>
      </c>
      <c r="CX4" s="59">
        <f t="shared" ref="CX4:CX67" si="14">CW4+(CO4+CP4)*44/12</f>
        <v>164.75239697074966</v>
      </c>
      <c r="CY4" s="59">
        <f ca="1">AVERAGE(OFFSET($CX$3,0,0,'Données projet'!$E$13+1,1))-AVERAGE(OFFSET($H$3,0,0,'Données projet'!$E$13+1,1))</f>
        <v>260.25859566735949</v>
      </c>
      <c r="CZ4" s="59">
        <f>$CZ$3</f>
        <v>256.93649773468667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7.3233333333333333</v>
      </c>
      <c r="DO4" s="12">
        <f>IF('Données projet'!$A$166&gt;35,DO3+DN4-DW3,IF(A4&lt;'Données projet'!$A$166,$DL$205^A4,IF(A4='Données projet'!$A$166,'Données projet'!$B$166,DO3+DN4-DW3)))</f>
        <v>1.2162972496060784</v>
      </c>
      <c r="DP4" s="17">
        <f>DO4*VLOOKUP('Données projet'!$B$14,Paramètres!$A$1:$I$89,3,0)*VLOOKUP('Données projet'!$B$14,Paramètres!$A$1:$I$89,5,0)</f>
        <v>0.69572202677467698</v>
      </c>
      <c r="DQ4" s="13">
        <f>EXP(-1.0587+0.8836*LN(DP4)+0.284)</f>
        <v>0.33444776390755332</v>
      </c>
      <c r="DR4" s="20">
        <f t="shared" ref="DR4:DR67" si="16">(DP4+DQ4)*0.475*44/12</f>
        <v>1.7942123854382175</v>
      </c>
      <c r="DS4" s="59">
        <f t="shared" ref="DS4:DS67" si="17">DR4+(DJ4+DK4)*44/12</f>
        <v>164.45427311602486</v>
      </c>
      <c r="DT4" s="59">
        <f ca="1">AVERAGE(OFFSET($DS$3,0,0,'Données projet'!$E$14+1,1))-AVERAGE(OFFSET($H$3,0,0,'Données projet'!$E$14+1,1))</f>
        <v>349.56396446903</v>
      </c>
      <c r="DU4" s="59">
        <f>$DU$3</f>
        <v>270.64279448634522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5.8668181818181813</v>
      </c>
      <c r="EJ4" s="12">
        <f>IF('Données projet'!$A$192&gt;35,EJ3+EI4-ER3,IF(A4&lt;'Données projet'!$A$192,$EG$205^A4,IF(A4='Données projet'!$A$192,'Données projet'!$B$192,EJ3+EI4-ER3)))</f>
        <v>1.2472301622014093</v>
      </c>
      <c r="EK4" s="17">
        <f>EJ4*VLOOKUP('Données projet'!$B$15,Paramètres!$A$1:$I$89,3,0)*VLOOKUP('Données projet'!$B$15,Paramètres!$A$1:$I$89,5,0)</f>
        <v>0.74584363699644274</v>
      </c>
      <c r="EL4" s="13">
        <f>EXP(-1.0587+0.8836*LN(EK4)+0.284)</f>
        <v>0.35565068640491565</v>
      </c>
      <c r="EM4" s="20">
        <f t="shared" ref="EM4:EM67" si="19">(EK4+EL4)*0.475*44/12</f>
        <v>1.918435946590699</v>
      </c>
      <c r="EN4" s="59">
        <f t="shared" ref="EN4:EN67" si="20">EM4+(EE4+EF4)*44/12</f>
        <v>164.57849667717736</v>
      </c>
      <c r="EO4" s="59">
        <f ca="1">AVERAGE(OFFSET($EN$3,0,0,'Données projet'!$E$15+1,1))-AVERAGE(OFFSET($H$3,0,0,'Données projet'!$E$15+1,1))</f>
        <v>375.89365709113105</v>
      </c>
      <c r="EP4" s="59">
        <f>$EP$3</f>
        <v>279.39056561403834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7.1952941176470588</v>
      </c>
      <c r="FE4" s="12">
        <f>IF('Données projet'!$A$218&gt;35,FE3+FD4-FM3,IF(A4&lt;'Données projet'!$A$218,$FB$205^A4,IF(A4='Données projet'!$A$218,'Données projet'!$B$218,FE3+FD4-FM3)))</f>
        <v>1.3267648858502221</v>
      </c>
      <c r="FF4" s="17">
        <f>FE4*VLOOKUP('Données projet'!$B$16,Paramètres!$A$1:$I$89,3,0)*VLOOKUP('Données projet'!$B$16,Paramètres!$A$1:$I$89,5,0)</f>
        <v>0.79340540173843288</v>
      </c>
      <c r="FG4" s="13">
        <f>EXP(-1.0587+0.8836*LN(FF4)+0.284)</f>
        <v>0.37561764201183739</v>
      </c>
      <c r="FH4" s="20">
        <f t="shared" ref="FH4:FH67" si="22">(FF4+FG4)*0.475*44/12</f>
        <v>2.0360484678650539</v>
      </c>
      <c r="FI4" s="59">
        <f t="shared" ref="FI4:FI67" si="23">FH4+(EZ4+FA4)*44/12</f>
        <v>164.69610919845169</v>
      </c>
      <c r="FJ4" s="59">
        <f ca="1">AVERAGE(OFFSET($FI$3,0,0,'Données projet'!$E$16+1,1))-AVERAGE(OFFSET($H$3,0,0,'Données projet'!$E$16+1,1))</f>
        <v>319.29539841078537</v>
      </c>
      <c r="FK4" s="59">
        <f>$FK$3</f>
        <v>327.26871144121412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11.239444444444445</v>
      </c>
      <c r="FZ4" s="12">
        <f>IF('Données projet'!$A$244&gt;35,FZ3+FY4-GH3,IF(A4&lt;'Données projet'!$A$244,$FW$205^A4,IF(A4='Données projet'!$A$244,'Données projet'!$B$244,FZ3+FY4-GH3)))</f>
        <v>1.3431115227802051</v>
      </c>
      <c r="GA4" s="17">
        <f>FZ4*VLOOKUP('Données projet'!$B$17,Paramètres!$A$1:$I$89,3,0)*VLOOKUP('Données projet'!$B$17,Paramètres!$A$1:$I$89,5,0)</f>
        <v>0.59365529306885068</v>
      </c>
      <c r="GB4" s="13">
        <f>EXP(-1.0587+0.8836*LN(GA4)+0.284)</f>
        <v>0.29070132518488428</v>
      </c>
      <c r="GC4" s="20">
        <f t="shared" ref="GC4:GC67" si="25">(GA4+GB4)*0.475*44/12</f>
        <v>1.5402544434585883</v>
      </c>
      <c r="GD4" s="59">
        <f t="shared" ref="GD4:GD67" si="26">GC4+(FU4+FV4)*44/12</f>
        <v>164.20031517404524</v>
      </c>
      <c r="GE4" s="59">
        <f ca="1">AVERAGE(OFFSET($GD$3,0,0,'Données projet'!$E$17+1,1))-AVERAGE(OFFSET($H$3,0,0,'Données projet'!$E$17+1,1))</f>
        <v>342.89128067483233</v>
      </c>
      <c r="GF4" s="59">
        <f>$GF$3</f>
        <v>453.47615302202996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44.028501411372119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5.8668181818181813</v>
      </c>
      <c r="GU4" s="12">
        <f>IF('Données projet'!$A$270&gt;35,GU3+GT4-HC3,IF(A4&lt;'Données projet'!$A$270,$GR$205^A4,IF(A4='Données projet'!$A$270,'Données projet'!$B$270,GU3+GT4-HC3)))</f>
        <v>1.2472301622014093</v>
      </c>
      <c r="GV4" s="17">
        <f>GU4*VLOOKUP('Données projet'!$B$18,Paramètres!$A$1:$I$89,3,0)*VLOOKUP('Données projet'!$B$18,Paramètres!$A$1:$I$89,5,0)</f>
        <v>0.74584363699644274</v>
      </c>
      <c r="GW4" s="13">
        <f>EXP(-1.0587+0.8836*LN(GV4)+0.284)</f>
        <v>0.35565068640491565</v>
      </c>
      <c r="GX4" s="20">
        <f t="shared" ref="GX4:GX67" si="28">(GV4+GW4)*0.475*44/12</f>
        <v>1.918435946590699</v>
      </c>
      <c r="GY4" s="59">
        <f t="shared" ref="GY4:GY67" si="29">GX4+(GP4+GQ4)*44/12</f>
        <v>164.57849667717736</v>
      </c>
      <c r="GZ4" s="59">
        <f ca="1">AVERAGE(OFFSET($GY$3,0,0,'Données projet'!$E$18+1,1))-AVERAGE(OFFSET($H$3,0,0,'Données projet'!$E$18+1,1))</f>
        <v>375.89365709113105</v>
      </c>
      <c r="HA4" s="59">
        <f>$HA$3</f>
        <v>279.39056561403834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178.09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7.0341737142857141</v>
      </c>
      <c r="P5" s="13">
        <f t="shared" ref="P5:P68" si="33">EXP(-1.0587+0.8836*LN(O5)+0.284)</f>
        <v>2.5831495528484112</v>
      </c>
      <c r="Q5" s="20">
        <f t="shared" si="2"/>
        <v>16.750171356925268</v>
      </c>
      <c r="R5" s="59">
        <f t="shared" si="0"/>
        <v>182.28446157851562</v>
      </c>
      <c r="S5" s="59">
        <f ca="1">AVERAGE(OFFSET($R$3,0,0,'Données projet'!$E$9+1,1))-AVERAGE(OFFSET($H$3,0,0,'Données projet'!$E$9+1,1))</f>
        <v>631.31712308065664</v>
      </c>
      <c r="T5" s="59">
        <f t="shared" ref="T5:T68" si="34">$T$3</f>
        <v>290.92244624361285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3.8113157894736847</v>
      </c>
      <c r="AI5" s="13">
        <f>IF('Données projet'!$A$62&gt;35,AI4+AH5-AQ4,IF(A5&lt;'Données projet'!$A$62,$AF$205^A5,IF(A5='Données projet'!$A$62,'Données projet'!$B$62,AI4+AH5-AQ4)))</f>
        <v>7.6226315789473693</v>
      </c>
      <c r="AJ5" s="13">
        <f>AI5*VLOOKUP('Données projet'!$B$10,Paramètres!$A$1:$I$89,3,0)*VLOOKUP('Données projet'!$B$10,Paramètres!$A$1:$I$89,5,0)</f>
        <v>6.4213048421052639</v>
      </c>
      <c r="AK5" s="13">
        <f t="shared" ref="AK5:AK68" si="35">EXP(-1.0587+0.8836*LN(AJ5)+0.284)</f>
        <v>2.3832412218173489</v>
      </c>
      <c r="AL5" s="20">
        <f t="shared" si="4"/>
        <v>15.334584394665216</v>
      </c>
      <c r="AM5" s="59">
        <f t="shared" si="5"/>
        <v>180.86887461625557</v>
      </c>
      <c r="AN5" s="59">
        <f ca="1">AVERAGE(OFFSET($AM$3,0,0,'Données projet'!$E$10+1,1))-AVERAGE(OFFSET($H$3,0,0,'Données projet'!$E$10+1,1))</f>
        <v>401.19166052471473</v>
      </c>
      <c r="AO5" s="59">
        <f t="shared" ref="AO5:AO68" si="36">$AO$3</f>
        <v>271.10067497534271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7.8831257142857138</v>
      </c>
      <c r="BF5" s="13">
        <f t="shared" ref="BF5:BF68" si="37">EXP(-1.0587+0.8836*LN(BE5)+0.284)</f>
        <v>2.8567669801437421</v>
      </c>
      <c r="BG5" s="20">
        <f t="shared" si="7"/>
        <v>18.705313109464633</v>
      </c>
      <c r="BH5" s="59">
        <f t="shared" si="8"/>
        <v>184.23960333105498</v>
      </c>
      <c r="BI5" s="59">
        <f ca="1">AVERAGE(OFFSET($BH$3,0,0,'Données projet'!$E$11+1,1))-AVERAGE(OFFSET($H$3,0,0,'Données projet'!$E$11+1,1))</f>
        <v>695.93700574708214</v>
      </c>
      <c r="BJ5" s="59">
        <f t="shared" ref="BJ5:BJ68" si="38">$BJ$3</f>
        <v>318.31690229208471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0.9</v>
      </c>
      <c r="BY5" s="12">
        <f>IF('Données projet'!$A$114&gt;35,BY4+BX5-CG4,IF(A5&lt;'Données projet'!$A$114,$BV$205^A5,IF(A5='Données projet'!$A$114,'Données projet'!$B$114,BY4+BX5-CG4)))</f>
        <v>1.5518455739153598</v>
      </c>
      <c r="BZ5" s="13">
        <f>BY5*VLOOKUP('Données projet'!$B$12,Paramètres!$A$1:$I$89,3,0)*VLOOKUP('Données projet'!$B$12,Paramètres!$A$1:$I$89,5,0)</f>
        <v>1.0167692200293437</v>
      </c>
      <c r="CA5" s="13">
        <f t="shared" ref="CA5:CA68" si="39">EXP(-1.0587+0.8836*LN(BZ5)+0.284)</f>
        <v>0.46766381619902025</v>
      </c>
      <c r="CB5" s="20">
        <f t="shared" si="10"/>
        <v>2.5853875380977338</v>
      </c>
      <c r="CC5" s="59">
        <f t="shared" si="11"/>
        <v>168.11967775968807</v>
      </c>
      <c r="CD5" s="59">
        <f ca="1">AVERAGE(OFFSET($CC$3,0,0,'Données projet'!$E$12+1,1))-AVERAGE(OFFSET($H$3,0,0,'Données projet'!$E$12+1,1))</f>
        <v>260.25859566735949</v>
      </c>
      <c r="CE5" s="59">
        <f t="shared" ref="CE5:CE68" si="40">$CE$3</f>
        <v>256.93649773468667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0.9</v>
      </c>
      <c r="CT5" s="12">
        <f>IF('Données projet'!$A$140&gt;35,CT4+CS5-DB4,IF(A5&lt;'Données projet'!$A$140,$CQ$205^A5,IF(A5='Données projet'!$A$140,'Données projet'!$B$140,CT4+CS5-DB4)))</f>
        <v>1.5518455739153598</v>
      </c>
      <c r="CU5" s="17">
        <f>CT5*VLOOKUP('Données projet'!$B$13,Paramètres!$A$1:$I$89,3,0)*VLOOKUP('Données projet'!$B$13,Paramètres!$A$1:$I$89,5,0)</f>
        <v>1.0167692200293437</v>
      </c>
      <c r="CV5" s="13">
        <f t="shared" ref="CV5:CV68" si="41">EXP(-1.0587+0.8836*LN(CU5)+0.284)</f>
        <v>0.46766381619902025</v>
      </c>
      <c r="CW5" s="20">
        <f t="shared" si="13"/>
        <v>2.5853875380977338</v>
      </c>
      <c r="CX5" s="59">
        <f t="shared" si="14"/>
        <v>168.11967775968807</v>
      </c>
      <c r="CY5" s="59">
        <f ca="1">AVERAGE(OFFSET($CX$3,0,0,'Données projet'!$E$13+1,1))-AVERAGE(OFFSET($H$3,0,0,'Données projet'!$E$13+1,1))</f>
        <v>260.25859566735949</v>
      </c>
      <c r="CZ5" s="59">
        <f t="shared" ref="CZ5:CZ68" si="42">$CZ$3</f>
        <v>256.93649773468667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7.3233333333333333</v>
      </c>
      <c r="DO5" s="12">
        <f>IF('Données projet'!$A$166&gt;35,DO4+DN5-DW4,IF(A5&lt;'Données projet'!$A$166,$DL$205^A5,IF(A5='Données projet'!$A$166,'Données projet'!$B$166,DO4+DN5-DW4)))</f>
        <v>1.4793789993993112</v>
      </c>
      <c r="DP5" s="17">
        <f>DO5*VLOOKUP('Données projet'!$B$14,Paramètres!$A$1:$I$89,3,0)*VLOOKUP('Données projet'!$B$14,Paramètres!$A$1:$I$89,5,0)</f>
        <v>0.84620478765640605</v>
      </c>
      <c r="DQ5" s="13">
        <f t="shared" ref="DQ5:DQ68" si="43">EXP(-1.0587+0.8836*LN(DP5)+0.284)</f>
        <v>0.39762107705063593</v>
      </c>
      <c r="DR5" s="20">
        <f t="shared" si="16"/>
        <v>2.1663300476980978</v>
      </c>
      <c r="DS5" s="59">
        <f t="shared" si="17"/>
        <v>167.70062026928844</v>
      </c>
      <c r="DT5" s="59">
        <f ca="1">AVERAGE(OFFSET($DS$3,0,0,'Données projet'!$E$14+1,1))-AVERAGE(OFFSET($H$3,0,0,'Données projet'!$E$14+1,1))</f>
        <v>349.56396446903</v>
      </c>
      <c r="DU5" s="59">
        <f t="shared" ref="DU5:DU68" si="44">$DU$3</f>
        <v>270.64279448634522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5.8668181818181813</v>
      </c>
      <c r="EJ5" s="12">
        <f>IF('Données projet'!$A$192&gt;35,EJ4+EI5-ER4,IF(A5&lt;'Données projet'!$A$192,$EG$205^A5,IF(A5='Données projet'!$A$192,'Données projet'!$B$192,EJ4+EI5-ER4)))</f>
        <v>1.5555830775049537</v>
      </c>
      <c r="EK5" s="17">
        <f>EJ5*VLOOKUP('Données projet'!$B$15,Paramètres!$A$1:$I$89,3,0)*VLOOKUP('Données projet'!$B$15,Paramètres!$A$1:$I$89,5,0)</f>
        <v>0.93023868034796242</v>
      </c>
      <c r="EL5" s="13">
        <f t="shared" ref="EL5:EL68" si="45">EXP(-1.0587+0.8836*LN(EK5)+0.284)</f>
        <v>0.43231675887518456</v>
      </c>
      <c r="EM5" s="20">
        <f t="shared" si="19"/>
        <v>2.373117389980314</v>
      </c>
      <c r="EN5" s="59">
        <f t="shared" si="20"/>
        <v>167.90740761157065</v>
      </c>
      <c r="EO5" s="59">
        <f ca="1">AVERAGE(OFFSET($EN$3,0,0,'Données projet'!$E$15+1,1))-AVERAGE(OFFSET($H$3,0,0,'Données projet'!$E$15+1,1))</f>
        <v>375.89365709113105</v>
      </c>
      <c r="EP5" s="59">
        <f t="shared" ref="EP5:EP68" si="46">$EP$3</f>
        <v>279.39056561403834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7.1952941176470588</v>
      </c>
      <c r="FE5" s="12">
        <f>IF('Données projet'!$A$218&gt;35,FE4+FD5-FM4,IF(A5&lt;'Données projet'!$A$218,$FB$205^A5,IF(A5='Données projet'!$A$218,'Données projet'!$B$218,FE4+FD5-FM4)))</f>
        <v>1.7603050623251528</v>
      </c>
      <c r="FF5" s="17">
        <f>FE5*VLOOKUP('Données projet'!$B$16,Paramètres!$A$1:$I$89,3,0)*VLOOKUP('Données projet'!$B$16,Paramètres!$A$1:$I$89,5,0)</f>
        <v>1.0526624272704415</v>
      </c>
      <c r="FG5" s="13">
        <f t="shared" ref="FG5:FG68" si="47">EXP(-1.0587+0.8836*LN(FF5)+0.284)</f>
        <v>0.48222168139326793</v>
      </c>
      <c r="FH5" s="20">
        <f t="shared" si="22"/>
        <v>2.6732564892559605</v>
      </c>
      <c r="FI5" s="59">
        <f t="shared" si="23"/>
        <v>168.20754671084629</v>
      </c>
      <c r="FJ5" s="59">
        <f ca="1">AVERAGE(OFFSET($FI$3,0,0,'Données projet'!$E$16+1,1))-AVERAGE(OFFSET($H$3,0,0,'Données projet'!$E$16+1,1))</f>
        <v>319.29539841078537</v>
      </c>
      <c r="FK5" s="59">
        <f t="shared" ref="FK5:FK68" si="48">$FK$3</f>
        <v>327.26871144121412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11.239444444444445</v>
      </c>
      <c r="FZ5" s="12">
        <f>IF('Données projet'!$A$244&gt;35,FZ4+FY5-GH4,IF(A5&lt;'Données projet'!$A$244,$FW$205^A5,IF(A5='Données projet'!$A$244,'Données projet'!$B$244,FZ4+FY5-GH4)))</f>
        <v>1.8039485626249614</v>
      </c>
      <c r="GA5" s="17">
        <f>FZ5*VLOOKUP('Données projet'!$B$17,Paramètres!$A$1:$I$89,3,0)*VLOOKUP('Données projet'!$B$17,Paramètres!$A$1:$I$89,5,0)</f>
        <v>0.79734526468023303</v>
      </c>
      <c r="GB5" s="13">
        <f t="shared" ref="GB5:GB68" si="49">EXP(-1.0587+0.8836*LN(GA5)+0.284)</f>
        <v>0.37726528209686516</v>
      </c>
      <c r="GC5" s="20">
        <f t="shared" si="25"/>
        <v>2.045780035636779</v>
      </c>
      <c r="GD5" s="59">
        <f t="shared" si="26"/>
        <v>167.58007025722711</v>
      </c>
      <c r="GE5" s="59">
        <f ca="1">AVERAGE(OFFSET($GD$3,0,0,'Données projet'!$E$17+1,1))-AVERAGE(OFFSET($H$3,0,0,'Données projet'!$E$17+1,1))</f>
        <v>342.89128067483233</v>
      </c>
      <c r="GF5" s="59">
        <f t="shared" ref="GF5:GF68" si="50">$GF$3</f>
        <v>453.47615302202996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44.479048848312523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5.8668181818181813</v>
      </c>
      <c r="GU5" s="12">
        <f>IF('Données projet'!$A$270&gt;35,GU4+GT5-HC4,IF(A5&lt;'Données projet'!$A$270,$GR$205^A5,IF(A5='Données projet'!$A$270,'Données projet'!$B$270,GU4+GT5-HC4)))</f>
        <v>1.5555830775049537</v>
      </c>
      <c r="GV5" s="17">
        <f>GU5*VLOOKUP('Données projet'!$B$18,Paramètres!$A$1:$I$89,3,0)*VLOOKUP('Données projet'!$B$18,Paramètres!$A$1:$I$89,5,0)</f>
        <v>0.93023868034796242</v>
      </c>
      <c r="GW5" s="13">
        <f t="shared" ref="GW5:GW68" si="51">EXP(-1.0587+0.8836*LN(GV5)+0.284)</f>
        <v>0.43231675887518456</v>
      </c>
      <c r="GX5" s="20">
        <f t="shared" si="28"/>
        <v>2.373117389980314</v>
      </c>
      <c r="GY5" s="59">
        <f t="shared" si="29"/>
        <v>167.90740761157065</v>
      </c>
      <c r="GZ5" s="59">
        <f ca="1">AVERAGE(OFFSET($GY$3,0,0,'Données projet'!$E$18+1,1))-AVERAGE(OFFSET($H$3,0,0,'Données projet'!$E$18+1,1))</f>
        <v>375.89365709113105</v>
      </c>
      <c r="HA5" s="59">
        <f t="shared" ref="HA5:HA68" si="52">$HA$3</f>
        <v>279.39056561403834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178.09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10.551260571428571</v>
      </c>
      <c r="P6" s="13">
        <f t="shared" si="33"/>
        <v>3.6961006326523931</v>
      </c>
      <c r="Q6" s="20">
        <f t="shared" si="2"/>
        <v>24.814154097107675</v>
      </c>
      <c r="R6" s="59">
        <f t="shared" si="0"/>
        <v>193.1940151769233</v>
      </c>
      <c r="S6" s="59">
        <f ca="1">AVERAGE(OFFSET($R$3,0,0,'Données projet'!$E$9+1,1))-AVERAGE(OFFSET($H$3,0,0,'Données projet'!$E$9+1,1))</f>
        <v>631.31712308065664</v>
      </c>
      <c r="T6" s="59">
        <f t="shared" si="34"/>
        <v>290.92244624361285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3.8113157894736847</v>
      </c>
      <c r="AI6" s="13">
        <f>IF('Données projet'!$A$62&gt;35,AI5+AH6-AQ5,IF(A6&lt;'Données projet'!$A$62,$AF$205^A6,IF(A6='Données projet'!$A$62,'Données projet'!$B$62,AI5+AH6-AQ5)))</f>
        <v>11.433947368421054</v>
      </c>
      <c r="AJ6" s="13">
        <f>AI6*VLOOKUP('Données projet'!$B$10,Paramètres!$A$1:$I$89,3,0)*VLOOKUP('Données projet'!$B$10,Paramètres!$A$1:$I$89,5,0)</f>
        <v>9.6319572631578971</v>
      </c>
      <c r="AK6" s="13">
        <f t="shared" si="35"/>
        <v>3.410061712458385</v>
      </c>
      <c r="AL6" s="20">
        <f t="shared" si="4"/>
        <v>22.714849715865025</v>
      </c>
      <c r="AM6" s="59">
        <f t="shared" si="5"/>
        <v>191.09471079568067</v>
      </c>
      <c r="AN6" s="59">
        <f ca="1">AVERAGE(OFFSET($AM$3,0,0,'Données projet'!$E$10+1,1))-AVERAGE(OFFSET($H$3,0,0,'Données projet'!$E$10+1,1))</f>
        <v>401.19166052471473</v>
      </c>
      <c r="AO6" s="59">
        <f t="shared" si="36"/>
        <v>271.10067497534271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11.824688571428572</v>
      </c>
      <c r="BF6" s="13">
        <f t="shared" si="37"/>
        <v>4.0876062444803347</v>
      </c>
      <c r="BG6" s="20">
        <f t="shared" si="7"/>
        <v>27.713913471041348</v>
      </c>
      <c r="BH6" s="59">
        <f t="shared" si="8"/>
        <v>196.09377455085698</v>
      </c>
      <c r="BI6" s="59">
        <f ca="1">AVERAGE(OFFSET($BH$3,0,0,'Données projet'!$E$11+1,1))-AVERAGE(OFFSET($H$3,0,0,'Données projet'!$E$11+1,1))</f>
        <v>695.93700574708214</v>
      </c>
      <c r="BJ6" s="59">
        <f t="shared" si="38"/>
        <v>318.31690229208471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0.9</v>
      </c>
      <c r="BY6" s="12">
        <f>IF('Données projet'!$A$114&gt;35,BY5+BX6-CG5,IF(A6&lt;'Données projet'!$A$114,$BV$205^A6,IF(A6='Données projet'!$A$114,'Données projet'!$B$114,BY5+BX6-CG5)))</f>
        <v>1.9331820449317632</v>
      </c>
      <c r="BZ6" s="13">
        <f>BY6*VLOOKUP('Données projet'!$B$12,Paramètres!$A$1:$I$89,3,0)*VLOOKUP('Données projet'!$B$12,Paramètres!$A$1:$I$89,5,0)</f>
        <v>1.2666208758392912</v>
      </c>
      <c r="CA6" s="13">
        <f t="shared" si="39"/>
        <v>0.56787223780909624</v>
      </c>
      <c r="CB6" s="20">
        <f t="shared" si="10"/>
        <v>3.1950755062709413</v>
      </c>
      <c r="CC6" s="59">
        <f t="shared" si="11"/>
        <v>171.57493658608658</v>
      </c>
      <c r="CD6" s="59">
        <f ca="1">AVERAGE(OFFSET($CC$3,0,0,'Données projet'!$E$12+1,1))-AVERAGE(OFFSET($H$3,0,0,'Données projet'!$E$12+1,1))</f>
        <v>260.25859566735949</v>
      </c>
      <c r="CE6" s="59">
        <f t="shared" si="40"/>
        <v>256.93649773468667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0.9</v>
      </c>
      <c r="CT6" s="12">
        <f>IF('Données projet'!$A$140&gt;35,CT5+CS6-DB5,IF(A6&lt;'Données projet'!$A$140,$CQ$205^A6,IF(A6='Données projet'!$A$140,'Données projet'!$B$140,CT5+CS6-DB5)))</f>
        <v>1.9331820449317632</v>
      </c>
      <c r="CU6" s="17">
        <f>CT6*VLOOKUP('Données projet'!$B$13,Paramètres!$A$1:$I$89,3,0)*VLOOKUP('Données projet'!$B$13,Paramètres!$A$1:$I$89,5,0)</f>
        <v>1.2666208758392912</v>
      </c>
      <c r="CV6" s="13">
        <f t="shared" si="41"/>
        <v>0.56787223780909624</v>
      </c>
      <c r="CW6" s="20">
        <f t="shared" si="13"/>
        <v>3.1950755062709413</v>
      </c>
      <c r="CX6" s="59">
        <f t="shared" si="14"/>
        <v>171.57493658608658</v>
      </c>
      <c r="CY6" s="59">
        <f ca="1">AVERAGE(OFFSET($CX$3,0,0,'Données projet'!$E$13+1,1))-AVERAGE(OFFSET($H$3,0,0,'Données projet'!$E$13+1,1))</f>
        <v>260.25859566735949</v>
      </c>
      <c r="CZ6" s="59">
        <f t="shared" si="42"/>
        <v>256.93649773468667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7.3233333333333333</v>
      </c>
      <c r="DO6" s="12">
        <f>IF('Données projet'!$A$166&gt;35,DO5+DN6-DW5,IF(A6&lt;'Données projet'!$A$166,$DL$205^A6,IF(A6='Données projet'!$A$166,'Données projet'!$B$166,DO5+DN6-DW5)))</f>
        <v>1.7993646080943746</v>
      </c>
      <c r="DP6" s="17">
        <f>DO6*VLOOKUP('Données projet'!$B$14,Paramètres!$A$1:$I$89,3,0)*VLOOKUP('Données projet'!$B$14,Paramètres!$A$1:$I$89,5,0)</f>
        <v>1.0292365558299823</v>
      </c>
      <c r="DQ6" s="13">
        <f t="shared" si="43"/>
        <v>0.47272709815039993</v>
      </c>
      <c r="DR6" s="20">
        <f t="shared" si="16"/>
        <v>2.6159200306824988</v>
      </c>
      <c r="DS6" s="59">
        <f t="shared" si="17"/>
        <v>170.99578111049814</v>
      </c>
      <c r="DT6" s="59">
        <f ca="1">AVERAGE(OFFSET($DS$3,0,0,'Données projet'!$E$14+1,1))-AVERAGE(OFFSET($H$3,0,0,'Données projet'!$E$14+1,1))</f>
        <v>349.56396446903</v>
      </c>
      <c r="DU6" s="59">
        <f t="shared" si="44"/>
        <v>270.64279448634522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5.8668181818181813</v>
      </c>
      <c r="EJ6" s="12">
        <f>IF('Données projet'!$A$192&gt;35,EJ5+EI6-ER5,IF(A6&lt;'Données projet'!$A$192,$EG$205^A6,IF(A6='Données projet'!$A$192,'Données projet'!$B$192,EJ5+EI6-ER5)))</f>
        <v>1.9401701340742707</v>
      </c>
      <c r="EK6" s="17">
        <f>EJ6*VLOOKUP('Données projet'!$B$15,Paramètres!$A$1:$I$89,3,0)*VLOOKUP('Données projet'!$B$15,Paramètres!$A$1:$I$89,5,0)</f>
        <v>1.1602217401764139</v>
      </c>
      <c r="EL6" s="13">
        <f t="shared" si="45"/>
        <v>0.52550940332379237</v>
      </c>
      <c r="EM6" s="20">
        <f t="shared" si="19"/>
        <v>2.9359817415961924</v>
      </c>
      <c r="EN6" s="59">
        <f t="shared" si="20"/>
        <v>171.31584282141182</v>
      </c>
      <c r="EO6" s="59">
        <f ca="1">AVERAGE(OFFSET($EN$3,0,0,'Données projet'!$E$15+1,1))-AVERAGE(OFFSET($H$3,0,0,'Données projet'!$E$15+1,1))</f>
        <v>375.89365709113105</v>
      </c>
      <c r="EP6" s="59">
        <f t="shared" si="46"/>
        <v>279.39056561403834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7.1952941176470588</v>
      </c>
      <c r="FE6" s="12">
        <f>IF('Données projet'!$A$218&gt;35,FE5+FD6-FM5,IF(A6&lt;'Données projet'!$A$218,$FB$205^A6,IF(A6='Données projet'!$A$218,'Données projet'!$B$218,FE5+FD6-FM5)))</f>
        <v>2.3355109450773996</v>
      </c>
      <c r="FF6" s="17">
        <f>FE6*VLOOKUP('Données projet'!$B$16,Paramètres!$A$1:$I$89,3,0)*VLOOKUP('Données projet'!$B$16,Paramètres!$A$1:$I$89,5,0)</f>
        <v>1.3966355451562853</v>
      </c>
      <c r="FG6" s="13">
        <f t="shared" si="47"/>
        <v>0.61908101217040834</v>
      </c>
      <c r="FH6" s="20">
        <f t="shared" si="22"/>
        <v>3.5107063373439913</v>
      </c>
      <c r="FI6" s="59">
        <f t="shared" si="23"/>
        <v>171.89056741715964</v>
      </c>
      <c r="FJ6" s="59">
        <f ca="1">AVERAGE(OFFSET($FI$3,0,0,'Données projet'!$E$16+1,1))-AVERAGE(OFFSET($H$3,0,0,'Données projet'!$E$16+1,1))</f>
        <v>319.29539841078537</v>
      </c>
      <c r="FK6" s="59">
        <f t="shared" si="48"/>
        <v>327.26871144121412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11.239444444444445</v>
      </c>
      <c r="FZ6" s="12">
        <f>IF('Données projet'!$A$244&gt;35,FZ5+FY6-GH5,IF(A6&lt;'Données projet'!$A$244,$FW$205^A6,IF(A6='Données projet'!$A$244,'Données projet'!$B$244,FZ5+FY6-GH5)))</f>
        <v>2.4229041009643741</v>
      </c>
      <c r="GA6" s="17">
        <f>FZ6*VLOOKUP('Données projet'!$B$17,Paramètres!$A$1:$I$89,3,0)*VLOOKUP('Données projet'!$B$17,Paramètres!$A$1:$I$89,5,0)</f>
        <v>1.0709236126262536</v>
      </c>
      <c r="GB6" s="13">
        <f t="shared" si="49"/>
        <v>0.48960593139748082</v>
      </c>
      <c r="GC6" s="20">
        <f t="shared" si="25"/>
        <v>2.717922289174671</v>
      </c>
      <c r="GD6" s="59">
        <f t="shared" si="26"/>
        <v>171.09778336899032</v>
      </c>
      <c r="GE6" s="59">
        <f ca="1">AVERAGE(OFFSET($GD$3,0,0,'Données projet'!$E$17+1,1))-AVERAGE(OFFSET($H$3,0,0,'Données projet'!$E$17+1,1))</f>
        <v>342.89128067483233</v>
      </c>
      <c r="GF6" s="59">
        <f t="shared" si="50"/>
        <v>453.47615302202996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44.921780294495179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5.8668181818181813</v>
      </c>
      <c r="GU6" s="12">
        <f>IF('Données projet'!$A$270&gt;35,GU5+GT6-HC5,IF(A6&lt;'Données projet'!$A$270,$GR$205^A6,IF(A6='Données projet'!$A$270,'Données projet'!$B$270,GU5+GT6-HC5)))</f>
        <v>1.9401701340742707</v>
      </c>
      <c r="GV6" s="17">
        <f>GU6*VLOOKUP('Données projet'!$B$18,Paramètres!$A$1:$I$89,3,0)*VLOOKUP('Données projet'!$B$18,Paramètres!$A$1:$I$89,5,0)</f>
        <v>1.1602217401764139</v>
      </c>
      <c r="GW6" s="13">
        <f t="shared" si="51"/>
        <v>0.52550940332379237</v>
      </c>
      <c r="GX6" s="20">
        <f t="shared" si="28"/>
        <v>2.9359817415961924</v>
      </c>
      <c r="GY6" s="59">
        <f t="shared" si="29"/>
        <v>171.31584282141182</v>
      </c>
      <c r="GZ6" s="59">
        <f ca="1">AVERAGE(OFFSET($GY$3,0,0,'Données projet'!$E$18+1,1))-AVERAGE(OFFSET($H$3,0,0,'Données projet'!$E$18+1,1))</f>
        <v>375.89365709113105</v>
      </c>
      <c r="HA6" s="59">
        <f t="shared" si="52"/>
        <v>279.39056561403834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178.09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14.068347428571428</v>
      </c>
      <c r="P7" s="13">
        <f t="shared" si="33"/>
        <v>4.7658421593654818</v>
      </c>
      <c r="Q7" s="20">
        <f t="shared" si="2"/>
        <v>32.802880198990124</v>
      </c>
      <c r="R7" s="59">
        <f t="shared" si="0"/>
        <v>204.00015066746025</v>
      </c>
      <c r="S7" s="59">
        <f ca="1">AVERAGE(OFFSET($R$3,0,0,'Données projet'!$E$9+1,1))-AVERAGE(OFFSET($H$3,0,0,'Données projet'!$E$9+1,1))</f>
        <v>631.31712308065664</v>
      </c>
      <c r="T7" s="59">
        <f t="shared" si="34"/>
        <v>290.92244624361285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3.8113157894736847</v>
      </c>
      <c r="AI7" s="13">
        <f>IF('Données projet'!$A$62&gt;35,AI6+AH7-AQ6,IF(A7&lt;'Données projet'!$A$62,$AF$205^A7,IF(A7='Données projet'!$A$62,'Données projet'!$B$62,AI6+AH7-AQ6)))</f>
        <v>15.245263157894739</v>
      </c>
      <c r="AJ7" s="13">
        <f>AI7*VLOOKUP('Données projet'!$B$10,Paramètres!$A$1:$I$89,3,0)*VLOOKUP('Données projet'!$B$10,Paramètres!$A$1:$I$89,5,0)</f>
        <v>12.842609684210528</v>
      </c>
      <c r="AK7" s="13">
        <f t="shared" si="35"/>
        <v>4.397016610343103</v>
      </c>
      <c r="AL7" s="20">
        <f t="shared" si="4"/>
        <v>30.025682463014238</v>
      </c>
      <c r="AM7" s="59">
        <f t="shared" si="5"/>
        <v>201.22295293148437</v>
      </c>
      <c r="AN7" s="59">
        <f ca="1">AVERAGE(OFFSET($AM$3,0,0,'Données projet'!$E$10+1,1))-AVERAGE(OFFSET($H$3,0,0,'Données projet'!$E$10+1,1))</f>
        <v>401.19166052471473</v>
      </c>
      <c r="AO7" s="59">
        <f t="shared" si="36"/>
        <v>271.10067497534271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15.766251428571428</v>
      </c>
      <c r="BF7" s="13">
        <f t="shared" si="37"/>
        <v>5.2706590287965538</v>
      </c>
      <c r="BG7" s="20">
        <f t="shared" si="7"/>
        <v>36.63928571324923</v>
      </c>
      <c r="BH7" s="59">
        <f t="shared" si="8"/>
        <v>207.83655618171935</v>
      </c>
      <c r="BI7" s="59">
        <f ca="1">AVERAGE(OFFSET($BH$3,0,0,'Données projet'!$E$11+1,1))-AVERAGE(OFFSET($H$3,0,0,'Données projet'!$E$11+1,1))</f>
        <v>695.93700574708214</v>
      </c>
      <c r="BJ7" s="59">
        <f t="shared" si="38"/>
        <v>318.31690229208471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0.9</v>
      </c>
      <c r="BY7" s="12">
        <f>IF('Données projet'!$A$114&gt;35,BY6+BX7-CG6,IF(A7&lt;'Données projet'!$A$114,$BV$205^A7,IF(A7='Données projet'!$A$114,'Données projet'!$B$114,BY6+BX7-CG6)))</f>
        <v>2.4082246852806923</v>
      </c>
      <c r="BZ7" s="13">
        <f>BY7*VLOOKUP('Données projet'!$B$12,Paramètres!$A$1:$I$89,3,0)*VLOOKUP('Données projet'!$B$12,Paramètres!$A$1:$I$89,5,0)</f>
        <v>1.5778688137959096</v>
      </c>
      <c r="CA7" s="13">
        <f t="shared" si="39"/>
        <v>0.68955276697540291</v>
      </c>
      <c r="CB7" s="20">
        <f t="shared" si="10"/>
        <v>3.9490925865100355</v>
      </c>
      <c r="CC7" s="59">
        <f t="shared" si="11"/>
        <v>175.14636305498016</v>
      </c>
      <c r="CD7" s="59">
        <f ca="1">AVERAGE(OFFSET($CC$3,0,0,'Données projet'!$E$12+1,1))-AVERAGE(OFFSET($H$3,0,0,'Données projet'!$E$12+1,1))</f>
        <v>260.25859566735949</v>
      </c>
      <c r="CE7" s="59">
        <f t="shared" si="40"/>
        <v>256.93649773468667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0.9</v>
      </c>
      <c r="CT7" s="12">
        <f>IF('Données projet'!$A$140&gt;35,CT6+CS7-DB6,IF(A7&lt;'Données projet'!$A$140,$CQ$205^A7,IF(A7='Données projet'!$A$140,'Données projet'!$B$140,CT6+CS7-DB6)))</f>
        <v>2.4082246852806923</v>
      </c>
      <c r="CU7" s="17">
        <f>CT7*VLOOKUP('Données projet'!$B$13,Paramètres!$A$1:$I$89,3,0)*VLOOKUP('Données projet'!$B$13,Paramètres!$A$1:$I$89,5,0)</f>
        <v>1.5778688137959096</v>
      </c>
      <c r="CV7" s="13">
        <f t="shared" si="41"/>
        <v>0.68955276697540291</v>
      </c>
      <c r="CW7" s="20">
        <f t="shared" si="13"/>
        <v>3.9490925865100355</v>
      </c>
      <c r="CX7" s="59">
        <f t="shared" si="14"/>
        <v>175.14636305498016</v>
      </c>
      <c r="CY7" s="59">
        <f ca="1">AVERAGE(OFFSET($CX$3,0,0,'Données projet'!$E$13+1,1))-AVERAGE(OFFSET($H$3,0,0,'Données projet'!$E$13+1,1))</f>
        <v>260.25859566735949</v>
      </c>
      <c r="CZ7" s="59">
        <f t="shared" si="42"/>
        <v>256.93649773468667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7.3233333333333333</v>
      </c>
      <c r="DO7" s="12">
        <f>IF('Données projet'!$A$166&gt;35,DO6+DN7-DW6,IF(A7&lt;'Données projet'!$A$166,$DL$205^A7,IF(A7='Données projet'!$A$166,'Données projet'!$B$166,DO6+DN7-DW6)))</f>
        <v>2.1885622238637072</v>
      </c>
      <c r="DP7" s="17">
        <f>DO7*VLOOKUP('Données projet'!$B$14,Paramètres!$A$1:$I$89,3,0)*VLOOKUP('Données projet'!$B$14,Paramètres!$A$1:$I$89,5,0)</f>
        <v>1.2518575920500405</v>
      </c>
      <c r="DQ7" s="13">
        <f t="shared" si="43"/>
        <v>0.56201977768205547</v>
      </c>
      <c r="DR7" s="20">
        <f t="shared" si="16"/>
        <v>3.1591697522834004</v>
      </c>
      <c r="DS7" s="59">
        <f t="shared" si="17"/>
        <v>174.35644022075351</v>
      </c>
      <c r="DT7" s="59">
        <f ca="1">AVERAGE(OFFSET($DS$3,0,0,'Données projet'!$E$14+1,1))-AVERAGE(OFFSET($H$3,0,0,'Données projet'!$E$14+1,1))</f>
        <v>349.56396446903</v>
      </c>
      <c r="DU7" s="59">
        <f t="shared" si="44"/>
        <v>270.64279448634522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5.8668181818181813</v>
      </c>
      <c r="EJ7" s="12">
        <f>IF('Données projet'!$A$192&gt;35,EJ6+EI7-ER6,IF(A7&lt;'Données projet'!$A$192,$EG$205^A7,IF(A7='Données projet'!$A$192,'Données projet'!$B$192,EJ6+EI7-ER6)))</f>
        <v>2.419838711019783</v>
      </c>
      <c r="EK7" s="17">
        <f>EJ7*VLOOKUP('Données projet'!$B$15,Paramètres!$A$1:$I$89,3,0)*VLOOKUP('Données projet'!$B$15,Paramètres!$A$1:$I$89,5,0)</f>
        <v>1.4470635491898303</v>
      </c>
      <c r="EL7" s="13">
        <f t="shared" si="45"/>
        <v>0.63879118103182142</v>
      </c>
      <c r="EM7" s="20">
        <f t="shared" si="19"/>
        <v>3.6328636551360431</v>
      </c>
      <c r="EN7" s="59">
        <f t="shared" si="20"/>
        <v>174.83013412360617</v>
      </c>
      <c r="EO7" s="59">
        <f ca="1">AVERAGE(OFFSET($EN$3,0,0,'Données projet'!$E$15+1,1))-AVERAGE(OFFSET($H$3,0,0,'Données projet'!$E$15+1,1))</f>
        <v>375.89365709113105</v>
      </c>
      <c r="EP7" s="59">
        <f t="shared" si="46"/>
        <v>279.39056561403834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7.1952941176470588</v>
      </c>
      <c r="FE7" s="12">
        <f>IF('Données projet'!$A$218&gt;35,FE6+FD7-FM6,IF(A7&lt;'Données projet'!$A$218,$FB$205^A7,IF(A7='Données projet'!$A$218,'Données projet'!$B$218,FE6+FD7-FM6)))</f>
        <v>3.09867391244756</v>
      </c>
      <c r="FF7" s="17">
        <f>FE7*VLOOKUP('Données projet'!$B$16,Paramètres!$A$1:$I$89,3,0)*VLOOKUP('Données projet'!$B$16,Paramètres!$A$1:$I$89,5,0)</f>
        <v>1.8530069996436409</v>
      </c>
      <c r="FG7" s="13">
        <f t="shared" si="47"/>
        <v>0.79478238830446668</v>
      </c>
      <c r="FH7" s="20">
        <f t="shared" si="22"/>
        <v>4.6115665173429541</v>
      </c>
      <c r="FI7" s="59">
        <f t="shared" si="23"/>
        <v>175.80883698581309</v>
      </c>
      <c r="FJ7" s="59">
        <f ca="1">AVERAGE(OFFSET($FI$3,0,0,'Données projet'!$E$16+1,1))-AVERAGE(OFFSET($H$3,0,0,'Données projet'!$E$16+1,1))</f>
        <v>319.29539841078537</v>
      </c>
      <c r="FK7" s="59">
        <f t="shared" si="48"/>
        <v>327.26871144121412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11.239444444444445</v>
      </c>
      <c r="FZ7" s="12">
        <f>IF('Données projet'!$A$244&gt;35,FZ6+FY7-GH6,IF(A7&lt;'Données projet'!$A$244,$FW$205^A7,IF(A7='Données projet'!$A$244,'Données projet'!$B$244,FZ6+FY7-GH6)))</f>
        <v>3.2542304165966645</v>
      </c>
      <c r="GA7" s="17">
        <f>FZ7*VLOOKUP('Données projet'!$B$17,Paramètres!$A$1:$I$89,3,0)*VLOOKUP('Données projet'!$B$17,Paramètres!$A$1:$I$89,5,0)</f>
        <v>1.438369844135726</v>
      </c>
      <c r="GB7" s="13">
        <f t="shared" si="49"/>
        <v>0.63539896045363298</v>
      </c>
      <c r="GC7" s="20">
        <f t="shared" si="25"/>
        <v>3.6118140013264668</v>
      </c>
      <c r="GD7" s="59">
        <f t="shared" si="26"/>
        <v>174.8090844697966</v>
      </c>
      <c r="GE7" s="59">
        <f ca="1">AVERAGE(OFFSET($GD$3,0,0,'Données projet'!$E$17+1,1))-AVERAGE(OFFSET($H$3,0,0,'Données projet'!$E$17+1,1))</f>
        <v>342.89128067483233</v>
      </c>
      <c r="GF7" s="59">
        <f t="shared" si="50"/>
        <v>453.47615302202996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45.356831339885787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5.8668181818181813</v>
      </c>
      <c r="GU7" s="12">
        <f>IF('Données projet'!$A$270&gt;35,GU6+GT7-HC6,IF(A7&lt;'Données projet'!$A$270,$GR$205^A7,IF(A7='Données projet'!$A$270,'Données projet'!$B$270,GU6+GT7-HC6)))</f>
        <v>2.419838711019783</v>
      </c>
      <c r="GV7" s="17">
        <f>GU7*VLOOKUP('Données projet'!$B$18,Paramètres!$A$1:$I$89,3,0)*VLOOKUP('Données projet'!$B$18,Paramètres!$A$1:$I$89,5,0)</f>
        <v>1.4470635491898303</v>
      </c>
      <c r="GW7" s="13">
        <f t="shared" si="51"/>
        <v>0.63879118103182142</v>
      </c>
      <c r="GX7" s="20">
        <f t="shared" si="28"/>
        <v>3.6328636551360431</v>
      </c>
      <c r="GY7" s="59">
        <f t="shared" si="29"/>
        <v>174.83013412360617</v>
      </c>
      <c r="GZ7" s="59">
        <f ca="1">AVERAGE(OFFSET($GY$3,0,0,'Données projet'!$E$18+1,1))-AVERAGE(OFFSET($H$3,0,0,'Données projet'!$E$18+1,1))</f>
        <v>375.89365709113105</v>
      </c>
      <c r="HA7" s="59">
        <f t="shared" si="52"/>
        <v>279.39056561403834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178.09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17.585434285714282</v>
      </c>
      <c r="P8" s="13">
        <f t="shared" si="33"/>
        <v>5.804560501905633</v>
      </c>
      <c r="Q8" s="20">
        <f t="shared" si="2"/>
        <v>40.737574255104683</v>
      </c>
      <c r="R8" s="59">
        <f t="shared" si="0"/>
        <v>214.72458118119593</v>
      </c>
      <c r="S8" s="59">
        <f ca="1">AVERAGE(OFFSET($R$3,0,0,'Données projet'!$E$9+1,1))-AVERAGE(OFFSET($H$3,0,0,'Données projet'!$E$9+1,1))</f>
        <v>631.31712308065664</v>
      </c>
      <c r="T8" s="59">
        <f t="shared" si="34"/>
        <v>290.92244624361285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3.8113157894736847</v>
      </c>
      <c r="AI8" s="13">
        <f>IF('Données projet'!$A$62&gt;35,AI7+AH8-AQ7,IF(A8&lt;'Données projet'!$A$62,$AF$205^A8,IF(A8='Données projet'!$A$62,'Données projet'!$B$62,AI7+AH8-AQ7)))</f>
        <v>19.056578947368422</v>
      </c>
      <c r="AJ8" s="13">
        <f>AI8*VLOOKUP('Données projet'!$B$10,Paramètres!$A$1:$I$89,3,0)*VLOOKUP('Données projet'!$B$10,Paramètres!$A$1:$I$89,5,0)</f>
        <v>16.053262105263162</v>
      </c>
      <c r="AK8" s="13">
        <f t="shared" si="35"/>
        <v>5.3553491889078098</v>
      </c>
      <c r="AL8" s="20">
        <f t="shared" si="4"/>
        <v>37.286664670681112</v>
      </c>
      <c r="AM8" s="59">
        <f t="shared" si="5"/>
        <v>211.27367159677237</v>
      </c>
      <c r="AN8" s="59">
        <f ca="1">AVERAGE(OFFSET($AM$3,0,0,'Données projet'!$E$10+1,1))-AVERAGE(OFFSET($H$3,0,0,'Données projet'!$E$10+1,1))</f>
        <v>401.19166052471473</v>
      </c>
      <c r="AO8" s="59">
        <f t="shared" si="36"/>
        <v>271.10067497534271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19.707814285714285</v>
      </c>
      <c r="BF8" s="13">
        <f t="shared" si="37"/>
        <v>6.4194025304518281</v>
      </c>
      <c r="BG8" s="20">
        <f t="shared" si="7"/>
        <v>45.504902621489315</v>
      </c>
      <c r="BH8" s="59">
        <f t="shared" si="8"/>
        <v>219.49190954758058</v>
      </c>
      <c r="BI8" s="59">
        <f ca="1">AVERAGE(OFFSET($BH$3,0,0,'Données projet'!$E$11+1,1))-AVERAGE(OFFSET($H$3,0,0,'Données projet'!$E$11+1,1))</f>
        <v>695.93700574708214</v>
      </c>
      <c r="BJ8" s="59">
        <f t="shared" si="38"/>
        <v>318.31690229208471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0.9</v>
      </c>
      <c r="BY8" s="12">
        <f>IF('Données projet'!$A$114&gt;35,BY7+BX8-CG7,IF(A8&lt;'Données projet'!$A$114,$BV$205^A8,IF(A8='Données projet'!$A$114,'Données projet'!$B$114,BY7+BX8-CG7)))</f>
        <v>3.0000000000000004</v>
      </c>
      <c r="BZ8" s="13">
        <f>BY8*VLOOKUP('Données projet'!$B$12,Paramètres!$A$1:$I$89,3,0)*VLOOKUP('Données projet'!$B$12,Paramètres!$A$1:$I$89,5,0)</f>
        <v>1.9656000000000005</v>
      </c>
      <c r="CA8" s="13">
        <f t="shared" si="39"/>
        <v>0.83730632840564978</v>
      </c>
      <c r="CB8" s="20">
        <f t="shared" si="10"/>
        <v>4.8817285219731739</v>
      </c>
      <c r="CC8" s="59">
        <f t="shared" si="11"/>
        <v>178.86873544806443</v>
      </c>
      <c r="CD8" s="59">
        <f ca="1">AVERAGE(OFFSET($CC$3,0,0,'Données projet'!$E$12+1,1))-AVERAGE(OFFSET($H$3,0,0,'Données projet'!$E$12+1,1))</f>
        <v>260.25859566735949</v>
      </c>
      <c r="CE8" s="59">
        <f t="shared" si="40"/>
        <v>256.93649773468667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0.9</v>
      </c>
      <c r="CT8" s="12">
        <f>IF('Données projet'!$A$140&gt;35,CT7+CS8-DB7,IF(A8&lt;'Données projet'!$A$140,$CQ$205^A8,IF(A8='Données projet'!$A$140,'Données projet'!$B$140,CT7+CS8-DB7)))</f>
        <v>3.0000000000000004</v>
      </c>
      <c r="CU8" s="17">
        <f>CT8*VLOOKUP('Données projet'!$B$13,Paramètres!$A$1:$I$89,3,0)*VLOOKUP('Données projet'!$B$13,Paramètres!$A$1:$I$89,5,0)</f>
        <v>1.9656000000000005</v>
      </c>
      <c r="CV8" s="13">
        <f t="shared" si="41"/>
        <v>0.83730632840564978</v>
      </c>
      <c r="CW8" s="20">
        <f t="shared" si="13"/>
        <v>4.8817285219731739</v>
      </c>
      <c r="CX8" s="59">
        <f t="shared" si="14"/>
        <v>178.86873544806443</v>
      </c>
      <c r="CY8" s="59">
        <f ca="1">AVERAGE(OFFSET($CX$3,0,0,'Données projet'!$E$13+1,1))-AVERAGE(OFFSET($H$3,0,0,'Données projet'!$E$13+1,1))</f>
        <v>260.25859566735949</v>
      </c>
      <c r="CZ8" s="59">
        <f t="shared" si="42"/>
        <v>256.93649773468667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7.3233333333333333</v>
      </c>
      <c r="DO8" s="12">
        <f>IF('Données projet'!$A$166&gt;35,DO7+DN8-DW7,IF(A8&lt;'Données projet'!$A$166,$DL$205^A8,IF(A8='Données projet'!$A$166,'Données projet'!$B$166,DO7+DN8-DW7)))</f>
        <v>2.6619422134771895</v>
      </c>
      <c r="DP8" s="17">
        <f>DO8*VLOOKUP('Données projet'!$B$14,Paramètres!$A$1:$I$89,3,0)*VLOOKUP('Données projet'!$B$14,Paramètres!$A$1:$I$89,5,0)</f>
        <v>1.5226309461089524</v>
      </c>
      <c r="DQ8" s="13">
        <f t="shared" si="43"/>
        <v>0.66817881128805734</v>
      </c>
      <c r="DR8" s="20">
        <f t="shared" si="16"/>
        <v>3.8156603274664582</v>
      </c>
      <c r="DS8" s="59">
        <f t="shared" si="17"/>
        <v>177.8026672535577</v>
      </c>
      <c r="DT8" s="59">
        <f ca="1">AVERAGE(OFFSET($DS$3,0,0,'Données projet'!$E$14+1,1))-AVERAGE(OFFSET($H$3,0,0,'Données projet'!$E$14+1,1))</f>
        <v>349.56396446903</v>
      </c>
      <c r="DU8" s="59">
        <f t="shared" si="44"/>
        <v>270.64279448634522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5.8668181818181813</v>
      </c>
      <c r="EJ8" s="12">
        <f>IF('Données projet'!$A$192&gt;35,EJ7+EI8-ER7,IF(A8&lt;'Données projet'!$A$192,$EG$205^A8,IF(A8='Données projet'!$A$192,'Données projet'!$B$192,EJ7+EI8-ER7)))</f>
        <v>3.0180958280464529</v>
      </c>
      <c r="EK8" s="17">
        <f>EJ8*VLOOKUP('Données projet'!$B$15,Paramètres!$A$1:$I$89,3,0)*VLOOKUP('Données projet'!$B$15,Paramètres!$A$1:$I$89,5,0)</f>
        <v>1.804821305171779</v>
      </c>
      <c r="EL8" s="13">
        <f t="shared" si="45"/>
        <v>0.77649261912941803</v>
      </c>
      <c r="EM8" s="20">
        <f t="shared" si="19"/>
        <v>4.4957884181579182</v>
      </c>
      <c r="EN8" s="59">
        <f t="shared" si="20"/>
        <v>178.48279534424918</v>
      </c>
      <c r="EO8" s="59">
        <f ca="1">AVERAGE(OFFSET($EN$3,0,0,'Données projet'!$E$15+1,1))-AVERAGE(OFFSET($H$3,0,0,'Données projet'!$E$15+1,1))</f>
        <v>375.89365709113105</v>
      </c>
      <c r="EP8" s="59">
        <f t="shared" si="46"/>
        <v>279.39056561403834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7.1952941176470588</v>
      </c>
      <c r="FE8" s="12">
        <f>IF('Données projet'!$A$218&gt;35,FE7+FD8-FM7,IF(A8&lt;'Données projet'!$A$218,$FB$205^A8,IF(A8='Données projet'!$A$218,'Données projet'!$B$218,FE7+FD8-FM7)))</f>
        <v>4.1112117397355483</v>
      </c>
      <c r="FF8" s="17">
        <f>FE8*VLOOKUP('Données projet'!$B$16,Paramètres!$A$1:$I$89,3,0)*VLOOKUP('Données projet'!$B$16,Paramètres!$A$1:$I$89,5,0)</f>
        <v>2.4585046203618579</v>
      </c>
      <c r="FG8" s="13">
        <f t="shared" si="47"/>
        <v>1.0203495703161323</v>
      </c>
      <c r="FH8" s="20">
        <f t="shared" si="22"/>
        <v>6.0590043820974993</v>
      </c>
      <c r="FI8" s="59">
        <f t="shared" si="23"/>
        <v>180.04601130818875</v>
      </c>
      <c r="FJ8" s="59">
        <f ca="1">AVERAGE(OFFSET($FI$3,0,0,'Données projet'!$E$16+1,1))-AVERAGE(OFFSET($H$3,0,0,'Données projet'!$E$16+1,1))</f>
        <v>319.29539841078537</v>
      </c>
      <c r="FK8" s="59">
        <f t="shared" si="48"/>
        <v>327.26871144121412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11.239444444444445</v>
      </c>
      <c r="FZ8" s="12">
        <f>IF('Données projet'!$A$244&gt;35,FZ7+FY8-GH7,IF(A8&lt;'Données projet'!$A$244,$FW$205^A8,IF(A8='Données projet'!$A$244,'Données projet'!$B$244,FZ7+FY8-GH7)))</f>
        <v>4.3707943703128072</v>
      </c>
      <c r="GA8" s="17">
        <f>FZ8*VLOOKUP('Données projet'!$B$17,Paramètres!$A$1:$I$89,3,0)*VLOOKUP('Données projet'!$B$17,Paramètres!$A$1:$I$89,5,0)</f>
        <v>1.9318911116782609</v>
      </c>
      <c r="GB8" s="13">
        <f t="shared" si="49"/>
        <v>0.82460569420224694</v>
      </c>
      <c r="GC8" s="20">
        <f t="shared" si="25"/>
        <v>4.8008986035752175</v>
      </c>
      <c r="GD8" s="59">
        <f t="shared" si="26"/>
        <v>178.78790552966646</v>
      </c>
      <c r="GE8" s="59">
        <f ca="1">AVERAGE(OFFSET($GD$3,0,0,'Données projet'!$E$17+1,1))-AVERAGE(OFFSET($H$3,0,0,'Données projet'!$E$17+1,1))</f>
        <v>342.89128067483233</v>
      </c>
      <c r="GF8" s="59">
        <f t="shared" si="50"/>
        <v>453.47615302202996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45.784335222267316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5.8668181818181813</v>
      </c>
      <c r="GU8" s="12">
        <f>IF('Données projet'!$A$270&gt;35,GU7+GT8-HC7,IF(A8&lt;'Données projet'!$A$270,$GR$205^A8,IF(A8='Données projet'!$A$270,'Données projet'!$B$270,GU7+GT8-HC7)))</f>
        <v>3.0180958280464529</v>
      </c>
      <c r="GV8" s="17">
        <f>GU8*VLOOKUP('Données projet'!$B$18,Paramètres!$A$1:$I$89,3,0)*VLOOKUP('Données projet'!$B$18,Paramètres!$A$1:$I$89,5,0)</f>
        <v>1.804821305171779</v>
      </c>
      <c r="GW8" s="13">
        <f t="shared" si="51"/>
        <v>0.77649261912941803</v>
      </c>
      <c r="GX8" s="20">
        <f t="shared" si="28"/>
        <v>4.4957884181579182</v>
      </c>
      <c r="GY8" s="59">
        <f t="shared" si="29"/>
        <v>178.48279534424918</v>
      </c>
      <c r="GZ8" s="59">
        <f ca="1">AVERAGE(OFFSET($GY$3,0,0,'Données projet'!$E$18+1,1))-AVERAGE(OFFSET($H$3,0,0,'Données projet'!$E$18+1,1))</f>
        <v>375.89365709113105</v>
      </c>
      <c r="HA8" s="59">
        <f t="shared" si="52"/>
        <v>279.39056561403834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178.09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21.102521142857139</v>
      </c>
      <c r="P9" s="13">
        <f t="shared" si="33"/>
        <v>6.8192072738987575</v>
      </c>
      <c r="Q9" s="20">
        <f t="shared" si="2"/>
        <v>48.630343659183183</v>
      </c>
      <c r="R9" s="59">
        <f t="shared" si="0"/>
        <v>225.37989417534817</v>
      </c>
      <c r="S9" s="59">
        <f ca="1">AVERAGE(OFFSET($R$3,0,0,'Données projet'!$E$9+1,1))-AVERAGE(OFFSET($H$3,0,0,'Données projet'!$E$9+1,1))</f>
        <v>631.31712308065664</v>
      </c>
      <c r="T9" s="59">
        <f t="shared" si="34"/>
        <v>290.92244624361285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3.8113157894736847</v>
      </c>
      <c r="AI9" s="13">
        <f>IF('Données projet'!$A$62&gt;35,AI8+AH9-AQ8,IF(A9&lt;'Données projet'!$A$62,$AF$205^A9,IF(A9='Données projet'!$A$62,'Données projet'!$B$62,AI8+AH9-AQ8)))</f>
        <v>22.867894736842107</v>
      </c>
      <c r="AJ9" s="13">
        <f>AI9*VLOOKUP('Données projet'!$B$10,Paramètres!$A$1:$I$89,3,0)*VLOOKUP('Données projet'!$B$10,Paramètres!$A$1:$I$89,5,0)</f>
        <v>19.263914526315794</v>
      </c>
      <c r="AK9" s="13">
        <f t="shared" si="35"/>
        <v>6.2914730807403405</v>
      </c>
      <c r="AL9" s="20">
        <f t="shared" si="4"/>
        <v>44.508966748956091</v>
      </c>
      <c r="AM9" s="59">
        <f t="shared" si="5"/>
        <v>221.25851726512107</v>
      </c>
      <c r="AN9" s="59">
        <f ca="1">AVERAGE(OFFSET($AM$3,0,0,'Données projet'!$E$10+1,1))-AVERAGE(OFFSET($H$3,0,0,'Données projet'!$E$10+1,1))</f>
        <v>401.19166052471473</v>
      </c>
      <c r="AO9" s="59">
        <f t="shared" si="36"/>
        <v>271.10067497534271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23.649377142857141</v>
      </c>
      <c r="BF9" s="13">
        <f t="shared" si="37"/>
        <v>7.5415247055086745</v>
      </c>
      <c r="BG9" s="20">
        <f t="shared" si="7"/>
        <v>54.324154052570456</v>
      </c>
      <c r="BH9" s="59">
        <f t="shared" si="8"/>
        <v>231.07370456873545</v>
      </c>
      <c r="BI9" s="59">
        <f ca="1">AVERAGE(OFFSET($BH$3,0,0,'Données projet'!$E$11+1,1))-AVERAGE(OFFSET($H$3,0,0,'Données projet'!$E$11+1,1))</f>
        <v>695.93700574708214</v>
      </c>
      <c r="BJ9" s="59">
        <f t="shared" si="38"/>
        <v>318.31690229208471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0.9</v>
      </c>
      <c r="BY9" s="12">
        <f>IF('Données projet'!$A$114&gt;35,BY8+BX9-CG8,IF(A9&lt;'Données projet'!$A$114,$BV$205^A9,IF(A9='Données projet'!$A$114,'Données projet'!$B$114,BY8+BX9-CG8)))</f>
        <v>3.7371928188465526</v>
      </c>
      <c r="BZ9" s="13">
        <f>BY9*VLOOKUP('Données projet'!$B$12,Paramètres!$A$1:$I$89,3,0)*VLOOKUP('Données projet'!$B$12,Paramètres!$A$1:$I$89,5,0)</f>
        <v>2.448608734908261</v>
      </c>
      <c r="CA9" s="13">
        <f t="shared" si="39"/>
        <v>1.0167197075625076</v>
      </c>
      <c r="CB9" s="20">
        <f t="shared" si="10"/>
        <v>6.035447037303256</v>
      </c>
      <c r="CC9" s="59">
        <f t="shared" si="11"/>
        <v>182.78499755346823</v>
      </c>
      <c r="CD9" s="59">
        <f ca="1">AVERAGE(OFFSET($CC$3,0,0,'Données projet'!$E$12+1,1))-AVERAGE(OFFSET($H$3,0,0,'Données projet'!$E$12+1,1))</f>
        <v>260.25859566735949</v>
      </c>
      <c r="CE9" s="59">
        <f t="shared" si="40"/>
        <v>256.93649773468667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0.9</v>
      </c>
      <c r="CT9" s="12">
        <f>IF('Données projet'!$A$140&gt;35,CT8+CS9-DB8,IF(A9&lt;'Données projet'!$A$140,$CQ$205^A9,IF(A9='Données projet'!$A$140,'Données projet'!$B$140,CT8+CS9-DB8)))</f>
        <v>3.7371928188465526</v>
      </c>
      <c r="CU9" s="17">
        <f>CT9*VLOOKUP('Données projet'!$B$13,Paramètres!$A$1:$I$89,3,0)*VLOOKUP('Données projet'!$B$13,Paramètres!$A$1:$I$89,5,0)</f>
        <v>2.448608734908261</v>
      </c>
      <c r="CV9" s="13">
        <f t="shared" si="41"/>
        <v>1.0167197075625076</v>
      </c>
      <c r="CW9" s="20">
        <f t="shared" si="13"/>
        <v>6.035447037303256</v>
      </c>
      <c r="CX9" s="59">
        <f t="shared" si="14"/>
        <v>182.78499755346823</v>
      </c>
      <c r="CY9" s="59">
        <f ca="1">AVERAGE(OFFSET($CX$3,0,0,'Données projet'!$E$13+1,1))-AVERAGE(OFFSET($H$3,0,0,'Données projet'!$E$13+1,1))</f>
        <v>260.25859566735949</v>
      </c>
      <c r="CZ9" s="59">
        <f t="shared" si="42"/>
        <v>256.93649773468667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7.3233333333333333</v>
      </c>
      <c r="DO9" s="12">
        <f>IF('Données projet'!$A$166&gt;35,DO8+DN9-DW8,IF(A9&lt;'Données projet'!$A$166,$DL$205^A9,IF(A9='Données projet'!$A$166,'Données projet'!$B$166,DO8+DN9-DW8)))</f>
        <v>3.2377129928626225</v>
      </c>
      <c r="DP9" s="17">
        <f>DO9*VLOOKUP('Données projet'!$B$14,Paramètres!$A$1:$I$89,3,0)*VLOOKUP('Données projet'!$B$14,Paramètres!$A$1:$I$89,5,0)</f>
        <v>1.8519718319174201</v>
      </c>
      <c r="DQ9" s="13">
        <f t="shared" si="43"/>
        <v>0.79439005811445551</v>
      </c>
      <c r="DR9" s="20">
        <f t="shared" si="16"/>
        <v>4.6090802918055163</v>
      </c>
      <c r="DS9" s="59">
        <f t="shared" si="17"/>
        <v>181.35863080797051</v>
      </c>
      <c r="DT9" s="59">
        <f ca="1">AVERAGE(OFFSET($DS$3,0,0,'Données projet'!$E$14+1,1))-AVERAGE(OFFSET($H$3,0,0,'Données projet'!$E$14+1,1))</f>
        <v>349.56396446903</v>
      </c>
      <c r="DU9" s="59">
        <f t="shared" si="44"/>
        <v>270.64279448634522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5.8668181818181813</v>
      </c>
      <c r="EJ9" s="12">
        <f>IF('Données projet'!$A$192&gt;35,EJ8+EI9-ER8,IF(A9&lt;'Données projet'!$A$192,$EG$205^A9,IF(A9='Données projet'!$A$192,'Données projet'!$B$192,EJ8+EI9-ER8)))</f>
        <v>3.7642601491537744</v>
      </c>
      <c r="EK9" s="17">
        <f>EJ9*VLOOKUP('Données projet'!$B$15,Paramètres!$A$1:$I$89,3,0)*VLOOKUP('Données projet'!$B$15,Paramètres!$A$1:$I$89,5,0)</f>
        <v>2.251027569193957</v>
      </c>
      <c r="EL9" s="13">
        <f t="shared" si="45"/>
        <v>0.94387775765556148</v>
      </c>
      <c r="EM9" s="20">
        <f t="shared" si="19"/>
        <v>5.5644601109295779</v>
      </c>
      <c r="EN9" s="59">
        <f t="shared" si="20"/>
        <v>182.31401062709458</v>
      </c>
      <c r="EO9" s="59">
        <f ca="1">AVERAGE(OFFSET($EN$3,0,0,'Données projet'!$E$15+1,1))-AVERAGE(OFFSET($H$3,0,0,'Données projet'!$E$15+1,1))</f>
        <v>375.89365709113105</v>
      </c>
      <c r="EP9" s="59">
        <f t="shared" si="46"/>
        <v>279.39056561403834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7.1952941176470588</v>
      </c>
      <c r="FE9" s="12">
        <f>IF('Données projet'!$A$218&gt;35,FE8+FD9-FM8,IF(A9&lt;'Données projet'!$A$218,$FB$205^A9,IF(A9='Données projet'!$A$218,'Données projet'!$B$218,FE8+FD9-FM8)))</f>
        <v>5.4546113745763272</v>
      </c>
      <c r="FF9" s="17">
        <f>FE9*VLOOKUP('Données projet'!$B$16,Paramètres!$A$1:$I$89,3,0)*VLOOKUP('Données projet'!$B$16,Paramètres!$A$1:$I$89,5,0)</f>
        <v>3.2618576019966441</v>
      </c>
      <c r="FG9" s="13">
        <f t="shared" si="47"/>
        <v>1.3099349720938758</v>
      </c>
      <c r="FH9" s="20">
        <f t="shared" si="22"/>
        <v>7.962538733207654</v>
      </c>
      <c r="FI9" s="59">
        <f t="shared" si="23"/>
        <v>184.71208924937264</v>
      </c>
      <c r="FJ9" s="59">
        <f ca="1">AVERAGE(OFFSET($FI$3,0,0,'Données projet'!$E$16+1,1))-AVERAGE(OFFSET($H$3,0,0,'Données projet'!$E$16+1,1))</f>
        <v>319.29539841078537</v>
      </c>
      <c r="FK9" s="59">
        <f t="shared" si="48"/>
        <v>327.26871144121412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11.239444444444445</v>
      </c>
      <c r="FZ9" s="12">
        <f>IF('Données projet'!$A$244&gt;35,FZ8+FY9-GH8,IF(A9&lt;'Données projet'!$A$244,$FW$205^A9,IF(A9='Données projet'!$A$244,'Données projet'!$B$244,FZ8+FY9-GH8)))</f>
        <v>5.8704642824699818</v>
      </c>
      <c r="GA9" s="17">
        <f>FZ9*VLOOKUP('Données projet'!$B$17,Paramètres!$A$1:$I$89,3,0)*VLOOKUP('Données projet'!$B$17,Paramètres!$A$1:$I$89,5,0)</f>
        <v>2.5947452128517323</v>
      </c>
      <c r="GB9" s="13">
        <f t="shared" si="49"/>
        <v>1.0701537037852764</v>
      </c>
      <c r="GC9" s="20">
        <f t="shared" si="25"/>
        <v>6.3830322798094565</v>
      </c>
      <c r="GD9" s="59">
        <f t="shared" si="26"/>
        <v>183.13258279597446</v>
      </c>
      <c r="GE9" s="59">
        <f ca="1">AVERAGE(OFFSET($GD$3,0,0,'Données projet'!$E$17+1,1))-AVERAGE(OFFSET($H$3,0,0,'Données projet'!$E$17+1,1))</f>
        <v>342.89128067483233</v>
      </c>
      <c r="GF9" s="59">
        <f t="shared" si="50"/>
        <v>453.47615302202996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46.204422868045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5.8668181818181813</v>
      </c>
      <c r="GU9" s="12">
        <f>IF('Données projet'!$A$270&gt;35,GU8+GT9-HC8,IF(A9&lt;'Données projet'!$A$270,$GR$205^A9,IF(A9='Données projet'!$A$270,'Données projet'!$B$270,GU8+GT9-HC8)))</f>
        <v>3.7642601491537744</v>
      </c>
      <c r="GV9" s="17">
        <f>GU9*VLOOKUP('Données projet'!$B$18,Paramètres!$A$1:$I$89,3,0)*VLOOKUP('Données projet'!$B$18,Paramètres!$A$1:$I$89,5,0)</f>
        <v>2.251027569193957</v>
      </c>
      <c r="GW9" s="13">
        <f t="shared" si="51"/>
        <v>0.94387775765556148</v>
      </c>
      <c r="GX9" s="20">
        <f t="shared" si="28"/>
        <v>5.5644601109295779</v>
      </c>
      <c r="GY9" s="59">
        <f t="shared" si="29"/>
        <v>182.31401062709458</v>
      </c>
      <c r="GZ9" s="59">
        <f ca="1">AVERAGE(OFFSET($GY$3,0,0,'Données projet'!$E$18+1,1))-AVERAGE(OFFSET($H$3,0,0,'Données projet'!$E$18+1,1))</f>
        <v>375.89365709113105</v>
      </c>
      <c r="HA9" s="59">
        <f t="shared" si="52"/>
        <v>279.39056561403834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178.09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24.619607999999992</v>
      </c>
      <c r="P10" s="13">
        <f t="shared" si="33"/>
        <v>7.8142639118614152</v>
      </c>
      <c r="Q10" s="20">
        <f t="shared" si="2"/>
        <v>56.488993579825284</v>
      </c>
      <c r="R10" s="59">
        <f t="shared" si="0"/>
        <v>235.97436655397451</v>
      </c>
      <c r="S10" s="59">
        <f ca="1">AVERAGE(OFFSET($R$3,0,0,'Données projet'!$E$9+1,1))-AVERAGE(OFFSET($H$3,0,0,'Données projet'!$E$9+1,1))</f>
        <v>631.31712308065664</v>
      </c>
      <c r="T10" s="59">
        <f t="shared" si="34"/>
        <v>290.92244624361285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3.8113157894736847</v>
      </c>
      <c r="AI10" s="13">
        <f>IF('Données projet'!$A$62&gt;35,AI9+AH10-AQ9,IF(A10&lt;'Données projet'!$A$62,$AF$205^A10,IF(A10='Données projet'!$A$62,'Données projet'!$B$62,AI9+AH10-AQ9)))</f>
        <v>26.679210526315792</v>
      </c>
      <c r="AJ10" s="13">
        <f>AI10*VLOOKUP('Données projet'!$B$10,Paramètres!$A$1:$I$89,3,0)*VLOOKUP('Données projet'!$B$10,Paramètres!$A$1:$I$89,5,0)</f>
        <v>22.474566947368427</v>
      </c>
      <c r="AK10" s="13">
        <f t="shared" si="35"/>
        <v>7.2095229067833655</v>
      </c>
      <c r="AL10" s="20">
        <f t="shared" si="4"/>
        <v>51.699789829314369</v>
      </c>
      <c r="AM10" s="59">
        <f t="shared" si="5"/>
        <v>231.18516280346358</v>
      </c>
      <c r="AN10" s="59">
        <f ca="1">AVERAGE(OFFSET($AM$3,0,0,'Données projet'!$E$10+1,1))-AVERAGE(OFFSET($H$3,0,0,'Données projet'!$E$10+1,1))</f>
        <v>401.19166052471473</v>
      </c>
      <c r="AO10" s="59">
        <f t="shared" si="36"/>
        <v>271.10067497534271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27.590939999999993</v>
      </c>
      <c r="BF10" s="13">
        <f t="shared" si="37"/>
        <v>8.6419816819814557</v>
      </c>
      <c r="BG10" s="20">
        <f t="shared" si="7"/>
        <v>63.105671929451027</v>
      </c>
      <c r="BH10" s="59">
        <f t="shared" si="8"/>
        <v>242.59104490360025</v>
      </c>
      <c r="BI10" s="59">
        <f ca="1">AVERAGE(OFFSET($BH$3,0,0,'Données projet'!$E$11+1,1))-AVERAGE(OFFSET($H$3,0,0,'Données projet'!$E$11+1,1))</f>
        <v>695.93700574708214</v>
      </c>
      <c r="BJ10" s="59">
        <f t="shared" si="38"/>
        <v>318.31690229208471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0.9</v>
      </c>
      <c r="BY10" s="12">
        <f>IF('Données projet'!$A$114&gt;35,BY9+BX10-CG9,IF(A10&lt;'Données projet'!$A$114,$BV$205^A10,IF(A10='Données projet'!$A$114,'Données projet'!$B$114,BY9+BX10-CG9)))</f>
        <v>4.6555367217460804</v>
      </c>
      <c r="BZ10" s="13">
        <f>BY10*VLOOKUP('Données projet'!$B$12,Paramètres!$A$1:$I$89,3,0)*VLOOKUP('Données projet'!$B$12,Paramètres!$A$1:$I$89,5,0)</f>
        <v>3.0503076600880319</v>
      </c>
      <c r="CA10" s="13">
        <f t="shared" si="39"/>
        <v>1.2345767954654534</v>
      </c>
      <c r="CB10" s="20">
        <f t="shared" si="10"/>
        <v>7.4628404267556538</v>
      </c>
      <c r="CC10" s="59">
        <f t="shared" si="11"/>
        <v>186.94821340090488</v>
      </c>
      <c r="CD10" s="59">
        <f ca="1">AVERAGE(OFFSET($CC$3,0,0,'Données projet'!$E$12+1,1))-AVERAGE(OFFSET($H$3,0,0,'Données projet'!$E$12+1,1))</f>
        <v>260.25859566735949</v>
      </c>
      <c r="CE10" s="59">
        <f t="shared" si="40"/>
        <v>256.93649773468667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0.9</v>
      </c>
      <c r="CT10" s="12">
        <f>IF('Données projet'!$A$140&gt;35,CT9+CS10-DB9,IF(A10&lt;'Données projet'!$A$140,$CQ$205^A10,IF(A10='Données projet'!$A$140,'Données projet'!$B$140,CT9+CS10-DB9)))</f>
        <v>4.6555367217460804</v>
      </c>
      <c r="CU10" s="17">
        <f>CT10*VLOOKUP('Données projet'!$B$13,Paramètres!$A$1:$I$89,3,0)*VLOOKUP('Données projet'!$B$13,Paramètres!$A$1:$I$89,5,0)</f>
        <v>3.0503076600880319</v>
      </c>
      <c r="CV10" s="13">
        <f t="shared" si="41"/>
        <v>1.2345767954654534</v>
      </c>
      <c r="CW10" s="20">
        <f t="shared" si="13"/>
        <v>7.4628404267556538</v>
      </c>
      <c r="CX10" s="59">
        <f t="shared" si="14"/>
        <v>186.94821340090488</v>
      </c>
      <c r="CY10" s="59">
        <f ca="1">AVERAGE(OFFSET($CX$3,0,0,'Données projet'!$E$13+1,1))-AVERAGE(OFFSET($H$3,0,0,'Données projet'!$E$13+1,1))</f>
        <v>260.25859566735949</v>
      </c>
      <c r="CZ10" s="59">
        <f t="shared" si="42"/>
        <v>256.93649773468667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7.3233333333333333</v>
      </c>
      <c r="DO10" s="12">
        <f>IF('Données projet'!$A$166&gt;35,DO9+DN10-DW9,IF(A10&lt;'Données projet'!$A$166,$DL$205^A10,IF(A10='Données projet'!$A$166,'Données projet'!$B$166,DO9+DN10-DW9)))</f>
        <v>3.9380214082326725</v>
      </c>
      <c r="DP10" s="17">
        <f>DO10*VLOOKUP('Données projet'!$B$14,Paramètres!$A$1:$I$89,3,0)*VLOOKUP('Données projet'!$B$14,Paramètres!$A$1:$I$89,5,0)</f>
        <v>2.2525482455090886</v>
      </c>
      <c r="DQ10" s="13">
        <f t="shared" si="43"/>
        <v>0.94444114924056566</v>
      </c>
      <c r="DR10" s="20">
        <f t="shared" si="16"/>
        <v>5.5680898625223136</v>
      </c>
      <c r="DS10" s="59">
        <f t="shared" si="17"/>
        <v>185.05346283667154</v>
      </c>
      <c r="DT10" s="59">
        <f ca="1">AVERAGE(OFFSET($DS$3,0,0,'Données projet'!$E$14+1,1))-AVERAGE(OFFSET($H$3,0,0,'Données projet'!$E$14+1,1))</f>
        <v>349.56396446903</v>
      </c>
      <c r="DU10" s="59">
        <f t="shared" si="44"/>
        <v>270.64279448634522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5.8668181818181813</v>
      </c>
      <c r="EJ10" s="12">
        <f>IF('Données projet'!$A$192&gt;35,EJ9+EI10-ER9,IF(A10&lt;'Données projet'!$A$192,$EG$205^A10,IF(A10='Données projet'!$A$192,'Données projet'!$B$192,EJ9+EI10-ER9)))</f>
        <v>4.6948987963973625</v>
      </c>
      <c r="EK10" s="17">
        <f>EJ10*VLOOKUP('Données projet'!$B$15,Paramètres!$A$1:$I$89,3,0)*VLOOKUP('Données projet'!$B$15,Paramètres!$A$1:$I$89,5,0)</f>
        <v>2.8075494802456231</v>
      </c>
      <c r="EL10" s="13">
        <f t="shared" si="45"/>
        <v>1.1473453828778812</v>
      </c>
      <c r="EM10" s="20">
        <f t="shared" si="19"/>
        <v>6.8881085532734367</v>
      </c>
      <c r="EN10" s="59">
        <f t="shared" si="20"/>
        <v>186.37348152742265</v>
      </c>
      <c r="EO10" s="59">
        <f ca="1">AVERAGE(OFFSET($EN$3,0,0,'Données projet'!$E$15+1,1))-AVERAGE(OFFSET($H$3,0,0,'Données projet'!$E$15+1,1))</f>
        <v>375.89365709113105</v>
      </c>
      <c r="EP10" s="59">
        <f t="shared" si="46"/>
        <v>279.39056561403834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7.1952941176470588</v>
      </c>
      <c r="FE10" s="12">
        <f>IF('Données projet'!$A$218&gt;35,FE9+FD10-FM9,IF(A10&lt;'Données projet'!$A$218,$FB$205^A10,IF(A10='Données projet'!$A$218,'Données projet'!$B$218,FE9+FD10-FM9)))</f>
        <v>7.2369868377470841</v>
      </c>
      <c r="FF10" s="17">
        <f>FE10*VLOOKUP('Données projet'!$B$16,Paramètres!$A$1:$I$89,3,0)*VLOOKUP('Données projet'!$B$16,Paramètres!$A$1:$I$89,5,0)</f>
        <v>4.3277181289727569</v>
      </c>
      <c r="FG10" s="13">
        <f t="shared" si="47"/>
        <v>1.6817076039762937</v>
      </c>
      <c r="FH10" s="20">
        <f t="shared" si="22"/>
        <v>10.466416484886262</v>
      </c>
      <c r="FI10" s="59">
        <f t="shared" si="23"/>
        <v>189.95178945903547</v>
      </c>
      <c r="FJ10" s="59">
        <f ca="1">AVERAGE(OFFSET($FI$3,0,0,'Données projet'!$E$16+1,1))-AVERAGE(OFFSET($H$3,0,0,'Données projet'!$E$16+1,1))</f>
        <v>319.29539841078537</v>
      </c>
      <c r="FK10" s="59">
        <f t="shared" si="48"/>
        <v>327.26871144121412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11.239444444444445</v>
      </c>
      <c r="FZ10" s="12">
        <f>IF('Données projet'!$A$244&gt;35,FZ9+FY10-GH9,IF(A10&lt;'Données projet'!$A$244,$FW$205^A10,IF(A10='Données projet'!$A$244,'Données projet'!$B$244,FZ9+FY10-GH9)))</f>
        <v>7.884688221855062</v>
      </c>
      <c r="GA10" s="17">
        <f>FZ10*VLOOKUP('Données projet'!$B$17,Paramètres!$A$1:$I$89,3,0)*VLOOKUP('Données projet'!$B$17,Paramètres!$A$1:$I$89,5,0)</f>
        <v>3.4850321940599378</v>
      </c>
      <c r="GB10" s="13">
        <f t="shared" si="49"/>
        <v>1.3888200842868066</v>
      </c>
      <c r="GC10" s="20">
        <f t="shared" si="25"/>
        <v>8.4886260514539114</v>
      </c>
      <c r="GD10" s="59">
        <f t="shared" si="26"/>
        <v>187.97399902560312</v>
      </c>
      <c r="GE10" s="59">
        <f ca="1">AVERAGE(OFFSET($GD$3,0,0,'Données projet'!$E$17+1,1))-AVERAGE(OFFSET($H$3,0,0,'Données projet'!$E$17+1,1))</f>
        <v>342.89128067483233</v>
      </c>
      <c r="GF10" s="59">
        <f t="shared" si="50"/>
        <v>453.47615302202996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46.617222932343729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5.8668181818181813</v>
      </c>
      <c r="GU10" s="12">
        <f>IF('Données projet'!$A$270&gt;35,GU9+GT10-HC9,IF(A10&lt;'Données projet'!$A$270,$GR$205^A10,IF(A10='Données projet'!$A$270,'Données projet'!$B$270,GU9+GT10-HC9)))</f>
        <v>4.6948987963973625</v>
      </c>
      <c r="GV10" s="17">
        <f>GU10*VLOOKUP('Données projet'!$B$18,Paramètres!$A$1:$I$89,3,0)*VLOOKUP('Données projet'!$B$18,Paramètres!$A$1:$I$89,5,0)</f>
        <v>2.8075494802456231</v>
      </c>
      <c r="GW10" s="13">
        <f t="shared" si="51"/>
        <v>1.1473453828778812</v>
      </c>
      <c r="GX10" s="20">
        <f t="shared" si="28"/>
        <v>6.8881085532734367</v>
      </c>
      <c r="GY10" s="59">
        <f t="shared" si="29"/>
        <v>186.37348152742265</v>
      </c>
      <c r="GZ10" s="59">
        <f ca="1">AVERAGE(OFFSET($GY$3,0,0,'Données projet'!$E$18+1,1))-AVERAGE(OFFSET($H$3,0,0,'Données projet'!$E$18+1,1))</f>
        <v>375.89365709113105</v>
      </c>
      <c r="HA10" s="59">
        <f t="shared" si="52"/>
        <v>279.39056561403834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178.09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28.136694857142849</v>
      </c>
      <c r="P11" s="13">
        <f t="shared" si="33"/>
        <v>8.792851913254415</v>
      </c>
      <c r="Q11" s="20">
        <f t="shared" si="2"/>
        <v>64.318960625108559</v>
      </c>
      <c r="R11" s="59">
        <f t="shared" si="0"/>
        <v>246.51389847705474</v>
      </c>
      <c r="S11" s="59">
        <f ca="1">AVERAGE(OFFSET($R$3,0,0,'Données projet'!$E$9+1,1))-AVERAGE(OFFSET($H$3,0,0,'Données projet'!$E$9+1,1))</f>
        <v>631.31712308065664</v>
      </c>
      <c r="T11" s="59">
        <f t="shared" si="34"/>
        <v>290.92244624361285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3.8113157894736847</v>
      </c>
      <c r="AI11" s="13">
        <f>IF('Données projet'!$A$62&gt;35,AI10+AH11-AQ10,IF(A11&lt;'Données projet'!$A$62,$AF$205^A11,IF(A11='Données projet'!$A$62,'Données projet'!$B$62,AI10+AH11-AQ10)))</f>
        <v>30.490526315789477</v>
      </c>
      <c r="AJ11" s="13">
        <f>AI11*VLOOKUP('Données projet'!$B$10,Paramètres!$A$1:$I$89,3,0)*VLOOKUP('Données projet'!$B$10,Paramètres!$A$1:$I$89,5,0)</f>
        <v>25.685219368421055</v>
      </c>
      <c r="AK11" s="13">
        <f t="shared" si="35"/>
        <v>8.1123785937581836</v>
      </c>
      <c r="AL11" s="20">
        <f t="shared" si="4"/>
        <v>58.864149784128841</v>
      </c>
      <c r="AM11" s="59">
        <f t="shared" si="5"/>
        <v>241.05908763607502</v>
      </c>
      <c r="AN11" s="59">
        <f ca="1">AVERAGE(OFFSET($AM$3,0,0,'Données projet'!$E$10+1,1))-AVERAGE(OFFSET($H$3,0,0,'Données projet'!$E$10+1,1))</f>
        <v>401.19166052471473</v>
      </c>
      <c r="AO11" s="59">
        <f t="shared" si="36"/>
        <v>271.10067497534271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31.532502857142852</v>
      </c>
      <c r="BF11" s="13">
        <f t="shared" si="37"/>
        <v>9.7242255986999844</v>
      </c>
      <c r="BG11" s="20">
        <f t="shared" si="7"/>
        <v>71.855468727259591</v>
      </c>
      <c r="BH11" s="59">
        <f t="shared" si="8"/>
        <v>254.05040657920577</v>
      </c>
      <c r="BI11" s="59">
        <f ca="1">AVERAGE(OFFSET($BH$3,0,0,'Données projet'!$E$11+1,1))-AVERAGE(OFFSET($H$3,0,0,'Données projet'!$E$11+1,1))</f>
        <v>695.93700574708214</v>
      </c>
      <c r="BJ11" s="59">
        <f t="shared" si="38"/>
        <v>318.31690229208471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0.9</v>
      </c>
      <c r="BY11" s="12">
        <f>IF('Données projet'!$A$114&gt;35,BY10+BX11-CG10,IF(A11&lt;'Données projet'!$A$114,$BV$205^A11,IF(A11='Données projet'!$A$114,'Données projet'!$B$114,BY10+BX11-CG10)))</f>
        <v>5.7995461347952899</v>
      </c>
      <c r="BZ11" s="13">
        <f>BY11*VLOOKUP('Données projet'!$B$12,Paramètres!$A$1:$I$89,3,0)*VLOOKUP('Données projet'!$B$12,Paramètres!$A$1:$I$89,5,0)</f>
        <v>3.7998626275178737</v>
      </c>
      <c r="CA11" s="13">
        <f t="shared" si="39"/>
        <v>1.4991150978629391</v>
      </c>
      <c r="CB11" s="20">
        <f t="shared" si="10"/>
        <v>9.2290528717049156</v>
      </c>
      <c r="CC11" s="59">
        <f t="shared" si="11"/>
        <v>191.42399072365109</v>
      </c>
      <c r="CD11" s="59">
        <f ca="1">AVERAGE(OFFSET($CC$3,0,0,'Données projet'!$E$12+1,1))-AVERAGE(OFFSET($H$3,0,0,'Données projet'!$E$12+1,1))</f>
        <v>260.25859566735949</v>
      </c>
      <c r="CE11" s="59">
        <f t="shared" si="40"/>
        <v>256.93649773468667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0.9</v>
      </c>
      <c r="CT11" s="12">
        <f>IF('Données projet'!$A$140&gt;35,CT10+CS11-DB10,IF(A11&lt;'Données projet'!$A$140,$CQ$205^A11,IF(A11='Données projet'!$A$140,'Données projet'!$B$140,CT10+CS11-DB10)))</f>
        <v>5.7995461347952899</v>
      </c>
      <c r="CU11" s="17">
        <f>CT11*VLOOKUP('Données projet'!$B$13,Paramètres!$A$1:$I$89,3,0)*VLOOKUP('Données projet'!$B$13,Paramètres!$A$1:$I$89,5,0)</f>
        <v>3.7998626275178737</v>
      </c>
      <c r="CV11" s="13">
        <f t="shared" si="41"/>
        <v>1.4991150978629391</v>
      </c>
      <c r="CW11" s="20">
        <f t="shared" si="13"/>
        <v>9.2290528717049156</v>
      </c>
      <c r="CX11" s="59">
        <f t="shared" si="14"/>
        <v>191.42399072365109</v>
      </c>
      <c r="CY11" s="59">
        <f ca="1">AVERAGE(OFFSET($CX$3,0,0,'Données projet'!$E$13+1,1))-AVERAGE(OFFSET($H$3,0,0,'Données projet'!$E$13+1,1))</f>
        <v>260.25859566735949</v>
      </c>
      <c r="CZ11" s="59">
        <f t="shared" si="42"/>
        <v>256.93649773468667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7.3233333333333333</v>
      </c>
      <c r="DO11" s="12">
        <f>IF('Données projet'!$A$166&gt;35,DO10+DN11-DW10,IF(A11&lt;'Données projet'!$A$166,$DL$205^A11,IF(A11='Données projet'!$A$166,'Données projet'!$B$166,DO10+DN11-DW10)))</f>
        <v>4.7898046077232559</v>
      </c>
      <c r="DP11" s="17">
        <f>DO11*VLOOKUP('Données projet'!$B$14,Paramètres!$A$1:$I$89,3,0)*VLOOKUP('Données projet'!$B$14,Paramètres!$A$1:$I$89,5,0)</f>
        <v>2.7397682356177024</v>
      </c>
      <c r="DQ11" s="13">
        <f t="shared" si="43"/>
        <v>1.1228351554348455</v>
      </c>
      <c r="DR11" s="20">
        <f t="shared" si="16"/>
        <v>6.727367572749853</v>
      </c>
      <c r="DS11" s="59">
        <f t="shared" si="17"/>
        <v>188.92230542469602</v>
      </c>
      <c r="DT11" s="59">
        <f ca="1">AVERAGE(OFFSET($DS$3,0,0,'Données projet'!$E$14+1,1))-AVERAGE(OFFSET($H$3,0,0,'Données projet'!$E$14+1,1))</f>
        <v>349.56396446903</v>
      </c>
      <c r="DU11" s="59">
        <f t="shared" si="44"/>
        <v>270.64279448634522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5.8668181818181813</v>
      </c>
      <c r="EJ11" s="12">
        <f>IF('Données projet'!$A$192&gt;35,EJ10+EI11-ER10,IF(A11&lt;'Données projet'!$A$192,$EG$205^A11,IF(A11='Données projet'!$A$192,'Données projet'!$B$192,EJ10+EI11-ER10)))</f>
        <v>5.8556193873498845</v>
      </c>
      <c r="EK11" s="17">
        <f>EJ11*VLOOKUP('Données projet'!$B$15,Paramètres!$A$1:$I$89,3,0)*VLOOKUP('Données projet'!$B$15,Paramètres!$A$1:$I$89,5,0)</f>
        <v>3.5016603936352309</v>
      </c>
      <c r="EL11" s="13">
        <f t="shared" si="45"/>
        <v>1.3946736396044743</v>
      </c>
      <c r="EM11" s="20">
        <f t="shared" si="19"/>
        <v>8.5277817745591538</v>
      </c>
      <c r="EN11" s="59">
        <f t="shared" si="20"/>
        <v>190.72271962650532</v>
      </c>
      <c r="EO11" s="59">
        <f ca="1">AVERAGE(OFFSET($EN$3,0,0,'Données projet'!$E$15+1,1))-AVERAGE(OFFSET($H$3,0,0,'Données projet'!$E$15+1,1))</f>
        <v>375.89365709113105</v>
      </c>
      <c r="EP11" s="59">
        <f t="shared" si="46"/>
        <v>279.39056561403834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7.1952941176470588</v>
      </c>
      <c r="FE11" s="12">
        <f>IF('Données projet'!$A$218&gt;35,FE10+FD11-FM10,IF(A11&lt;'Données projet'!$A$218,$FB$205^A11,IF(A11='Données projet'!$A$218,'Données projet'!$B$218,FE10+FD11-FM10)))</f>
        <v>9.6017800156830688</v>
      </c>
      <c r="FF11" s="17">
        <f>FE11*VLOOKUP('Données projet'!$B$16,Paramètres!$A$1:$I$89,3,0)*VLOOKUP('Données projet'!$B$16,Paramètres!$A$1:$I$89,5,0)</f>
        <v>5.7418644493784763</v>
      </c>
      <c r="FG11" s="13">
        <f t="shared" si="47"/>
        <v>2.1589930229521412</v>
      </c>
      <c r="FH11" s="20">
        <f t="shared" si="22"/>
        <v>13.760660097642491</v>
      </c>
      <c r="FI11" s="59">
        <f t="shared" si="23"/>
        <v>195.95559794958868</v>
      </c>
      <c r="FJ11" s="59">
        <f ca="1">AVERAGE(OFFSET($FI$3,0,0,'Données projet'!$E$16+1,1))-AVERAGE(OFFSET($H$3,0,0,'Données projet'!$E$16+1,1))</f>
        <v>319.29539841078537</v>
      </c>
      <c r="FK11" s="59">
        <f t="shared" si="48"/>
        <v>327.26871144121412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11.239444444444445</v>
      </c>
      <c r="FZ11" s="12">
        <f>IF('Données projet'!$A$244&gt;35,FZ10+FY11-GH10,IF(A11&lt;'Données projet'!$A$244,$FW$205^A11,IF(A11='Données projet'!$A$244,'Données projet'!$B$244,FZ10+FY11-GH10)))</f>
        <v>10.5900156043029</v>
      </c>
      <c r="GA11" s="17">
        <f>FZ11*VLOOKUP('Données projet'!$B$17,Paramètres!$A$1:$I$89,3,0)*VLOOKUP('Données projet'!$B$17,Paramètres!$A$1:$I$89,5,0)</f>
        <v>4.680786897101882</v>
      </c>
      <c r="GB11" s="13">
        <f t="shared" si="49"/>
        <v>1.8023777516219532</v>
      </c>
      <c r="GC11" s="20">
        <f t="shared" si="25"/>
        <v>11.291511763194011</v>
      </c>
      <c r="GD11" s="59">
        <f t="shared" si="26"/>
        <v>193.4864496151402</v>
      </c>
      <c r="GE11" s="59">
        <f ca="1">AVERAGE(OFFSET($GD$3,0,0,'Données projet'!$E$17+1,1))-AVERAGE(OFFSET($H$3,0,0,'Données projet'!$E$17+1,1))</f>
        <v>342.89128067483233</v>
      </c>
      <c r="GF11" s="59">
        <f t="shared" si="50"/>
        <v>453.47615302202996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47.022861838409561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5.8668181818181813</v>
      </c>
      <c r="GU11" s="12">
        <f>IF('Données projet'!$A$270&gt;35,GU10+GT11-HC10,IF(A11&lt;'Données projet'!$A$270,$GR$205^A11,IF(A11='Données projet'!$A$270,'Données projet'!$B$270,GU10+GT11-HC10)))</f>
        <v>5.8556193873498845</v>
      </c>
      <c r="GV11" s="17">
        <f>GU11*VLOOKUP('Données projet'!$B$18,Paramètres!$A$1:$I$89,3,0)*VLOOKUP('Données projet'!$B$18,Paramètres!$A$1:$I$89,5,0)</f>
        <v>3.5016603936352309</v>
      </c>
      <c r="GW11" s="13">
        <f t="shared" si="51"/>
        <v>1.3946736396044743</v>
      </c>
      <c r="GX11" s="20">
        <f t="shared" si="28"/>
        <v>8.5277817745591538</v>
      </c>
      <c r="GY11" s="59">
        <f t="shared" si="29"/>
        <v>190.72271962650532</v>
      </c>
      <c r="GZ11" s="59">
        <f ca="1">AVERAGE(OFFSET($GY$3,0,0,'Données projet'!$E$18+1,1))-AVERAGE(OFFSET($H$3,0,0,'Données projet'!$E$18+1,1))</f>
        <v>375.89365709113105</v>
      </c>
      <c r="HA11" s="59">
        <f t="shared" si="52"/>
        <v>279.39056561403834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178.09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31.653781714285703</v>
      </c>
      <c r="P12" s="13">
        <f t="shared" si="33"/>
        <v>9.757265618420071</v>
      </c>
      <c r="Q12" s="20">
        <f t="shared" si="2"/>
        <v>72.124240771129223</v>
      </c>
      <c r="R12" s="59">
        <f t="shared" si="0"/>
        <v>257.00294143099813</v>
      </c>
      <c r="S12" s="59">
        <f ca="1">AVERAGE(OFFSET($R$3,0,0,'Données projet'!$E$9+1,1))-AVERAGE(OFFSET($H$3,0,0,'Données projet'!$E$9+1,1))</f>
        <v>631.31712308065664</v>
      </c>
      <c r="T12" s="59">
        <f t="shared" si="34"/>
        <v>290.92244624361285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3.8113157894736847</v>
      </c>
      <c r="AI12" s="13">
        <f>IF('Données projet'!$A$62&gt;35,AI11+AH12-AQ11,IF(A12&lt;'Données projet'!$A$62,$AF$205^A12,IF(A12='Données projet'!$A$62,'Données projet'!$B$62,AI11+AH12-AQ11)))</f>
        <v>34.301842105263162</v>
      </c>
      <c r="AJ12" s="13">
        <f>AI12*VLOOKUP('Données projet'!$B$10,Paramètres!$A$1:$I$89,3,0)*VLOOKUP('Données projet'!$B$10,Paramètres!$A$1:$I$89,5,0)</f>
        <v>28.895871789473688</v>
      </c>
      <c r="AK12" s="13">
        <f t="shared" si="35"/>
        <v>9.002156924440559</v>
      </c>
      <c r="AL12" s="20">
        <f t="shared" si="4"/>
        <v>66.005733343400635</v>
      </c>
      <c r="AM12" s="59">
        <f t="shared" si="5"/>
        <v>250.88443400326958</v>
      </c>
      <c r="AN12" s="59">
        <f ca="1">AVERAGE(OFFSET($AM$3,0,0,'Données projet'!$E$10+1,1))-AVERAGE(OFFSET($H$3,0,0,'Données projet'!$E$10+1,1))</f>
        <v>401.19166052471473</v>
      </c>
      <c r="AO12" s="59">
        <f t="shared" si="36"/>
        <v>271.10067497534271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35.474065714285707</v>
      </c>
      <c r="BF12" s="13">
        <f t="shared" si="37"/>
        <v>10.790793821618898</v>
      </c>
      <c r="BG12" s="20">
        <f t="shared" si="7"/>
        <v>80.577963691700518</v>
      </c>
      <c r="BH12" s="59">
        <f t="shared" si="8"/>
        <v>265.45666435156943</v>
      </c>
      <c r="BI12" s="59">
        <f ca="1">AVERAGE(OFFSET($BH$3,0,0,'Données projet'!$E$11+1,1))-AVERAGE(OFFSET($H$3,0,0,'Données projet'!$E$11+1,1))</f>
        <v>695.93700574708214</v>
      </c>
      <c r="BJ12" s="59">
        <f t="shared" si="38"/>
        <v>318.31690229208471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0.9</v>
      </c>
      <c r="BY12" s="12">
        <f>IF('Données projet'!$A$114&gt;35,BY11+BX12-CG11,IF(A12&lt;'Données projet'!$A$114,$BV$205^A12,IF(A12='Données projet'!$A$114,'Données projet'!$B$114,BY11+BX12-CG11)))</f>
        <v>7.2246740558420788</v>
      </c>
      <c r="BZ12" s="13">
        <f>BY12*VLOOKUP('Données projet'!$B$12,Paramètres!$A$1:$I$89,3,0)*VLOOKUP('Données projet'!$B$12,Paramètres!$A$1:$I$89,5,0)</f>
        <v>4.7336064413877299</v>
      </c>
      <c r="CA12" s="13">
        <f t="shared" si="39"/>
        <v>1.8203372077743676</v>
      </c>
      <c r="CB12" s="20">
        <f t="shared" si="10"/>
        <v>11.414785188957319</v>
      </c>
      <c r="CC12" s="59">
        <f t="shared" si="11"/>
        <v>196.29348584882626</v>
      </c>
      <c r="CD12" s="59">
        <f ca="1">AVERAGE(OFFSET($CC$3,0,0,'Données projet'!$E$12+1,1))-AVERAGE(OFFSET($H$3,0,0,'Données projet'!$E$12+1,1))</f>
        <v>260.25859566735949</v>
      </c>
      <c r="CE12" s="59">
        <f t="shared" si="40"/>
        <v>256.93649773468667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0.9</v>
      </c>
      <c r="CT12" s="12">
        <f>IF('Données projet'!$A$140&gt;35,CT11+CS12-DB11,IF(A12&lt;'Données projet'!$A$140,$CQ$205^A12,IF(A12='Données projet'!$A$140,'Données projet'!$B$140,CT11+CS12-DB11)))</f>
        <v>7.2246740558420788</v>
      </c>
      <c r="CU12" s="17">
        <f>CT12*VLOOKUP('Données projet'!$B$13,Paramètres!$A$1:$I$89,3,0)*VLOOKUP('Données projet'!$B$13,Paramètres!$A$1:$I$89,5,0)</f>
        <v>4.7336064413877299</v>
      </c>
      <c r="CV12" s="13">
        <f t="shared" si="41"/>
        <v>1.8203372077743676</v>
      </c>
      <c r="CW12" s="20">
        <f t="shared" si="13"/>
        <v>11.414785188957319</v>
      </c>
      <c r="CX12" s="59">
        <f t="shared" si="14"/>
        <v>196.29348584882626</v>
      </c>
      <c r="CY12" s="59">
        <f ca="1">AVERAGE(OFFSET($CX$3,0,0,'Données projet'!$E$13+1,1))-AVERAGE(OFFSET($H$3,0,0,'Données projet'!$E$13+1,1))</f>
        <v>260.25859566735949</v>
      </c>
      <c r="CZ12" s="59">
        <f t="shared" si="42"/>
        <v>256.93649773468667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7.3233333333333333</v>
      </c>
      <c r="DO12" s="12">
        <f>IF('Données projet'!$A$166&gt;35,DO11+DN12-DW11,IF(A12&lt;'Données projet'!$A$166,$DL$205^A12,IF(A12='Données projet'!$A$166,'Données projet'!$B$166,DO11+DN12-DW11)))</f>
        <v>5.8258261705243175</v>
      </c>
      <c r="DP12" s="17">
        <f>DO12*VLOOKUP('Données projet'!$B$14,Paramètres!$A$1:$I$89,3,0)*VLOOKUP('Données projet'!$B$14,Paramètres!$A$1:$I$89,5,0)</f>
        <v>3.3323725695399098</v>
      </c>
      <c r="DQ12" s="13">
        <f t="shared" si="43"/>
        <v>1.3349257254347524</v>
      </c>
      <c r="DR12" s="20">
        <f t="shared" si="16"/>
        <v>8.128877863747535</v>
      </c>
      <c r="DS12" s="59">
        <f t="shared" si="17"/>
        <v>193.00757852361647</v>
      </c>
      <c r="DT12" s="59">
        <f ca="1">AVERAGE(OFFSET($DS$3,0,0,'Données projet'!$E$14+1,1))-AVERAGE(OFFSET($H$3,0,0,'Données projet'!$E$14+1,1))</f>
        <v>349.56396446903</v>
      </c>
      <c r="DU12" s="59">
        <f t="shared" si="44"/>
        <v>270.64279448634522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5.8668181818181813</v>
      </c>
      <c r="EJ12" s="12">
        <f>IF('Données projet'!$A$192&gt;35,EJ11+EI12-ER11,IF(A12&lt;'Données projet'!$A$192,$EG$205^A12,IF(A12='Données projet'!$A$192,'Données projet'!$B$192,EJ11+EI12-ER11)))</f>
        <v>7.3033051182741131</v>
      </c>
      <c r="EK12" s="17">
        <f>EJ12*VLOOKUP('Données projet'!$B$15,Paramètres!$A$1:$I$89,3,0)*VLOOKUP('Données projet'!$B$15,Paramètres!$A$1:$I$89,5,0)</f>
        <v>4.36737646072792</v>
      </c>
      <c r="EL12" s="13">
        <f t="shared" si="45"/>
        <v>1.6953173735084623</v>
      </c>
      <c r="EM12" s="20">
        <f t="shared" si="19"/>
        <v>10.559191761295033</v>
      </c>
      <c r="EN12" s="59">
        <f t="shared" si="20"/>
        <v>195.43789242116398</v>
      </c>
      <c r="EO12" s="59">
        <f ca="1">AVERAGE(OFFSET($EN$3,0,0,'Données projet'!$E$15+1,1))-AVERAGE(OFFSET($H$3,0,0,'Données projet'!$E$15+1,1))</f>
        <v>375.89365709113105</v>
      </c>
      <c r="EP12" s="59">
        <f t="shared" si="46"/>
        <v>279.39056561403834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7.1952941176470588</v>
      </c>
      <c r="FE12" s="12">
        <f>IF('Données projet'!$A$218&gt;35,FE11+FD12-FM11,IF(A12&lt;'Données projet'!$A$218,$FB$205^A12,IF(A12='Données projet'!$A$218,'Données projet'!$B$218,FE11+FD12-FM11)))</f>
        <v>12.739304566466691</v>
      </c>
      <c r="FF12" s="17">
        <f>FE12*VLOOKUP('Données projet'!$B$16,Paramètres!$A$1:$I$89,3,0)*VLOOKUP('Données projet'!$B$16,Paramètres!$A$1:$I$89,5,0)</f>
        <v>7.6181041307470823</v>
      </c>
      <c r="FG12" s="13">
        <f t="shared" si="47"/>
        <v>2.7717368121157255</v>
      </c>
      <c r="FH12" s="20">
        <f t="shared" si="22"/>
        <v>18.095639642152722</v>
      </c>
      <c r="FI12" s="59">
        <f t="shared" si="23"/>
        <v>202.97434030202166</v>
      </c>
      <c r="FJ12" s="59">
        <f ca="1">AVERAGE(OFFSET($FI$3,0,0,'Données projet'!$E$16+1,1))-AVERAGE(OFFSET($H$3,0,0,'Données projet'!$E$16+1,1))</f>
        <v>319.29539841078537</v>
      </c>
      <c r="FK12" s="59">
        <f t="shared" si="48"/>
        <v>327.26871144121412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11.239444444444445</v>
      </c>
      <c r="FZ12" s="12">
        <f>IF('Données projet'!$A$244&gt;35,FZ11+FY12-GH11,IF(A12&lt;'Données projet'!$A$244,$FW$205^A12,IF(A12='Données projet'!$A$244,'Données projet'!$B$244,FZ11+FY12-GH11)))</f>
        <v>14.223571984561403</v>
      </c>
      <c r="GA12" s="17">
        <f>FZ12*VLOOKUP('Données projet'!$B$17,Paramètres!$A$1:$I$89,3,0)*VLOOKUP('Données projet'!$B$17,Paramètres!$A$1:$I$89,5,0)</f>
        <v>6.2868188171761403</v>
      </c>
      <c r="GB12" s="13">
        <f t="shared" si="49"/>
        <v>2.339083079440075</v>
      </c>
      <c r="GC12" s="20">
        <f t="shared" si="25"/>
        <v>15.023445803273242</v>
      </c>
      <c r="GD12" s="59">
        <f t="shared" si="26"/>
        <v>199.90214646314217</v>
      </c>
      <c r="GE12" s="59">
        <f ca="1">AVERAGE(OFFSET($GD$3,0,0,'Données projet'!$E$17+1,1))-AVERAGE(OFFSET($H$3,0,0,'Données projet'!$E$17+1,1))</f>
        <v>342.89128067483233</v>
      </c>
      <c r="GF12" s="59">
        <f t="shared" si="50"/>
        <v>453.47615302202996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47.421463816327886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5.8668181818181813</v>
      </c>
      <c r="GU12" s="12">
        <f>IF('Données projet'!$A$270&gt;35,GU11+GT12-HC11,IF(A12&lt;'Données projet'!$A$270,$GR$205^A12,IF(A12='Données projet'!$A$270,'Données projet'!$B$270,GU11+GT12-HC11)))</f>
        <v>7.3033051182741131</v>
      </c>
      <c r="GV12" s="17">
        <f>GU12*VLOOKUP('Données projet'!$B$18,Paramètres!$A$1:$I$89,3,0)*VLOOKUP('Données projet'!$B$18,Paramètres!$A$1:$I$89,5,0)</f>
        <v>4.36737646072792</v>
      </c>
      <c r="GW12" s="13">
        <f t="shared" si="51"/>
        <v>1.6953173735084623</v>
      </c>
      <c r="GX12" s="20">
        <f t="shared" si="28"/>
        <v>10.559191761295033</v>
      </c>
      <c r="GY12" s="59">
        <f t="shared" si="29"/>
        <v>195.43789242116398</v>
      </c>
      <c r="GZ12" s="59">
        <f ca="1">AVERAGE(OFFSET($GY$3,0,0,'Données projet'!$E$18+1,1))-AVERAGE(OFFSET($H$3,0,0,'Données projet'!$E$18+1,1))</f>
        <v>375.89365709113105</v>
      </c>
      <c r="HA12" s="59">
        <f t="shared" si="52"/>
        <v>279.39056561403834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178.09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35.170868571428556</v>
      </c>
      <c r="P13" s="13">
        <f t="shared" si="33"/>
        <v>10.709259603674569</v>
      </c>
      <c r="Q13" s="20">
        <f t="shared" si="2"/>
        <v>79.90788990497127</v>
      </c>
      <c r="R13" s="59">
        <f t="shared" si="0"/>
        <v>267.44499891111627</v>
      </c>
      <c r="S13" s="59">
        <f ca="1">AVERAGE(OFFSET($R$3,0,0,'Données projet'!$E$9+1,1))-AVERAGE(OFFSET($H$3,0,0,'Données projet'!$E$9+1,1))</f>
        <v>631.31712308065664</v>
      </c>
      <c r="T13" s="59">
        <f t="shared" si="34"/>
        <v>290.92244624361285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3.8113157894736847</v>
      </c>
      <c r="AI13" s="13">
        <f>IF('Données projet'!$A$62&gt;35,AI12+AH13-AQ12,IF(A13&lt;'Données projet'!$A$62,$AF$205^A13,IF(A13='Données projet'!$A$62,'Données projet'!$B$62,AI12+AH13-AQ12)))</f>
        <v>38.113157894736844</v>
      </c>
      <c r="AJ13" s="13">
        <f>AI13*VLOOKUP('Données projet'!$B$10,Paramètres!$A$1:$I$89,3,0)*VLOOKUP('Données projet'!$B$10,Paramètres!$A$1:$I$89,5,0)</f>
        <v>32.106524210526324</v>
      </c>
      <c r="AK13" s="13">
        <f t="shared" si="35"/>
        <v>9.8804766895811049</v>
      </c>
      <c r="AL13" s="20">
        <f t="shared" si="4"/>
        <v>73.127359901020441</v>
      </c>
      <c r="AM13" s="59">
        <f t="shared" si="5"/>
        <v>260.66446890716543</v>
      </c>
      <c r="AN13" s="59">
        <f ca="1">AVERAGE(OFFSET($AM$3,0,0,'Données projet'!$E$10+1,1))-AVERAGE(OFFSET($H$3,0,0,'Données projet'!$E$10+1,1))</f>
        <v>401.19166052471473</v>
      </c>
      <c r="AO13" s="59">
        <f t="shared" si="36"/>
        <v>271.10067497534271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39.415628571428563</v>
      </c>
      <c r="BF13" s="13">
        <f t="shared" si="37"/>
        <v>11.843626778724154</v>
      </c>
      <c r="BG13" s="20">
        <f t="shared" si="7"/>
        <v>89.276536401515969</v>
      </c>
      <c r="BH13" s="59">
        <f t="shared" si="8"/>
        <v>276.813645407661</v>
      </c>
      <c r="BI13" s="59">
        <f ca="1">AVERAGE(OFFSET($BH$3,0,0,'Données projet'!$E$11+1,1))-AVERAGE(OFFSET($H$3,0,0,'Données projet'!$E$11+1,1))</f>
        <v>695.93700574708214</v>
      </c>
      <c r="BJ13" s="59">
        <f t="shared" si="38"/>
        <v>318.31690229208471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9</v>
      </c>
      <c r="BW13" s="12">
        <f>VLOOKUP(A13,'Données projet'!$A$113:$I$133,9,0)</f>
        <v>0.9</v>
      </c>
      <c r="BX13" s="12">
        <f t="array" ref="BX13">INDEX(BW:BW,MIN(IF(ISNUMBER(BW13:BW209),ROW(BW13:BW209),"")))</f>
        <v>0.9</v>
      </c>
      <c r="BY13" s="12">
        <f>IF('Données projet'!$A$114&gt;35,BY12+BX13-CG12,IF(A13&lt;'Données projet'!$A$114,$BV$205^A13,IF(A13='Données projet'!$A$114,'Données projet'!$B$114,BY12+BX13-CG12)))</f>
        <v>9</v>
      </c>
      <c r="BZ13" s="13">
        <f>BY13*VLOOKUP('Données projet'!$B$12,Paramètres!$A$1:$I$89,3,0)*VLOOKUP('Données projet'!$B$12,Paramètres!$A$1:$I$89,5,0)</f>
        <v>5.8967999999999998</v>
      </c>
      <c r="CA13" s="13">
        <f t="shared" si="39"/>
        <v>2.210389018649412</v>
      </c>
      <c r="CB13" s="20">
        <f t="shared" si="10"/>
        <v>14.120020874147725</v>
      </c>
      <c r="CC13" s="59">
        <f t="shared" si="11"/>
        <v>201.65712988029273</v>
      </c>
      <c r="CD13" s="59">
        <f ca="1">AVERAGE(OFFSET($CC$3,0,0,'Données projet'!$E$12+1,1))-AVERAGE(OFFSET($H$3,0,0,'Données projet'!$E$12+1,1))</f>
        <v>260.25859566735949</v>
      </c>
      <c r="CE13" s="59">
        <f t="shared" si="40"/>
        <v>256.93649773468667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9</v>
      </c>
      <c r="CR13" s="12">
        <f>VLOOKUP(A13,'Données projet'!$A$139:$I$159,9,0)</f>
        <v>0.9</v>
      </c>
      <c r="CS13" s="12">
        <f t="array" ref="CS13">INDEX(CR:CR,MIN(IF(ISNUMBER(CR13:CR209),ROW(CR13:CR209),"")))</f>
        <v>0.9</v>
      </c>
      <c r="CT13" s="12">
        <f>IF('Données projet'!$A$140&gt;35,CT12+CS13-DB12,IF(A13&lt;'Données projet'!$A$140,$CQ$205^A13,IF(A13='Données projet'!$A$140,'Données projet'!$B$140,CT12+CS13-DB12)))</f>
        <v>9</v>
      </c>
      <c r="CU13" s="17">
        <f>CT13*VLOOKUP('Données projet'!$B$13,Paramètres!$A$1:$I$89,3,0)*VLOOKUP('Données projet'!$B$13,Paramètres!$A$1:$I$89,5,0)</f>
        <v>5.8967999999999998</v>
      </c>
      <c r="CV13" s="13">
        <f t="shared" si="41"/>
        <v>2.210389018649412</v>
      </c>
      <c r="CW13" s="20">
        <f t="shared" si="13"/>
        <v>14.120020874147725</v>
      </c>
      <c r="CX13" s="59">
        <f t="shared" si="14"/>
        <v>201.65712988029273</v>
      </c>
      <c r="CY13" s="59">
        <f ca="1">AVERAGE(OFFSET($CX$3,0,0,'Données projet'!$E$13+1,1))-AVERAGE(OFFSET($H$3,0,0,'Données projet'!$E$13+1,1))</f>
        <v>260.25859566735949</v>
      </c>
      <c r="CZ13" s="59">
        <f t="shared" si="42"/>
        <v>256.93649773468667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1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7.3233333333333333</v>
      </c>
      <c r="DO13" s="12">
        <f>IF('Données projet'!$A$166&gt;35,DO12+DN13-DW12,IF(A13&lt;'Données projet'!$A$166,$DL$205^A13,IF(A13='Données projet'!$A$166,'Données projet'!$B$166,DO12+DN13-DW12)))</f>
        <v>7.08593634789184</v>
      </c>
      <c r="DP13" s="17">
        <f>DO13*VLOOKUP('Données projet'!$B$14,Paramètres!$A$1:$I$89,3,0)*VLOOKUP('Données projet'!$B$14,Paramètres!$A$1:$I$89,5,0)</f>
        <v>4.053155590994133</v>
      </c>
      <c r="DQ13" s="13">
        <f t="shared" si="43"/>
        <v>1.5870777502841606</v>
      </c>
      <c r="DR13" s="20">
        <f t="shared" si="16"/>
        <v>9.823406402726361</v>
      </c>
      <c r="DS13" s="59">
        <f t="shared" si="17"/>
        <v>197.36051540887138</v>
      </c>
      <c r="DT13" s="59">
        <f ca="1">AVERAGE(OFFSET($DS$3,0,0,'Données projet'!$E$14+1,1))-AVERAGE(OFFSET($H$3,0,0,'Données projet'!$E$14+1,1))</f>
        <v>349.56396446903</v>
      </c>
      <c r="DU13" s="59">
        <f t="shared" si="44"/>
        <v>270.64279448634522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5.8668181818181813</v>
      </c>
      <c r="EJ13" s="12">
        <f>IF('Données projet'!$A$192&gt;35,EJ12+EI13-ER12,IF(A13&lt;'Données projet'!$A$192,$EG$205^A13,IF(A13='Données projet'!$A$192,'Données projet'!$B$192,EJ12+EI13-ER12)))</f>
        <v>9.1089024272714045</v>
      </c>
      <c r="EK13" s="17">
        <f>EJ13*VLOOKUP('Données projet'!$B$15,Paramètres!$A$1:$I$89,3,0)*VLOOKUP('Données projet'!$B$15,Paramètres!$A$1:$I$89,5,0)</f>
        <v>5.4471236515083001</v>
      </c>
      <c r="EL13" s="13">
        <f t="shared" si="45"/>
        <v>2.0607695702449207</v>
      </c>
      <c r="EM13" s="20">
        <f t="shared" si="19"/>
        <v>13.076247361220192</v>
      </c>
      <c r="EN13" s="59">
        <f t="shared" si="20"/>
        <v>200.61335636736521</v>
      </c>
      <c r="EO13" s="59">
        <f ca="1">AVERAGE(OFFSET($EN$3,0,0,'Données projet'!$E$15+1,1))-AVERAGE(OFFSET($H$3,0,0,'Données projet'!$E$15+1,1))</f>
        <v>375.89365709113105</v>
      </c>
      <c r="EP13" s="59">
        <f t="shared" si="46"/>
        <v>279.39056561403834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7.1952941176470588</v>
      </c>
      <c r="FE13" s="12">
        <f>IF('Données projet'!$A$218&gt;35,FE12+FD13-FM12,IF(A13&lt;'Données projet'!$A$218,$FB$205^A13,IF(A13='Données projet'!$A$218,'Données projet'!$B$218,FE12+FD13-FM12)))</f>
        <v>16.902061968939393</v>
      </c>
      <c r="FF13" s="17">
        <f>FE13*VLOOKUP('Données projet'!$B$16,Paramètres!$A$1:$I$89,3,0)*VLOOKUP('Données projet'!$B$16,Paramètres!$A$1:$I$89,5,0)</f>
        <v>10.107433057425759</v>
      </c>
      <c r="FG13" s="13">
        <f t="shared" si="47"/>
        <v>3.5583834102125023</v>
      </c>
      <c r="FH13" s="20">
        <f t="shared" si="22"/>
        <v>23.80129701446997</v>
      </c>
      <c r="FI13" s="59">
        <f t="shared" si="23"/>
        <v>211.338406020615</v>
      </c>
      <c r="FJ13" s="59">
        <f ca="1">AVERAGE(OFFSET($FI$3,0,0,'Données projet'!$E$16+1,1))-AVERAGE(OFFSET($H$3,0,0,'Données projet'!$E$16+1,1))</f>
        <v>319.29539841078537</v>
      </c>
      <c r="FK13" s="59">
        <f t="shared" si="48"/>
        <v>327.26871144121412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11.239444444444445</v>
      </c>
      <c r="FZ13" s="12">
        <f>IF('Données projet'!$A$244&gt;35,FZ12+FY13-GH12,IF(A13&lt;'Données projet'!$A$244,$FW$205^A13,IF(A13='Données projet'!$A$244,'Données projet'!$B$244,FZ12+FY13-GH12)))</f>
        <v>19.103843427558129</v>
      </c>
      <c r="GA13" s="17">
        <f>FZ13*VLOOKUP('Données projet'!$B$17,Paramètres!$A$1:$I$89,3,0)*VLOOKUP('Données projet'!$B$17,Paramètres!$A$1:$I$89,5,0)</f>
        <v>8.4438987949806936</v>
      </c>
      <c r="GB13" s="13">
        <f t="shared" si="49"/>
        <v>3.0356065189992774</v>
      </c>
      <c r="GC13" s="20">
        <f t="shared" si="25"/>
        <v>19.99347175518178</v>
      </c>
      <c r="GD13" s="59">
        <f t="shared" si="26"/>
        <v>207.5305807613268</v>
      </c>
      <c r="GE13" s="59">
        <f ca="1">AVERAGE(OFFSET($GD$3,0,0,'Données projet'!$E$17+1,1))-AVERAGE(OFFSET($H$3,0,0,'Données projet'!$E$17+1,1))</f>
        <v>342.89128067483233</v>
      </c>
      <c r="GF13" s="59">
        <f t="shared" si="50"/>
        <v>453.47615302202996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47.81315094106985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5.8668181818181813</v>
      </c>
      <c r="GU13" s="12">
        <f>IF('Données projet'!$A$270&gt;35,GU12+GT13-HC12,IF(A13&lt;'Données projet'!$A$270,$GR$205^A13,IF(A13='Données projet'!$A$270,'Données projet'!$B$270,GU12+GT13-HC12)))</f>
        <v>9.1089024272714045</v>
      </c>
      <c r="GV13" s="17">
        <f>GU13*VLOOKUP('Données projet'!$B$18,Paramètres!$A$1:$I$89,3,0)*VLOOKUP('Données projet'!$B$18,Paramètres!$A$1:$I$89,5,0)</f>
        <v>5.4471236515083001</v>
      </c>
      <c r="GW13" s="13">
        <f t="shared" si="51"/>
        <v>2.0607695702449207</v>
      </c>
      <c r="GX13" s="20">
        <f t="shared" si="28"/>
        <v>13.076247361220192</v>
      </c>
      <c r="GY13" s="59">
        <f t="shared" si="29"/>
        <v>200.61335636736521</v>
      </c>
      <c r="GZ13" s="59">
        <f ca="1">AVERAGE(OFFSET($GY$3,0,0,'Données projet'!$E$18+1,1))-AVERAGE(OFFSET($H$3,0,0,'Données projet'!$E$18+1,1))</f>
        <v>375.89365709113105</v>
      </c>
      <c r="HA13" s="59">
        <f t="shared" si="52"/>
        <v>279.39056561403834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178.09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38.687955428571414</v>
      </c>
      <c r="P14" s="13">
        <f t="shared" si="33"/>
        <v>11.650217223542473</v>
      </c>
      <c r="Q14" s="20">
        <f t="shared" si="2"/>
        <v>87.672317369098337</v>
      </c>
      <c r="R14" s="59">
        <f t="shared" si="0"/>
        <v>277.84292010309827</v>
      </c>
      <c r="S14" s="59">
        <f ca="1">AVERAGE(OFFSET($R$3,0,0,'Données projet'!$E$9+1,1))-AVERAGE(OFFSET($H$3,0,0,'Données projet'!$E$9+1,1))</f>
        <v>631.31712308065664</v>
      </c>
      <c r="T14" s="59">
        <f t="shared" si="34"/>
        <v>290.92244624361285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3.8113157894736847</v>
      </c>
      <c r="AI14" s="13">
        <f>IF('Données projet'!$A$62&gt;35,AI13+AH14-AQ13,IF(A14&lt;'Données projet'!$A$62,$AF$205^A14,IF(A14='Données projet'!$A$62,'Données projet'!$B$62,AI13+AH14-AQ13)))</f>
        <v>41.924473684210525</v>
      </c>
      <c r="AJ14" s="13">
        <f>AI14*VLOOKUP('Données projet'!$B$10,Paramètres!$A$1:$I$89,3,0)*VLOOKUP('Données projet'!$B$10,Paramètres!$A$1:$I$89,5,0)</f>
        <v>35.317176631578953</v>
      </c>
      <c r="AK14" s="13">
        <f t="shared" si="35"/>
        <v>10.748614186761438</v>
      </c>
      <c r="AL14" s="20">
        <f t="shared" si="4"/>
        <v>80.231252341942835</v>
      </c>
      <c r="AM14" s="59">
        <f t="shared" si="5"/>
        <v>270.40185507594276</v>
      </c>
      <c r="AN14" s="59">
        <f ca="1">AVERAGE(OFFSET($AM$3,0,0,'Données projet'!$E$10+1,1))-AVERAGE(OFFSET($H$3,0,0,'Données projet'!$E$10+1,1))</f>
        <v>401.19166052471473</v>
      </c>
      <c r="AO14" s="59">
        <f t="shared" si="36"/>
        <v>271.10067497534271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43.357191428571419</v>
      </c>
      <c r="BF14" s="13">
        <f t="shared" si="37"/>
        <v>12.884254354928219</v>
      </c>
      <c r="BG14" s="20">
        <f t="shared" si="7"/>
        <v>97.953851406261848</v>
      </c>
      <c r="BH14" s="59">
        <f t="shared" si="8"/>
        <v>288.12445414026178</v>
      </c>
      <c r="BI14" s="59">
        <f ca="1">AVERAGE(OFFSET($BH$3,0,0,'Données projet'!$E$11+1,1))-AVERAGE(OFFSET($H$3,0,0,'Données projet'!$E$11+1,1))</f>
        <v>695.93700574708214</v>
      </c>
      <c r="BJ14" s="59">
        <f t="shared" si="38"/>
        <v>318.31690229208471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5.6</v>
      </c>
      <c r="BY14" s="12">
        <f>IF('Données projet'!$A$114&gt;35,BY13+BX14-CG13,IF(A14&lt;'Données projet'!$A$114,$BV$205^A14,IF(A14='Données projet'!$A$114,'Données projet'!$B$114,BY13+BX14-CG13)))</f>
        <v>13.6</v>
      </c>
      <c r="BZ14" s="13">
        <f>BY14*VLOOKUP('Données projet'!$B$12,Paramètres!$A$1:$I$89,3,0)*VLOOKUP('Données projet'!$B$12,Paramètres!$A$1:$I$89,5,0)</f>
        <v>8.9107199999999995</v>
      </c>
      <c r="CA14" s="13">
        <f t="shared" si="39"/>
        <v>3.1834278577240251</v>
      </c>
      <c r="CB14" s="20">
        <f t="shared" si="10"/>
        <v>21.063974185536008</v>
      </c>
      <c r="CC14" s="59">
        <f t="shared" si="11"/>
        <v>211.23457691953593</v>
      </c>
      <c r="CD14" s="59">
        <f ca="1">AVERAGE(OFFSET($CC$3,0,0,'Données projet'!$E$12+1,1))-AVERAGE(OFFSET($H$3,0,0,'Données projet'!$E$12+1,1))</f>
        <v>260.25859566735949</v>
      </c>
      <c r="CE14" s="59">
        <f t="shared" si="40"/>
        <v>256.93649773468667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5.6</v>
      </c>
      <c r="CT14" s="12">
        <f>IF('Données projet'!$A$140&gt;35,CT13+CS14-DB13,IF(A14&lt;'Données projet'!$A$140,$CQ$205^A14,IF(A14='Données projet'!$A$140,'Données projet'!$B$140,CT13+CS14-DB13)))</f>
        <v>13.6</v>
      </c>
      <c r="CU14" s="17">
        <f>CT14*VLOOKUP('Données projet'!$B$13,Paramètres!$A$1:$I$89,3,0)*VLOOKUP('Données projet'!$B$13,Paramètres!$A$1:$I$89,5,0)</f>
        <v>8.9107199999999995</v>
      </c>
      <c r="CV14" s="13">
        <f t="shared" si="41"/>
        <v>3.1834278577240251</v>
      </c>
      <c r="CW14" s="20">
        <f t="shared" si="13"/>
        <v>21.063974185536008</v>
      </c>
      <c r="CX14" s="59">
        <f t="shared" si="14"/>
        <v>211.23457691953593</v>
      </c>
      <c r="CY14" s="59">
        <f ca="1">AVERAGE(OFFSET($CX$3,0,0,'Données projet'!$E$13+1,1))-AVERAGE(OFFSET($H$3,0,0,'Données projet'!$E$13+1,1))</f>
        <v>260.25859566735949</v>
      </c>
      <c r="CZ14" s="59">
        <f t="shared" si="42"/>
        <v>256.93649773468667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7.3233333333333333</v>
      </c>
      <c r="DO14" s="12">
        <f>IF('Données projet'!$A$166&gt;35,DO13+DN14-DW13,IF(A14&lt;'Données projet'!$A$166,$DL$205^A14,IF(A14='Données projet'!$A$166,'Données projet'!$B$166,DO13+DN14-DW13)))</f>
        <v>8.6186048908245851</v>
      </c>
      <c r="DP14" s="17">
        <f>DO14*VLOOKUP('Données projet'!$B$14,Paramètres!$A$1:$I$89,3,0)*VLOOKUP('Données projet'!$B$14,Paramètres!$A$1:$I$89,5,0)</f>
        <v>4.9298419975516632</v>
      </c>
      <c r="DQ14" s="13">
        <f t="shared" si="43"/>
        <v>1.8868583753052748</v>
      </c>
      <c r="DR14" s="20">
        <f t="shared" si="16"/>
        <v>11.872419816059166</v>
      </c>
      <c r="DS14" s="59">
        <f t="shared" si="17"/>
        <v>202.04302255005908</v>
      </c>
      <c r="DT14" s="59">
        <f ca="1">AVERAGE(OFFSET($DS$3,0,0,'Données projet'!$E$14+1,1))-AVERAGE(OFFSET($H$3,0,0,'Données projet'!$E$14+1,1))</f>
        <v>349.56396446903</v>
      </c>
      <c r="DU14" s="59">
        <f t="shared" si="44"/>
        <v>270.64279448634522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5.8668181818181813</v>
      </c>
      <c r="EJ14" s="12">
        <f>IF('Données projet'!$A$192&gt;35,EJ13+EI14-ER13,IF(A14&lt;'Données projet'!$A$192,$EG$205^A14,IF(A14='Données projet'!$A$192,'Données projet'!$B$192,EJ13+EI14-ER13)))</f>
        <v>11.360897851842525</v>
      </c>
      <c r="EK14" s="17">
        <f>EJ14*VLOOKUP('Données projet'!$B$15,Paramètres!$A$1:$I$89,3,0)*VLOOKUP('Données projet'!$B$15,Paramètres!$A$1:$I$89,5,0)</f>
        <v>6.7938169154018313</v>
      </c>
      <c r="EL14" s="13">
        <f t="shared" si="45"/>
        <v>2.50500070842708</v>
      </c>
      <c r="EM14" s="20">
        <f t="shared" si="19"/>
        <v>16.195440694835355</v>
      </c>
      <c r="EN14" s="59">
        <f t="shared" si="20"/>
        <v>206.36604342883527</v>
      </c>
      <c r="EO14" s="59">
        <f ca="1">AVERAGE(OFFSET($EN$3,0,0,'Données projet'!$E$15+1,1))-AVERAGE(OFFSET($H$3,0,0,'Données projet'!$E$15+1,1))</f>
        <v>375.89365709113105</v>
      </c>
      <c r="EP14" s="59">
        <f t="shared" si="46"/>
        <v>279.39056561403834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7.1952941176470588</v>
      </c>
      <c r="FE14" s="12">
        <f>IF('Données projet'!$A$218&gt;35,FE13+FD14-FM13,IF(A14&lt;'Données projet'!$A$218,$FB$205^A14,IF(A14='Données projet'!$A$218,'Données projet'!$B$218,FE13+FD14-FM13)))</f>
        <v>22.425062318853254</v>
      </c>
      <c r="FF14" s="17">
        <f>FE14*VLOOKUP('Données projet'!$B$16,Paramètres!$A$1:$I$89,3,0)*VLOOKUP('Données projet'!$B$16,Paramètres!$A$1:$I$89,5,0)</f>
        <v>13.410187266674248</v>
      </c>
      <c r="FG14" s="13">
        <f t="shared" si="47"/>
        <v>4.5682881717800319</v>
      </c>
      <c r="FH14" s="20">
        <f t="shared" si="22"/>
        <v>31.312511388641202</v>
      </c>
      <c r="FI14" s="59">
        <f t="shared" si="23"/>
        <v>221.48311412264113</v>
      </c>
      <c r="FJ14" s="59">
        <f ca="1">AVERAGE(OFFSET($FI$3,0,0,'Données projet'!$E$16+1,1))-AVERAGE(OFFSET($H$3,0,0,'Données projet'!$E$16+1,1))</f>
        <v>319.29539841078537</v>
      </c>
      <c r="FK14" s="59">
        <f t="shared" si="48"/>
        <v>327.26871144121412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11.239444444444445</v>
      </c>
      <c r="FZ14" s="12">
        <f>IF('Données projet'!$A$244&gt;35,FZ13+FY14-GH13,IF(A14&lt;'Données projet'!$A$244,$FW$205^A14,IF(A14='Données projet'!$A$244,'Données projet'!$B$244,FZ13+FY14-GH13)))</f>
        <v>25.658592236942212</v>
      </c>
      <c r="GA14" s="17">
        <f>FZ14*VLOOKUP('Données projet'!$B$17,Paramètres!$A$1:$I$89,3,0)*VLOOKUP('Données projet'!$B$17,Paramètres!$A$1:$I$89,5,0)</f>
        <v>11.341097768728458</v>
      </c>
      <c r="GB14" s="13">
        <f t="shared" si="49"/>
        <v>3.9395381118300254</v>
      </c>
      <c r="GC14" s="20">
        <f t="shared" si="25"/>
        <v>26.613774158639355</v>
      </c>
      <c r="GD14" s="59">
        <f t="shared" si="26"/>
        <v>216.78437689263927</v>
      </c>
      <c r="GE14" s="59">
        <f ca="1">AVERAGE(OFFSET($GD$3,0,0,'Données projet'!$E$17+1,1))-AVERAGE(OFFSET($H$3,0,0,'Données projet'!$E$17+1,1))</f>
        <v>342.89128067483233</v>
      </c>
      <c r="GF14" s="59">
        <f t="shared" si="50"/>
        <v>453.47615302202996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48.198043169878765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5.8668181818181813</v>
      </c>
      <c r="GU14" s="12">
        <f>IF('Données projet'!$A$270&gt;35,GU13+GT14-HC13,IF(A14&lt;'Données projet'!$A$270,$GR$205^A14,IF(A14='Données projet'!$A$270,'Données projet'!$B$270,GU13+GT14-HC13)))</f>
        <v>11.360897851842525</v>
      </c>
      <c r="GV14" s="17">
        <f>GU14*VLOOKUP('Données projet'!$B$18,Paramètres!$A$1:$I$89,3,0)*VLOOKUP('Données projet'!$B$18,Paramètres!$A$1:$I$89,5,0)</f>
        <v>6.7938169154018313</v>
      </c>
      <c r="GW14" s="13">
        <f t="shared" si="51"/>
        <v>2.50500070842708</v>
      </c>
      <c r="GX14" s="20">
        <f t="shared" si="28"/>
        <v>16.195440694835355</v>
      </c>
      <c r="GY14" s="59">
        <f t="shared" si="29"/>
        <v>206.36604342883527</v>
      </c>
      <c r="GZ14" s="59">
        <f ca="1">AVERAGE(OFFSET($GY$3,0,0,'Données projet'!$E$18+1,1))-AVERAGE(OFFSET($H$3,0,0,'Données projet'!$E$18+1,1))</f>
        <v>375.89365709113105</v>
      </c>
      <c r="HA14" s="59">
        <f t="shared" si="52"/>
        <v>279.39056561403834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178.09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42.205042285714271</v>
      </c>
      <c r="P15" s="13">
        <f t="shared" si="33"/>
        <v>12.581255887241159</v>
      </c>
      <c r="Q15" s="20">
        <f t="shared" si="2"/>
        <v>95.419469317897367</v>
      </c>
      <c r="R15" s="59">
        <f t="shared" si="0"/>
        <v>288.19908337425989</v>
      </c>
      <c r="S15" s="59">
        <f ca="1">AVERAGE(OFFSET($R$3,0,0,'Données projet'!$E$9+1,1))-AVERAGE(OFFSET($H$3,0,0,'Données projet'!$E$9+1,1))</f>
        <v>631.31712308065664</v>
      </c>
      <c r="T15" s="59">
        <f t="shared" si="34"/>
        <v>290.92244624361285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3.8113157894736847</v>
      </c>
      <c r="AI15" s="13">
        <f>IF('Données projet'!$A$62&gt;35,AI14+AH15-AQ14,IF(A15&lt;'Données projet'!$A$62,$AF$205^A15,IF(A15='Données projet'!$A$62,'Données projet'!$B$62,AI14+AH15-AQ14)))</f>
        <v>45.735789473684207</v>
      </c>
      <c r="AJ15" s="13">
        <f>AI15*VLOOKUP('Données projet'!$B$10,Paramètres!$A$1:$I$89,3,0)*VLOOKUP('Données projet'!$B$10,Paramètres!$A$1:$I$89,5,0)</f>
        <v>38.527829052631581</v>
      </c>
      <c r="AK15" s="13">
        <f t="shared" si="35"/>
        <v>11.607600349597307</v>
      </c>
      <c r="AL15" s="20">
        <f t="shared" si="4"/>
        <v>87.319206208881965</v>
      </c>
      <c r="AM15" s="59">
        <f t="shared" si="5"/>
        <v>280.09882026524451</v>
      </c>
      <c r="AN15" s="59">
        <f ca="1">AVERAGE(OFFSET($AM$3,0,0,'Données projet'!$E$10+1,1))-AVERAGE(OFFSET($H$3,0,0,'Données projet'!$E$10+1,1))</f>
        <v>401.19166052471473</v>
      </c>
      <c r="AO15" s="59">
        <f t="shared" si="36"/>
        <v>271.10067497534271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47.298754285714274</v>
      </c>
      <c r="BF15" s="13">
        <f t="shared" si="37"/>
        <v>13.913912319856609</v>
      </c>
      <c r="BG15" s="20">
        <f t="shared" si="7"/>
        <v>106.6120610047026</v>
      </c>
      <c r="BH15" s="59">
        <f t="shared" si="8"/>
        <v>299.39167506106514</v>
      </c>
      <c r="BI15" s="59">
        <f ca="1">AVERAGE(OFFSET($BH$3,0,0,'Données projet'!$E$11+1,1))-AVERAGE(OFFSET($H$3,0,0,'Données projet'!$E$11+1,1))</f>
        <v>695.93700574708214</v>
      </c>
      <c r="BJ15" s="59">
        <f t="shared" si="38"/>
        <v>318.31690229208471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5.6</v>
      </c>
      <c r="BY15" s="12">
        <f>IF('Données projet'!$A$114&gt;35,BY14+BX15-CG14,IF(A15&lt;'Données projet'!$A$114,$BV$205^A15,IF(A15='Données projet'!$A$114,'Données projet'!$B$114,BY14+BX15-CG14)))</f>
        <v>19.2</v>
      </c>
      <c r="BZ15" s="13">
        <f>BY15*VLOOKUP('Données projet'!$B$12,Paramètres!$A$1:$I$89,3,0)*VLOOKUP('Données projet'!$B$12,Paramètres!$A$1:$I$89,5,0)</f>
        <v>12.579840000000001</v>
      </c>
      <c r="CA15" s="13">
        <f t="shared" si="39"/>
        <v>4.3174269552455735</v>
      </c>
      <c r="CB15" s="20">
        <f t="shared" si="10"/>
        <v>29.429406613719376</v>
      </c>
      <c r="CC15" s="59">
        <f t="shared" si="11"/>
        <v>222.20902067008191</v>
      </c>
      <c r="CD15" s="59">
        <f ca="1">AVERAGE(OFFSET($CC$3,0,0,'Données projet'!$E$12+1,1))-AVERAGE(OFFSET($H$3,0,0,'Données projet'!$E$12+1,1))</f>
        <v>260.25859566735949</v>
      </c>
      <c r="CE15" s="59">
        <f t="shared" si="40"/>
        <v>256.93649773468667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5.6</v>
      </c>
      <c r="CT15" s="12">
        <f>IF('Données projet'!$A$140&gt;35,CT14+CS15-DB14,IF(A15&lt;'Données projet'!$A$140,$CQ$205^A15,IF(A15='Données projet'!$A$140,'Données projet'!$B$140,CT14+CS15-DB14)))</f>
        <v>19.2</v>
      </c>
      <c r="CU15" s="17">
        <f>CT15*VLOOKUP('Données projet'!$B$13,Paramètres!$A$1:$I$89,3,0)*VLOOKUP('Données projet'!$B$13,Paramètres!$A$1:$I$89,5,0)</f>
        <v>12.579840000000001</v>
      </c>
      <c r="CV15" s="13">
        <f t="shared" si="41"/>
        <v>4.3174269552455735</v>
      </c>
      <c r="CW15" s="20">
        <f t="shared" si="13"/>
        <v>29.429406613719376</v>
      </c>
      <c r="CX15" s="59">
        <f t="shared" si="14"/>
        <v>222.20902067008191</v>
      </c>
      <c r="CY15" s="59">
        <f ca="1">AVERAGE(OFFSET($CX$3,0,0,'Données projet'!$E$13+1,1))-AVERAGE(OFFSET($H$3,0,0,'Données projet'!$E$13+1,1))</f>
        <v>260.25859566735949</v>
      </c>
      <c r="CZ15" s="59">
        <f t="shared" si="42"/>
        <v>256.93649773468667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7.3233333333333333</v>
      </c>
      <c r="DO15" s="12">
        <f>IF('Données projet'!$A$166&gt;35,DO14+DN15-DW14,IF(A15&lt;'Données projet'!$A$166,$DL$205^A15,IF(A15='Données projet'!$A$166,'Données projet'!$B$166,DO14+DN15-DW14)))</f>
        <v>10.482785424151441</v>
      </c>
      <c r="DP15" s="17">
        <f>DO15*VLOOKUP('Données projet'!$B$14,Paramètres!$A$1:$I$89,3,0)*VLOOKUP('Données projet'!$B$14,Paramètres!$A$1:$I$89,5,0)</f>
        <v>5.9961532626146248</v>
      </c>
      <c r="DQ15" s="13">
        <f t="shared" si="43"/>
        <v>2.2432640920220912</v>
      </c>
      <c r="DR15" s="20">
        <f t="shared" si="16"/>
        <v>14.350318559325613</v>
      </c>
      <c r="DS15" s="59">
        <f t="shared" si="17"/>
        <v>207.12993261568815</v>
      </c>
      <c r="DT15" s="59">
        <f ca="1">AVERAGE(OFFSET($DS$3,0,0,'Données projet'!$E$14+1,1))-AVERAGE(OFFSET($H$3,0,0,'Données projet'!$E$14+1,1))</f>
        <v>349.56396446903</v>
      </c>
      <c r="DU15" s="59">
        <f t="shared" si="44"/>
        <v>270.64279448634522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5.8668181818181813</v>
      </c>
      <c r="EJ15" s="12">
        <f>IF('Données projet'!$A$192&gt;35,EJ14+EI15-ER14,IF(A15&lt;'Données projet'!$A$192,$EG$205^A15,IF(A15='Données projet'!$A$192,'Données projet'!$B$192,EJ14+EI15-ER14)))</f>
        <v>14.169654470507195</v>
      </c>
      <c r="EK15" s="17">
        <f>EJ15*VLOOKUP('Données projet'!$B$15,Paramètres!$A$1:$I$89,3,0)*VLOOKUP('Données projet'!$B$15,Paramètres!$A$1:$I$89,5,0)</f>
        <v>8.4734533733633022</v>
      </c>
      <c r="EL15" s="13">
        <f t="shared" si="45"/>
        <v>3.044992822013763</v>
      </c>
      <c r="EM15" s="20">
        <f t="shared" si="19"/>
        <v>20.06129379028172</v>
      </c>
      <c r="EN15" s="59">
        <f t="shared" si="20"/>
        <v>212.84090784664426</v>
      </c>
      <c r="EO15" s="59">
        <f ca="1">AVERAGE(OFFSET($EN$3,0,0,'Données projet'!$E$15+1,1))-AVERAGE(OFFSET($H$3,0,0,'Données projet'!$E$15+1,1))</f>
        <v>375.89365709113105</v>
      </c>
      <c r="EP15" s="59">
        <f t="shared" si="46"/>
        <v>279.39056561403834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7.1952941176470588</v>
      </c>
      <c r="FE15" s="12">
        <f>IF('Données projet'!$A$218&gt;35,FE14+FD15-FM14,IF(A15&lt;'Données projet'!$A$218,$FB$205^A15,IF(A15='Données projet'!$A$218,'Données projet'!$B$218,FE14+FD15-FM14)))</f>
        <v>29.752785247657449</v>
      </c>
      <c r="FF15" s="17">
        <f>FE15*VLOOKUP('Données projet'!$B$16,Paramètres!$A$1:$I$89,3,0)*VLOOKUP('Données projet'!$B$16,Paramètres!$A$1:$I$89,5,0)</f>
        <v>17.792165578099155</v>
      </c>
      <c r="FG15" s="13">
        <f t="shared" si="47"/>
        <v>5.8648139940544119</v>
      </c>
      <c r="FH15" s="20">
        <f t="shared" si="22"/>
        <v>41.202572754834129</v>
      </c>
      <c r="FI15" s="59">
        <f t="shared" si="23"/>
        <v>233.98218681119667</v>
      </c>
      <c r="FJ15" s="59">
        <f ca="1">AVERAGE(OFFSET($FI$3,0,0,'Données projet'!$E$16+1,1))-AVERAGE(OFFSET($H$3,0,0,'Données projet'!$E$16+1,1))</f>
        <v>319.29539841078537</v>
      </c>
      <c r="FK15" s="59">
        <f t="shared" si="48"/>
        <v>327.26871144121412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11.239444444444445</v>
      </c>
      <c r="FZ15" s="12">
        <f>IF('Données projet'!$A$244&gt;35,FZ14+FY15-GH14,IF(A15&lt;'Données projet'!$A$244,$FW$205^A15,IF(A15='Données projet'!$A$244,'Données projet'!$B$244,FZ14+FY15-GH14)))</f>
        <v>34.462350891755804</v>
      </c>
      <c r="GA15" s="17">
        <f>FZ15*VLOOKUP('Données projet'!$B$17,Paramètres!$A$1:$I$89,3,0)*VLOOKUP('Données projet'!$B$17,Paramètres!$A$1:$I$89,5,0)</f>
        <v>15.232359094156067</v>
      </c>
      <c r="GB15" s="13">
        <f t="shared" si="49"/>
        <v>5.1126390846194427</v>
      </c>
      <c r="GC15" s="20">
        <f t="shared" si="25"/>
        <v>35.434205161367345</v>
      </c>
      <c r="GD15" s="59">
        <f t="shared" si="26"/>
        <v>228.21381921772988</v>
      </c>
      <c r="GE15" s="59">
        <f ca="1">AVERAGE(OFFSET($GD$3,0,0,'Données projet'!$E$17+1,1))-AVERAGE(OFFSET($H$3,0,0,'Données projet'!$E$17+1,1))</f>
        <v>342.89128067483233</v>
      </c>
      <c r="GF15" s="59">
        <f t="shared" si="50"/>
        <v>453.47615302202996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48.57625837900796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5.8668181818181813</v>
      </c>
      <c r="GU15" s="12">
        <f>IF('Données projet'!$A$270&gt;35,GU14+GT15-HC14,IF(A15&lt;'Données projet'!$A$270,$GR$205^A15,IF(A15='Données projet'!$A$270,'Données projet'!$B$270,GU14+GT15-HC14)))</f>
        <v>14.169654470507195</v>
      </c>
      <c r="GV15" s="17">
        <f>GU15*VLOOKUP('Données projet'!$B$18,Paramètres!$A$1:$I$89,3,0)*VLOOKUP('Données projet'!$B$18,Paramètres!$A$1:$I$89,5,0)</f>
        <v>8.4734533733633022</v>
      </c>
      <c r="GW15" s="13">
        <f t="shared" si="51"/>
        <v>3.044992822013763</v>
      </c>
      <c r="GX15" s="20">
        <f t="shared" si="28"/>
        <v>20.06129379028172</v>
      </c>
      <c r="GY15" s="59">
        <f t="shared" si="29"/>
        <v>212.84090784664426</v>
      </c>
      <c r="GZ15" s="59">
        <f ca="1">AVERAGE(OFFSET($GY$3,0,0,'Données projet'!$E$18+1,1))-AVERAGE(OFFSET($H$3,0,0,'Données projet'!$E$18+1,1))</f>
        <v>375.89365709113105</v>
      </c>
      <c r="HA15" s="59">
        <f t="shared" si="52"/>
        <v>279.39056561403834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178.09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45.722129142857128</v>
      </c>
      <c r="P16" s="13">
        <f t="shared" si="33"/>
        <v>13.50329614922042</v>
      </c>
      <c r="Q16" s="20">
        <f t="shared" si="2"/>
        <v>103.1509490503684</v>
      </c>
      <c r="R16" s="59">
        <f t="shared" si="0"/>
        <v>298.515516738602</v>
      </c>
      <c r="S16" s="59">
        <f ca="1">AVERAGE(OFFSET($R$3,0,0,'Données projet'!$E$9+1,1))-AVERAGE(OFFSET($H$3,0,0,'Données projet'!$E$9+1,1))</f>
        <v>631.31712308065664</v>
      </c>
      <c r="T16" s="59">
        <f t="shared" si="34"/>
        <v>290.92244624361285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3.8113157894736847</v>
      </c>
      <c r="AI16" s="13">
        <f>IF('Données projet'!$A$62&gt;35,AI15+AH16-AQ15,IF(A16&lt;'Données projet'!$A$62,$AF$205^A16,IF(A16='Données projet'!$A$62,'Données projet'!$B$62,AI15+AH16-AQ15)))</f>
        <v>49.547105263157889</v>
      </c>
      <c r="AJ16" s="13">
        <f>AI16*VLOOKUP('Données projet'!$B$10,Paramètres!$A$1:$I$89,3,0)*VLOOKUP('Données projet'!$B$10,Paramètres!$A$1:$I$89,5,0)</f>
        <v>41.73848147368421</v>
      </c>
      <c r="AK16" s="13">
        <f t="shared" si="35"/>
        <v>12.458284491404413</v>
      </c>
      <c r="AL16" s="20">
        <f t="shared" si="4"/>
        <v>94.392700722529355</v>
      </c>
      <c r="AM16" s="59">
        <f t="shared" si="5"/>
        <v>289.757268410763</v>
      </c>
      <c r="AN16" s="59">
        <f ca="1">AVERAGE(OFFSET($AM$3,0,0,'Données projet'!$E$10+1,1))-AVERAGE(OFFSET($H$3,0,0,'Données projet'!$E$10+1,1))</f>
        <v>401.19166052471473</v>
      </c>
      <c r="AO16" s="59">
        <f t="shared" si="36"/>
        <v>271.10067497534271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51.240317142857123</v>
      </c>
      <c r="BF16" s="13">
        <f t="shared" si="37"/>
        <v>14.933618736730883</v>
      </c>
      <c r="BG16" s="20">
        <f t="shared" si="7"/>
        <v>115.25293832361577</v>
      </c>
      <c r="BH16" s="59">
        <f t="shared" si="8"/>
        <v>310.6175060118494</v>
      </c>
      <c r="BI16" s="59">
        <f ca="1">AVERAGE(OFFSET($BH$3,0,0,'Données projet'!$E$11+1,1))-AVERAGE(OFFSET($H$3,0,0,'Données projet'!$E$11+1,1))</f>
        <v>695.93700574708214</v>
      </c>
      <c r="BJ16" s="59">
        <f t="shared" si="38"/>
        <v>318.31690229208471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5.6</v>
      </c>
      <c r="BY16" s="12">
        <f>IF('Données projet'!$A$114&gt;35,BY15+BX16-CG15,IF(A16&lt;'Données projet'!$A$114,$BV$205^A16,IF(A16='Données projet'!$A$114,'Données projet'!$B$114,BY15+BX16-CG15)))</f>
        <v>24.799999999999997</v>
      </c>
      <c r="BZ16" s="13">
        <f>BY16*VLOOKUP('Données projet'!$B$12,Paramètres!$A$1:$I$89,3,0)*VLOOKUP('Données projet'!$B$12,Paramètres!$A$1:$I$89,5,0)</f>
        <v>16.248959999999997</v>
      </c>
      <c r="CA16" s="13">
        <f t="shared" si="39"/>
        <v>5.4129939058841172</v>
      </c>
      <c r="CB16" s="20">
        <f t="shared" si="10"/>
        <v>37.727903052748168</v>
      </c>
      <c r="CC16" s="59">
        <f t="shared" si="11"/>
        <v>233.09247074098178</v>
      </c>
      <c r="CD16" s="59">
        <f ca="1">AVERAGE(OFFSET($CC$3,0,0,'Données projet'!$E$12+1,1))-AVERAGE(OFFSET($H$3,0,0,'Données projet'!$E$12+1,1))</f>
        <v>260.25859566735949</v>
      </c>
      <c r="CE16" s="59">
        <f t="shared" si="40"/>
        <v>256.93649773468667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5.6</v>
      </c>
      <c r="CT16" s="12">
        <f>IF('Données projet'!$A$140&gt;35,CT15+CS16-DB15,IF(A16&lt;'Données projet'!$A$140,$CQ$205^A16,IF(A16='Données projet'!$A$140,'Données projet'!$B$140,CT15+CS16-DB15)))</f>
        <v>24.799999999999997</v>
      </c>
      <c r="CU16" s="17">
        <f>CT16*VLOOKUP('Données projet'!$B$13,Paramètres!$A$1:$I$89,3,0)*VLOOKUP('Données projet'!$B$13,Paramètres!$A$1:$I$89,5,0)</f>
        <v>16.248959999999997</v>
      </c>
      <c r="CV16" s="13">
        <f t="shared" si="41"/>
        <v>5.4129939058841172</v>
      </c>
      <c r="CW16" s="20">
        <f t="shared" si="13"/>
        <v>37.727903052748168</v>
      </c>
      <c r="CX16" s="59">
        <f t="shared" si="14"/>
        <v>233.09247074098178</v>
      </c>
      <c r="CY16" s="59">
        <f ca="1">AVERAGE(OFFSET($CX$3,0,0,'Données projet'!$E$13+1,1))-AVERAGE(OFFSET($H$3,0,0,'Données projet'!$E$13+1,1))</f>
        <v>260.25859566735949</v>
      </c>
      <c r="CZ16" s="59">
        <f t="shared" si="42"/>
        <v>256.93649773468667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7.3233333333333333</v>
      </c>
      <c r="DO16" s="12">
        <f>IF('Données projet'!$A$166&gt;35,DO15+DN16-DW15,IF(A16&lt;'Données projet'!$A$166,$DL$205^A16,IF(A16='Données projet'!$A$166,'Données projet'!$B$166,DO15+DN16-DW15)))</f>
        <v>12.750183079606085</v>
      </c>
      <c r="DP16" s="17">
        <f>DO16*VLOOKUP('Données projet'!$B$14,Paramètres!$A$1:$I$89,3,0)*VLOOKUP('Données projet'!$B$14,Paramètres!$A$1:$I$89,5,0)</f>
        <v>7.2931047215346814</v>
      </c>
      <c r="DQ16" s="13">
        <f t="shared" si="43"/>
        <v>2.6669907251208147</v>
      </c>
      <c r="DR16" s="20">
        <f t="shared" si="16"/>
        <v>17.347166236258321</v>
      </c>
      <c r="DS16" s="59">
        <f t="shared" si="17"/>
        <v>212.71173392449194</v>
      </c>
      <c r="DT16" s="59">
        <f ca="1">AVERAGE(OFFSET($DS$3,0,0,'Données projet'!$E$14+1,1))-AVERAGE(OFFSET($H$3,0,0,'Données projet'!$E$14+1,1))</f>
        <v>349.56396446903</v>
      </c>
      <c r="DU16" s="59">
        <f t="shared" si="44"/>
        <v>270.64279448634522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5.8668181818181813</v>
      </c>
      <c r="EJ16" s="12">
        <f>IF('Données projet'!$A$192&gt;35,EJ15+EI16-ER15,IF(A16&lt;'Données projet'!$A$192,$EG$205^A16,IF(A16='Données projet'!$A$192,'Données projet'!$B$192,EJ15+EI16-ER15)))</f>
        <v>17.672820443588613</v>
      </c>
      <c r="EK16" s="17">
        <f>EJ16*VLOOKUP('Données projet'!$B$15,Paramètres!$A$1:$I$89,3,0)*VLOOKUP('Données projet'!$B$15,Paramètres!$A$1:$I$89,5,0)</f>
        <v>10.56834662526599</v>
      </c>
      <c r="EL16" s="13">
        <f t="shared" si="45"/>
        <v>3.7013886882041378</v>
      </c>
      <c r="EM16" s="20">
        <f t="shared" si="19"/>
        <v>24.853122337627141</v>
      </c>
      <c r="EN16" s="59">
        <f t="shared" si="20"/>
        <v>220.21769002586075</v>
      </c>
      <c r="EO16" s="59">
        <f ca="1">AVERAGE(OFFSET($EN$3,0,0,'Données projet'!$E$15+1,1))-AVERAGE(OFFSET($H$3,0,0,'Données projet'!$E$15+1,1))</f>
        <v>375.89365709113105</v>
      </c>
      <c r="EP16" s="59">
        <f t="shared" si="46"/>
        <v>279.39056561403834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7.1952941176470588</v>
      </c>
      <c r="FE16" s="12">
        <f>IF('Données projet'!$A$218&gt;35,FE15+FD16-FM15,IF(A16&lt;'Données projet'!$A$218,$FB$205^A16,IF(A16='Données projet'!$A$218,'Données projet'!$B$218,FE15+FD16-FM15)))</f>
        <v>39.474950722834407</v>
      </c>
      <c r="FF16" s="17">
        <f>FE16*VLOOKUP('Données projet'!$B$16,Paramètres!$A$1:$I$89,3,0)*VLOOKUP('Données projet'!$B$16,Paramètres!$A$1:$I$89,5,0)</f>
        <v>23.606020532254977</v>
      </c>
      <c r="FG16" s="13">
        <f t="shared" si="47"/>
        <v>7.5293067975293804</v>
      </c>
      <c r="FH16" s="20">
        <f t="shared" si="22"/>
        <v>54.227361766041078</v>
      </c>
      <c r="FI16" s="59">
        <f t="shared" si="23"/>
        <v>249.59192945427469</v>
      </c>
      <c r="FJ16" s="59">
        <f ca="1">AVERAGE(OFFSET($FI$3,0,0,'Données projet'!$E$16+1,1))-AVERAGE(OFFSET($H$3,0,0,'Données projet'!$E$16+1,1))</f>
        <v>319.29539841078537</v>
      </c>
      <c r="FK16" s="59">
        <f t="shared" si="48"/>
        <v>327.26871144121412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11.239444444444445</v>
      </c>
      <c r="FZ16" s="12">
        <f>IF('Données projet'!$A$244&gt;35,FZ15+FY16-GH15,IF(A16&lt;'Données projet'!$A$244,$FW$205^A16,IF(A16='Données projet'!$A$244,'Données projet'!$B$244,FZ15+FY16-GH15)))</f>
        <v>46.2867805848119</v>
      </c>
      <c r="GA16" s="17">
        <f>FZ16*VLOOKUP('Données projet'!$B$17,Paramètres!$A$1:$I$89,3,0)*VLOOKUP('Données projet'!$B$17,Paramètres!$A$1:$I$89,5,0)</f>
        <v>20.458757018486864</v>
      </c>
      <c r="GB16" s="13">
        <f t="shared" si="49"/>
        <v>6.6350616918987022</v>
      </c>
      <c r="GC16" s="20">
        <f t="shared" si="25"/>
        <v>47.188400920588187</v>
      </c>
      <c r="GD16" s="59">
        <f t="shared" si="26"/>
        <v>242.5529686088218</v>
      </c>
      <c r="GE16" s="59">
        <f ca="1">AVERAGE(OFFSET($GD$3,0,0,'Données projet'!$E$17+1,1))-AVERAGE(OFFSET($H$3,0,0,'Données projet'!$E$17+1,1))</f>
        <v>342.89128067483233</v>
      </c>
      <c r="GF16" s="59">
        <f t="shared" si="50"/>
        <v>453.47615302202996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48.947912399821291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5.8668181818181813</v>
      </c>
      <c r="GU16" s="12">
        <f>IF('Données projet'!$A$270&gt;35,GU15+GT16-HC15,IF(A16&lt;'Données projet'!$A$270,$GR$205^A16,IF(A16='Données projet'!$A$270,'Données projet'!$B$270,GU15+GT16-HC15)))</f>
        <v>17.672820443588613</v>
      </c>
      <c r="GV16" s="17">
        <f>GU16*VLOOKUP('Données projet'!$B$18,Paramètres!$A$1:$I$89,3,0)*VLOOKUP('Données projet'!$B$18,Paramètres!$A$1:$I$89,5,0)</f>
        <v>10.56834662526599</v>
      </c>
      <c r="GW16" s="13">
        <f t="shared" si="51"/>
        <v>3.7013886882041378</v>
      </c>
      <c r="GX16" s="20">
        <f t="shared" si="28"/>
        <v>24.853122337627141</v>
      </c>
      <c r="GY16" s="59">
        <f t="shared" si="29"/>
        <v>220.21769002586075</v>
      </c>
      <c r="GZ16" s="59">
        <f ca="1">AVERAGE(OFFSET($GY$3,0,0,'Données projet'!$E$18+1,1))-AVERAGE(OFFSET($H$3,0,0,'Données projet'!$E$18+1,1))</f>
        <v>375.89365709113105</v>
      </c>
      <c r="HA16" s="59">
        <f t="shared" si="52"/>
        <v>279.39056561403834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178.09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49.239215999999978</v>
      </c>
      <c r="P17" s="13">
        <f t="shared" si="33"/>
        <v>14.417108895027585</v>
      </c>
      <c r="Q17" s="20">
        <f t="shared" si="2"/>
        <v>110.86809919217301</v>
      </c>
      <c r="R17" s="59">
        <f t="shared" si="0"/>
        <v>308.79398016893134</v>
      </c>
      <c r="S17" s="59">
        <f ca="1">AVERAGE(OFFSET($R$3,0,0,'Données projet'!$E$9+1,1))-AVERAGE(OFFSET($H$3,0,0,'Données projet'!$E$9+1,1))</f>
        <v>631.31712308065664</v>
      </c>
      <c r="T17" s="59">
        <f t="shared" si="34"/>
        <v>290.92244624361285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3.8113157894736847</v>
      </c>
      <c r="AI17" s="13">
        <f>IF('Données projet'!$A$62&gt;35,AI16+AH17-AQ16,IF(A17&lt;'Données projet'!$A$62,$AF$205^A17,IF(A17='Données projet'!$A$62,'Données projet'!$B$62,AI16+AH17-AQ16)))</f>
        <v>53.35842105263157</v>
      </c>
      <c r="AJ17" s="13">
        <f>AI17*VLOOKUP('Données projet'!$B$10,Paramètres!$A$1:$I$89,3,0)*VLOOKUP('Données projet'!$B$10,Paramètres!$A$1:$I$89,5,0)</f>
        <v>44.949133894736839</v>
      </c>
      <c r="AK17" s="13">
        <f t="shared" si="35"/>
        <v>13.301377839378887</v>
      </c>
      <c r="AL17" s="20">
        <f t="shared" si="4"/>
        <v>101.45297460358488</v>
      </c>
      <c r="AM17" s="59">
        <f t="shared" si="5"/>
        <v>299.37885558034321</v>
      </c>
      <c r="AN17" s="59">
        <f ca="1">AVERAGE(OFFSET($AM$3,0,0,'Données projet'!$E$10+1,1))-AVERAGE(OFFSET($H$3,0,0,'Données projet'!$E$10+1,1))</f>
        <v>401.19166052471473</v>
      </c>
      <c r="AO17" s="59">
        <f t="shared" si="36"/>
        <v>271.10067497534271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55.181879999999985</v>
      </c>
      <c r="BF17" s="13">
        <f t="shared" si="37"/>
        <v>15.944226146347479</v>
      </c>
      <c r="BG17" s="20">
        <f t="shared" si="7"/>
        <v>123.87796820488852</v>
      </c>
      <c r="BH17" s="59">
        <f t="shared" si="8"/>
        <v>321.80384918164685</v>
      </c>
      <c r="BI17" s="59">
        <f ca="1">AVERAGE(OFFSET($BH$3,0,0,'Données projet'!$E$11+1,1))-AVERAGE(OFFSET($H$3,0,0,'Données projet'!$E$11+1,1))</f>
        <v>695.93700574708214</v>
      </c>
      <c r="BJ17" s="59">
        <f t="shared" si="38"/>
        <v>318.31690229208471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5.6</v>
      </c>
      <c r="BY17" s="12">
        <f>IF('Données projet'!$A$114&gt;35,BY16+BX17-CG16,IF(A17&lt;'Données projet'!$A$114,$BV$205^A17,IF(A17='Données projet'!$A$114,'Données projet'!$B$114,BY16+BX17-CG16)))</f>
        <v>30.4</v>
      </c>
      <c r="BZ17" s="13">
        <f>BY17*VLOOKUP('Données projet'!$B$12,Paramètres!$A$1:$I$89,3,0)*VLOOKUP('Données projet'!$B$12,Paramètres!$A$1:$I$89,5,0)</f>
        <v>19.91808</v>
      </c>
      <c r="CA17" s="13">
        <f t="shared" si="39"/>
        <v>6.4798825087607046</v>
      </c>
      <c r="CB17" s="20">
        <f t="shared" si="10"/>
        <v>45.976451369424893</v>
      </c>
      <c r="CC17" s="59">
        <f t="shared" si="11"/>
        <v>243.90233234618324</v>
      </c>
      <c r="CD17" s="59">
        <f ca="1">AVERAGE(OFFSET($CC$3,0,0,'Données projet'!$E$12+1,1))-AVERAGE(OFFSET($H$3,0,0,'Données projet'!$E$12+1,1))</f>
        <v>260.25859566735949</v>
      </c>
      <c r="CE17" s="59">
        <f t="shared" si="40"/>
        <v>256.93649773468667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5.6</v>
      </c>
      <c r="CT17" s="12">
        <f>IF('Données projet'!$A$140&gt;35,CT16+CS17-DB16,IF(A17&lt;'Données projet'!$A$140,$CQ$205^A17,IF(A17='Données projet'!$A$140,'Données projet'!$B$140,CT16+CS17-DB16)))</f>
        <v>30.4</v>
      </c>
      <c r="CU17" s="17">
        <f>CT17*VLOOKUP('Données projet'!$B$13,Paramètres!$A$1:$I$89,3,0)*VLOOKUP('Données projet'!$B$13,Paramètres!$A$1:$I$89,5,0)</f>
        <v>19.91808</v>
      </c>
      <c r="CV17" s="13">
        <f t="shared" si="41"/>
        <v>6.4798825087607046</v>
      </c>
      <c r="CW17" s="20">
        <f t="shared" si="13"/>
        <v>45.976451369424893</v>
      </c>
      <c r="CX17" s="59">
        <f t="shared" si="14"/>
        <v>243.90233234618324</v>
      </c>
      <c r="CY17" s="59">
        <f ca="1">AVERAGE(OFFSET($CX$3,0,0,'Données projet'!$E$13+1,1))-AVERAGE(OFFSET($H$3,0,0,'Données projet'!$E$13+1,1))</f>
        <v>260.25859566735949</v>
      </c>
      <c r="CZ17" s="59">
        <f t="shared" si="42"/>
        <v>256.93649773468667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7.3233333333333333</v>
      </c>
      <c r="DO17" s="12">
        <f>IF('Données projet'!$A$166&gt;35,DO16+DN17-DW16,IF(A17&lt;'Données projet'!$A$166,$DL$205^A17,IF(A17='Données projet'!$A$166,'Données projet'!$B$166,DO16+DN17-DW16)))</f>
        <v>15.508012611698842</v>
      </c>
      <c r="DP17" s="17">
        <f>DO17*VLOOKUP('Données projet'!$B$14,Paramètres!$A$1:$I$89,3,0)*VLOOKUP('Données projet'!$B$14,Paramètres!$A$1:$I$89,5,0)</f>
        <v>8.870583213891738</v>
      </c>
      <c r="DQ17" s="13">
        <f t="shared" si="43"/>
        <v>3.1707544168234318</v>
      </c>
      <c r="DR17" s="20">
        <f t="shared" si="16"/>
        <v>20.971996373495585</v>
      </c>
      <c r="DS17" s="59">
        <f t="shared" si="17"/>
        <v>218.89787735025394</v>
      </c>
      <c r="DT17" s="59">
        <f ca="1">AVERAGE(OFFSET($DS$3,0,0,'Données projet'!$E$14+1,1))-AVERAGE(OFFSET($H$3,0,0,'Données projet'!$E$14+1,1))</f>
        <v>349.56396446903</v>
      </c>
      <c r="DU17" s="59">
        <f t="shared" si="44"/>
        <v>270.64279448634522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5.8668181818181813</v>
      </c>
      <c r="EJ17" s="12">
        <f>IF('Données projet'!$A$192&gt;35,EJ16+EI17-ER16,IF(A17&lt;'Données projet'!$A$192,$EG$205^A17,IF(A17='Données projet'!$A$192,'Données projet'!$B$192,EJ16+EI17-ER16)))</f>
        <v>22.042074708413409</v>
      </c>
      <c r="EK17" s="17">
        <f>EJ17*VLOOKUP('Données projet'!$B$15,Paramètres!$A$1:$I$89,3,0)*VLOOKUP('Données projet'!$B$15,Paramètres!$A$1:$I$89,5,0)</f>
        <v>13.181160675631221</v>
      </c>
      <c r="EL17" s="13">
        <f t="shared" si="45"/>
        <v>4.4992809579449391</v>
      </c>
      <c r="EM17" s="20">
        <f t="shared" si="19"/>
        <v>30.793435845145144</v>
      </c>
      <c r="EN17" s="59">
        <f t="shared" si="20"/>
        <v>228.7193168219035</v>
      </c>
      <c r="EO17" s="59">
        <f ca="1">AVERAGE(OFFSET($EN$3,0,0,'Données projet'!$E$15+1,1))-AVERAGE(OFFSET($H$3,0,0,'Données projet'!$E$15+1,1))</f>
        <v>375.89365709113105</v>
      </c>
      <c r="EP17" s="59">
        <f t="shared" si="46"/>
        <v>279.39056561403834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7.1952941176470588</v>
      </c>
      <c r="FE17" s="12">
        <f>IF('Données projet'!$A$218&gt;35,FE16+FD17-FM16,IF(A17&lt;'Données projet'!$A$218,$FB$205^A17,IF(A17='Données projet'!$A$218,'Données projet'!$B$218,FE16+FD17-FM16)))</f>
        <v>52.373978489724536</v>
      </c>
      <c r="FF17" s="17">
        <f>FE17*VLOOKUP('Données projet'!$B$16,Paramètres!$A$1:$I$89,3,0)*VLOOKUP('Données projet'!$B$16,Paramètres!$A$1:$I$89,5,0)</f>
        <v>31.319639136855276</v>
      </c>
      <c r="FG17" s="13">
        <f t="shared" si="47"/>
        <v>9.6661992876148126</v>
      </c>
      <c r="FH17" s="20">
        <f t="shared" si="22"/>
        <v>71.383668589285392</v>
      </c>
      <c r="FI17" s="59">
        <f t="shared" si="23"/>
        <v>269.30954956604376</v>
      </c>
      <c r="FJ17" s="59">
        <f ca="1">AVERAGE(OFFSET($FI$3,0,0,'Données projet'!$E$16+1,1))-AVERAGE(OFFSET($H$3,0,0,'Données projet'!$E$16+1,1))</f>
        <v>319.29539841078537</v>
      </c>
      <c r="FK17" s="59">
        <f t="shared" si="48"/>
        <v>327.26871144121412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11.239444444444445</v>
      </c>
      <c r="FZ17" s="12">
        <f>IF('Données projet'!$A$244&gt;35,FZ16+FY17-GH16,IF(A17&lt;'Données projet'!$A$244,$FW$205^A17,IF(A17='Données projet'!$A$244,'Données projet'!$B$244,FZ16+FY17-GH16)))</f>
        <v>62.168308355859935</v>
      </c>
      <c r="GA17" s="17">
        <f>FZ17*VLOOKUP('Données projet'!$B$17,Paramètres!$A$1:$I$89,3,0)*VLOOKUP('Données projet'!$B$17,Paramètres!$A$1:$I$89,5,0)</f>
        <v>27.478392293290092</v>
      </c>
      <c r="GB17" s="13">
        <f t="shared" si="49"/>
        <v>8.6108256277547373</v>
      </c>
      <c r="GC17" s="20">
        <f t="shared" si="25"/>
        <v>62.855387879153078</v>
      </c>
      <c r="GD17" s="59">
        <f t="shared" si="26"/>
        <v>260.78126885591143</v>
      </c>
      <c r="GE17" s="59">
        <f ca="1">AVERAGE(OFFSET($GD$3,0,0,'Données projet'!$E$17+1,1))-AVERAGE(OFFSET($H$3,0,0,'Données projet'!$E$17+1,1))</f>
        <v>342.89128067483233</v>
      </c>
      <c r="GF17" s="59">
        <f t="shared" si="50"/>
        <v>453.47615302202996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49.313119054267432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5.8668181818181813</v>
      </c>
      <c r="GU17" s="12">
        <f>IF('Données projet'!$A$270&gt;35,GU16+GT17-HC16,IF(A17&lt;'Données projet'!$A$270,$GR$205^A17,IF(A17='Données projet'!$A$270,'Données projet'!$B$270,GU16+GT17-HC16)))</f>
        <v>22.042074708413409</v>
      </c>
      <c r="GV17" s="17">
        <f>GU17*VLOOKUP('Données projet'!$B$18,Paramètres!$A$1:$I$89,3,0)*VLOOKUP('Données projet'!$B$18,Paramètres!$A$1:$I$89,5,0)</f>
        <v>13.181160675631221</v>
      </c>
      <c r="GW17" s="13">
        <f t="shared" si="51"/>
        <v>4.4992809579449391</v>
      </c>
      <c r="GX17" s="20">
        <f t="shared" si="28"/>
        <v>30.793435845145144</v>
      </c>
      <c r="GY17" s="59">
        <f t="shared" si="29"/>
        <v>228.7193168219035</v>
      </c>
      <c r="GZ17" s="59">
        <f ca="1">AVERAGE(OFFSET($GY$3,0,0,'Données projet'!$E$18+1,1))-AVERAGE(OFFSET($H$3,0,0,'Données projet'!$E$18+1,1))</f>
        <v>375.89365709113105</v>
      </c>
      <c r="HA17" s="59">
        <f t="shared" si="52"/>
        <v>279.39056561403834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178.09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52.756302857142842</v>
      </c>
      <c r="P18" s="13">
        <f t="shared" si="33"/>
        <v>15.323348643415981</v>
      </c>
      <c r="Q18" s="20">
        <f t="shared" si="2"/>
        <v>118.57205969680662</v>
      </c>
      <c r="R18" s="59">
        <f t="shared" si="0"/>
        <v>319.03602372584845</v>
      </c>
      <c r="S18" s="59">
        <f ca="1">AVERAGE(OFFSET($R$3,0,0,'Données projet'!$E$9+1,1))-AVERAGE(OFFSET($H$3,0,0,'Données projet'!$E$9+1,1))</f>
        <v>631.31712308065664</v>
      </c>
      <c r="T18" s="59">
        <f t="shared" si="34"/>
        <v>290.92244624361285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3.8113157894736847</v>
      </c>
      <c r="AI18" s="13">
        <f>IF('Données projet'!$A$62&gt;35,AI17+AH18-AQ17,IF(A18&lt;'Données projet'!$A$62,$AF$205^A18,IF(A18='Données projet'!$A$62,'Données projet'!$B$62,AI17+AH18-AQ17)))</f>
        <v>57.169736842105252</v>
      </c>
      <c r="AJ18" s="13">
        <f>AI18*VLOOKUP('Données projet'!$B$10,Paramètres!$A$1:$I$89,3,0)*VLOOKUP('Données projet'!$B$10,Paramètres!$A$1:$I$89,5,0)</f>
        <v>48.159786315789468</v>
      </c>
      <c r="AK18" s="13">
        <f t="shared" si="35"/>
        <v>14.1374842594764</v>
      </c>
      <c r="AL18" s="20">
        <f t="shared" si="4"/>
        <v>108.50107958525473</v>
      </c>
      <c r="AM18" s="59">
        <f t="shared" si="5"/>
        <v>308.96504361429652</v>
      </c>
      <c r="AN18" s="59">
        <f ca="1">AVERAGE(OFFSET($AM$3,0,0,'Données projet'!$E$10+1,1))-AVERAGE(OFFSET($H$3,0,0,'Données projet'!$E$10+1,1))</f>
        <v>401.19166052471473</v>
      </c>
      <c r="AO18" s="59">
        <f t="shared" si="36"/>
        <v>271.10067497534271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59.123442857142841</v>
      </c>
      <c r="BF18" s="13">
        <f t="shared" si="37"/>
        <v>16.946458396677293</v>
      </c>
      <c r="BG18" s="20">
        <f t="shared" si="7"/>
        <v>132.4884113504034</v>
      </c>
      <c r="BH18" s="59">
        <f t="shared" si="8"/>
        <v>332.95237537944524</v>
      </c>
      <c r="BI18" s="59">
        <f ca="1">AVERAGE(OFFSET($BH$3,0,0,'Données projet'!$E$11+1,1))-AVERAGE(OFFSET($H$3,0,0,'Données projet'!$E$11+1,1))</f>
        <v>695.93700574708214</v>
      </c>
      <c r="BJ18" s="59">
        <f t="shared" si="38"/>
        <v>318.31690229208471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36</v>
      </c>
      <c r="BW18" s="12">
        <f>VLOOKUP(A18,'Données projet'!$A$113:$I$133,9,0)</f>
        <v>5.6</v>
      </c>
      <c r="BX18" s="12">
        <f t="array" ref="BX18">INDEX(BW:BW,MIN(IF(ISNUMBER(BW18:BW214),ROW(BW18:BW214),"")))</f>
        <v>5.6</v>
      </c>
      <c r="BY18" s="12">
        <f>IF('Données projet'!$A$114&gt;35,BY17+BX18-CG17,IF(A18&lt;'Données projet'!$A$114,$BV$205^A18,IF(A18='Données projet'!$A$114,'Données projet'!$B$114,BY17+BX18-CG17)))</f>
        <v>36</v>
      </c>
      <c r="BZ18" s="13">
        <f>BY18*VLOOKUP('Données projet'!$B$12,Paramètres!$A$1:$I$89,3,0)*VLOOKUP('Données projet'!$B$12,Paramètres!$A$1:$I$89,5,0)</f>
        <v>23.587199999999999</v>
      </c>
      <c r="CA18" s="13">
        <f t="shared" si="39"/>
        <v>7.5240023521815003</v>
      </c>
      <c r="CB18" s="20">
        <f t="shared" si="10"/>
        <v>54.185344096716108</v>
      </c>
      <c r="CC18" s="59">
        <f t="shared" si="11"/>
        <v>254.64930812575793</v>
      </c>
      <c r="CD18" s="59">
        <f ca="1">AVERAGE(OFFSET($CC$3,0,0,'Données projet'!$E$12+1,1))-AVERAGE(OFFSET($H$3,0,0,'Données projet'!$E$12+1,1))</f>
        <v>260.25859566735949</v>
      </c>
      <c r="CE18" s="59">
        <f t="shared" si="40"/>
        <v>256.93649773468667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36</v>
      </c>
      <c r="CR18" s="12">
        <f>VLOOKUP(A18,'Données projet'!$A$139:$I$159,9,0)</f>
        <v>5.6</v>
      </c>
      <c r="CS18" s="12">
        <f t="array" ref="CS18">INDEX(CR:CR,MIN(IF(ISNUMBER(CR18:CR214),ROW(CR18:CR214),"")))</f>
        <v>5.6</v>
      </c>
      <c r="CT18" s="12">
        <f>IF('Données projet'!$A$140&gt;35,CT17+CS18-DB17,IF(A18&lt;'Données projet'!$A$140,$CQ$205^A18,IF(A18='Données projet'!$A$140,'Données projet'!$B$140,CT17+CS18-DB17)))</f>
        <v>36</v>
      </c>
      <c r="CU18" s="17">
        <f>CT18*VLOOKUP('Données projet'!$B$13,Paramètres!$A$1:$I$89,3,0)*VLOOKUP('Données projet'!$B$13,Paramètres!$A$1:$I$89,5,0)</f>
        <v>23.587199999999999</v>
      </c>
      <c r="CV18" s="13">
        <f t="shared" si="41"/>
        <v>7.5240023521815003</v>
      </c>
      <c r="CW18" s="20">
        <f t="shared" si="13"/>
        <v>54.185344096716108</v>
      </c>
      <c r="CX18" s="59">
        <f t="shared" si="14"/>
        <v>254.64930812575793</v>
      </c>
      <c r="CY18" s="59">
        <f ca="1">AVERAGE(OFFSET($CX$3,0,0,'Données projet'!$E$13+1,1))-AVERAGE(OFFSET($H$3,0,0,'Données projet'!$E$13+1,1))</f>
        <v>260.25859566735949</v>
      </c>
      <c r="CZ18" s="59">
        <f t="shared" si="42"/>
        <v>256.93649773468667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3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7.3233333333333333</v>
      </c>
      <c r="DO18" s="12">
        <f>IF('Données projet'!$A$166&gt;35,DO17+DN18-DW17,IF(A18&lt;'Données projet'!$A$166,$DL$205^A18,IF(A18='Données projet'!$A$166,'Données projet'!$B$166,DO17+DN18-DW17)))</f>
        <v>18.862353086465681</v>
      </c>
      <c r="DP18" s="17">
        <f>DO18*VLOOKUP('Données projet'!$B$14,Paramètres!$A$1:$I$89,3,0)*VLOOKUP('Données projet'!$B$14,Paramètres!$A$1:$I$89,5,0)</f>
        <v>10.78926596545837</v>
      </c>
      <c r="DQ18" s="13">
        <f t="shared" si="43"/>
        <v>3.7696732414957563</v>
      </c>
      <c r="DR18" s="20">
        <f t="shared" si="16"/>
        <v>25.356819118778436</v>
      </c>
      <c r="DS18" s="59">
        <f t="shared" si="17"/>
        <v>225.82078314782026</v>
      </c>
      <c r="DT18" s="59">
        <f ca="1">AVERAGE(OFFSET($DS$3,0,0,'Données projet'!$E$14+1,1))-AVERAGE(OFFSET($H$3,0,0,'Données projet'!$E$14+1,1))</f>
        <v>349.56396446903</v>
      </c>
      <c r="DU18" s="59">
        <f t="shared" si="44"/>
        <v>270.64279448634522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5.8668181818181813</v>
      </c>
      <c r="EJ18" s="12">
        <f>IF('Données projet'!$A$192&gt;35,EJ17+EI18-ER17,IF(A18&lt;'Données projet'!$A$192,$EG$205^A18,IF(A18='Données projet'!$A$192,'Données projet'!$B$192,EJ17+EI18-ER17)))</f>
        <v>27.491540413830034</v>
      </c>
      <c r="EK18" s="17">
        <f>EJ18*VLOOKUP('Données projet'!$B$15,Paramètres!$A$1:$I$89,3,0)*VLOOKUP('Données projet'!$B$15,Paramètres!$A$1:$I$89,5,0)</f>
        <v>16.439941167470362</v>
      </c>
      <c r="EL18" s="13">
        <f t="shared" si="45"/>
        <v>5.4691713958708279</v>
      </c>
      <c r="EM18" s="20">
        <f t="shared" si="19"/>
        <v>38.158371047819237</v>
      </c>
      <c r="EN18" s="59">
        <f t="shared" si="20"/>
        <v>238.62233507686105</v>
      </c>
      <c r="EO18" s="59">
        <f ca="1">AVERAGE(OFFSET($EN$3,0,0,'Données projet'!$E$15+1,1))-AVERAGE(OFFSET($H$3,0,0,'Données projet'!$E$15+1,1))</f>
        <v>375.89365709113105</v>
      </c>
      <c r="EP18" s="59">
        <f t="shared" si="46"/>
        <v>279.39056561403834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7.1952941176470588</v>
      </c>
      <c r="FE18" s="12">
        <f>IF('Données projet'!$A$218&gt;35,FE17+FD18-FM17,IF(A18&lt;'Données projet'!$A$218,$FB$205^A18,IF(A18='Données projet'!$A$218,'Données projet'!$B$218,FE17+FD18-FM17)))</f>
        <v>69.487955592441367</v>
      </c>
      <c r="FF18" s="17">
        <f>FE18*VLOOKUP('Données projet'!$B$16,Paramètres!$A$1:$I$89,3,0)*VLOOKUP('Données projet'!$B$16,Paramètres!$A$1:$I$89,5,0)</f>
        <v>41.553797444279937</v>
      </c>
      <c r="FG18" s="13">
        <f t="shared" si="47"/>
        <v>12.409563214842624</v>
      </c>
      <c r="FH18" s="20">
        <f t="shared" si="22"/>
        <v>93.986186481305097</v>
      </c>
      <c r="FI18" s="59">
        <f t="shared" si="23"/>
        <v>294.45015051034693</v>
      </c>
      <c r="FJ18" s="59">
        <f ca="1">AVERAGE(OFFSET($FI$3,0,0,'Données projet'!$E$16+1,1))-AVERAGE(OFFSET($H$3,0,0,'Données projet'!$E$16+1,1))</f>
        <v>319.29539841078537</v>
      </c>
      <c r="FK18" s="59">
        <f t="shared" si="48"/>
        <v>327.26871144121412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11.239444444444445</v>
      </c>
      <c r="FZ18" s="12">
        <f>IF('Données projet'!$A$244&gt;35,FZ17+FY18-GH17,IF(A18&lt;'Données projet'!$A$244,$FW$205^A18,IF(A18='Données projet'!$A$244,'Données projet'!$B$244,FZ17+FY18-GH17)))</f>
        <v>83.498971304508402</v>
      </c>
      <c r="GA18" s="17">
        <f>FZ18*VLOOKUP('Données projet'!$B$17,Paramètres!$A$1:$I$89,3,0)*VLOOKUP('Données projet'!$B$17,Paramètres!$A$1:$I$89,5,0)</f>
        <v>36.90654531659272</v>
      </c>
      <c r="GB18" s="13">
        <f t="shared" si="49"/>
        <v>11.174925183006096</v>
      </c>
      <c r="GC18" s="20">
        <f t="shared" si="25"/>
        <v>83.741894453467935</v>
      </c>
      <c r="GD18" s="59">
        <f t="shared" si="26"/>
        <v>284.20585848250977</v>
      </c>
      <c r="GE18" s="59">
        <f ca="1">AVERAGE(OFFSET($GD$3,0,0,'Données projet'!$E$17+1,1))-AVERAGE(OFFSET($H$3,0,0,'Données projet'!$E$17+1,1))</f>
        <v>342.89128067483233</v>
      </c>
      <c r="GF18" s="59">
        <f t="shared" si="50"/>
        <v>453.47615302202996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49.671990189738679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5.8668181818181813</v>
      </c>
      <c r="GU18" s="12">
        <f>IF('Données projet'!$A$270&gt;35,GU17+GT18-HC17,IF(A18&lt;'Données projet'!$A$270,$GR$205^A18,IF(A18='Données projet'!$A$270,'Données projet'!$B$270,GU17+GT18-HC17)))</f>
        <v>27.491540413830034</v>
      </c>
      <c r="GV18" s="17">
        <f>GU18*VLOOKUP('Données projet'!$B$18,Paramètres!$A$1:$I$89,3,0)*VLOOKUP('Données projet'!$B$18,Paramètres!$A$1:$I$89,5,0)</f>
        <v>16.439941167470362</v>
      </c>
      <c r="GW18" s="13">
        <f t="shared" si="51"/>
        <v>5.4691713958708279</v>
      </c>
      <c r="GX18" s="20">
        <f t="shared" si="28"/>
        <v>38.158371047819237</v>
      </c>
      <c r="GY18" s="59">
        <f t="shared" si="29"/>
        <v>238.62233507686105</v>
      </c>
      <c r="GZ18" s="59">
        <f ca="1">AVERAGE(OFFSET($GY$3,0,0,'Données projet'!$E$18+1,1))-AVERAGE(OFFSET($H$3,0,0,'Données projet'!$E$18+1,1))</f>
        <v>375.89365709113105</v>
      </c>
      <c r="HA18" s="59">
        <f t="shared" si="52"/>
        <v>279.39056561403834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178.09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56.273389714285692</v>
      </c>
      <c r="P19" s="13">
        <f t="shared" si="33"/>
        <v>16.222577706752112</v>
      </c>
      <c r="Q19" s="20">
        <f t="shared" si="2"/>
        <v>126.26380992497417</v>
      </c>
      <c r="R19" s="59">
        <f t="shared" si="0"/>
        <v>329.24302976272202</v>
      </c>
      <c r="S19" s="59">
        <f ca="1">AVERAGE(OFFSET($R$3,0,0,'Données projet'!$E$9+1,1))-AVERAGE(OFFSET($H$3,0,0,'Données projet'!$E$9+1,1))</f>
        <v>631.31712308065664</v>
      </c>
      <c r="T19" s="59">
        <f t="shared" si="34"/>
        <v>290.92244624361285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3.8113157894736847</v>
      </c>
      <c r="AI19" s="13">
        <f>IF('Données projet'!$A$62&gt;35,AI18+AH19-AQ18,IF(A19&lt;'Données projet'!$A$62,$AF$205^A19,IF(A19='Données projet'!$A$62,'Données projet'!$B$62,AI18+AH19-AQ18)))</f>
        <v>60.981052631578933</v>
      </c>
      <c r="AJ19" s="13">
        <f>AI19*VLOOKUP('Données projet'!$B$10,Paramètres!$A$1:$I$89,3,0)*VLOOKUP('Données projet'!$B$10,Paramètres!$A$1:$I$89,5,0)</f>
        <v>51.370438736842104</v>
      </c>
      <c r="AK19" s="13">
        <f t="shared" si="35"/>
        <v>14.967122547060546</v>
      </c>
      <c r="AL19" s="20">
        <f t="shared" si="4"/>
        <v>115.53791923613043</v>
      </c>
      <c r="AM19" s="59">
        <f t="shared" si="5"/>
        <v>318.5171390738783</v>
      </c>
      <c r="AN19" s="59">
        <f ca="1">AVERAGE(OFFSET($AM$3,0,0,'Données projet'!$E$10+1,1))-AVERAGE(OFFSET($H$3,0,0,'Données projet'!$E$10+1,1))</f>
        <v>401.19166052471473</v>
      </c>
      <c r="AO19" s="59">
        <f t="shared" si="36"/>
        <v>271.10067497534271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63.065005714285689</v>
      </c>
      <c r="BF19" s="13">
        <f t="shared" si="37"/>
        <v>17.940937362438909</v>
      </c>
      <c r="BG19" s="20">
        <f t="shared" si="7"/>
        <v>141.08535085862869</v>
      </c>
      <c r="BH19" s="59">
        <f t="shared" si="8"/>
        <v>344.06457069637656</v>
      </c>
      <c r="BI19" s="59">
        <f ca="1">AVERAGE(OFFSET($BH$3,0,0,'Données projet'!$E$11+1,1))-AVERAGE(OFFSET($H$3,0,0,'Données projet'!$E$11+1,1))</f>
        <v>695.93700574708214</v>
      </c>
      <c r="BJ19" s="59">
        <f t="shared" si="38"/>
        <v>318.31690229208471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10.199999999999999</v>
      </c>
      <c r="BY19" s="12">
        <f>IF('Données projet'!$A$114&gt;35,BY18+BX19-CG18,IF(A19&lt;'Données projet'!$A$114,$BV$205^A19,IF(A19='Données projet'!$A$114,'Données projet'!$B$114,BY18+BX19-CG18)))</f>
        <v>43.2</v>
      </c>
      <c r="BZ19" s="13">
        <f>BY19*VLOOKUP('Données projet'!$B$12,Paramètres!$A$1:$I$89,3,0)*VLOOKUP('Données projet'!$B$12,Paramètres!$A$1:$I$89,5,0)</f>
        <v>28.304640000000003</v>
      </c>
      <c r="CA19" s="13">
        <f t="shared" si="39"/>
        <v>8.8392104022316804</v>
      </c>
      <c r="CB19" s="20">
        <f t="shared" si="10"/>
        <v>64.692206117220181</v>
      </c>
      <c r="CC19" s="59">
        <f t="shared" si="11"/>
        <v>267.67142595496807</v>
      </c>
      <c r="CD19" s="59">
        <f ca="1">AVERAGE(OFFSET($CC$3,0,0,'Données projet'!$E$12+1,1))-AVERAGE(OFFSET($H$3,0,0,'Données projet'!$E$12+1,1))</f>
        <v>260.25859566735949</v>
      </c>
      <c r="CE19" s="59">
        <f t="shared" si="40"/>
        <v>256.93649773468667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10.199999999999999</v>
      </c>
      <c r="CT19" s="12">
        <f>IF('Données projet'!$A$140&gt;35,CT18+CS19-DB18,IF(A19&lt;'Données projet'!$A$140,$CQ$205^A19,IF(A19='Données projet'!$A$140,'Données projet'!$B$140,CT18+CS19-DB18)))</f>
        <v>43.2</v>
      </c>
      <c r="CU19" s="17">
        <f>CT19*VLOOKUP('Données projet'!$B$13,Paramètres!$A$1:$I$89,3,0)*VLOOKUP('Données projet'!$B$13,Paramètres!$A$1:$I$89,5,0)</f>
        <v>28.304640000000003</v>
      </c>
      <c r="CV19" s="13">
        <f t="shared" si="41"/>
        <v>8.8392104022316804</v>
      </c>
      <c r="CW19" s="20">
        <f t="shared" si="13"/>
        <v>64.692206117220181</v>
      </c>
      <c r="CX19" s="59">
        <f t="shared" si="14"/>
        <v>267.67142595496807</v>
      </c>
      <c r="CY19" s="59">
        <f ca="1">AVERAGE(OFFSET($CX$3,0,0,'Données projet'!$E$13+1,1))-AVERAGE(OFFSET($H$3,0,0,'Données projet'!$E$13+1,1))</f>
        <v>260.25859566735949</v>
      </c>
      <c r="CZ19" s="59">
        <f t="shared" si="42"/>
        <v>256.93649773468667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7.3233333333333333</v>
      </c>
      <c r="DO19" s="12">
        <f>IF('Données projet'!$A$166&gt;35,DO18+DN19-DW18,IF(A19&lt;'Données projet'!$A$166,$DL$205^A19,IF(A19='Données projet'!$A$166,'Données projet'!$B$166,DO18+DN19-DW18)))</f>
        <v>22.942228180166932</v>
      </c>
      <c r="DP19" s="17">
        <f>DO19*VLOOKUP('Données projet'!$B$14,Paramètres!$A$1:$I$89,3,0)*VLOOKUP('Données projet'!$B$14,Paramètres!$A$1:$I$89,5,0)</f>
        <v>13.122954519055487</v>
      </c>
      <c r="DQ19" s="13">
        <f t="shared" si="43"/>
        <v>4.4817209028397782</v>
      </c>
      <c r="DR19" s="20">
        <f t="shared" si="16"/>
        <v>30.661476359800918</v>
      </c>
      <c r="DS19" s="59">
        <f t="shared" si="17"/>
        <v>233.64069619754881</v>
      </c>
      <c r="DT19" s="59">
        <f ca="1">AVERAGE(OFFSET($DS$3,0,0,'Données projet'!$E$14+1,1))-AVERAGE(OFFSET($H$3,0,0,'Données projet'!$E$14+1,1))</f>
        <v>349.56396446903</v>
      </c>
      <c r="DU19" s="59">
        <f t="shared" si="44"/>
        <v>270.64279448634522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5.8668181818181813</v>
      </c>
      <c r="EJ19" s="12">
        <f>IF('Données projet'!$A$192&gt;35,EJ18+EI19-ER18,IF(A19&lt;'Données projet'!$A$192,$EG$205^A19,IF(A19='Données projet'!$A$192,'Données projet'!$B$192,EJ18+EI19-ER18)))</f>
        <v>34.288278409507839</v>
      </c>
      <c r="EK19" s="17">
        <f>EJ19*VLOOKUP('Données projet'!$B$15,Paramètres!$A$1:$I$89,3,0)*VLOOKUP('Données projet'!$B$15,Paramètres!$A$1:$I$89,5,0)</f>
        <v>20.50439048888569</v>
      </c>
      <c r="EL19" s="13">
        <f t="shared" si="45"/>
        <v>6.6481368994289252</v>
      </c>
      <c r="EM19" s="20">
        <f t="shared" si="19"/>
        <v>47.290651867981289</v>
      </c>
      <c r="EN19" s="59">
        <f t="shared" si="20"/>
        <v>250.26987170572917</v>
      </c>
      <c r="EO19" s="59">
        <f ca="1">AVERAGE(OFFSET($EN$3,0,0,'Données projet'!$E$15+1,1))-AVERAGE(OFFSET($H$3,0,0,'Données projet'!$E$15+1,1))</f>
        <v>375.89365709113105</v>
      </c>
      <c r="EP19" s="59">
        <f t="shared" si="46"/>
        <v>279.39056561403834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7.1952941176470588</v>
      </c>
      <c r="FE19" s="12">
        <f>IF('Données projet'!$A$218&gt;35,FE18+FD19-FM18,IF(A19&lt;'Données projet'!$A$218,$FB$205^A19,IF(A19='Données projet'!$A$218,'Données projet'!$B$218,FE18+FD19-FM18)))</f>
        <v>92.194179469570756</v>
      </c>
      <c r="FF19" s="17">
        <f>FE19*VLOOKUP('Données projet'!$B$16,Paramètres!$A$1:$I$89,3,0)*VLOOKUP('Données projet'!$B$16,Paramètres!$A$1:$I$89,5,0)</f>
        <v>55.13211932280332</v>
      </c>
      <c r="FG19" s="13">
        <f t="shared" si="47"/>
        <v>15.931521231978957</v>
      </c>
      <c r="FH19" s="20">
        <f t="shared" si="22"/>
        <v>123.76917396624582</v>
      </c>
      <c r="FI19" s="59">
        <f t="shared" si="23"/>
        <v>326.74839380399368</v>
      </c>
      <c r="FJ19" s="59">
        <f ca="1">AVERAGE(OFFSET($FI$3,0,0,'Données projet'!$E$16+1,1))-AVERAGE(OFFSET($H$3,0,0,'Données projet'!$E$16+1,1))</f>
        <v>319.29539841078537</v>
      </c>
      <c r="FK19" s="59">
        <f t="shared" si="48"/>
        <v>327.26871144121412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11.239444444444445</v>
      </c>
      <c r="FZ19" s="12">
        <f>IF('Données projet'!$A$244&gt;35,FZ18+FY19-GH18,IF(A19&lt;'Données projet'!$A$244,$FW$205^A19,IF(A19='Données projet'!$A$244,'Données projet'!$B$244,FZ18+FY19-GH18)))</f>
        <v>112.14843049937892</v>
      </c>
      <c r="GA19" s="17">
        <f>FZ19*VLOOKUP('Données projet'!$B$17,Paramètres!$A$1:$I$89,3,0)*VLOOKUP('Données projet'!$B$17,Paramètres!$A$1:$I$89,5,0)</f>
        <v>49.569606280725488</v>
      </c>
      <c r="GB19" s="13">
        <f t="shared" si="49"/>
        <v>14.502552745147833</v>
      </c>
      <c r="GC19" s="20">
        <f t="shared" si="25"/>
        <v>111.59234363672935</v>
      </c>
      <c r="GD19" s="59">
        <f t="shared" si="26"/>
        <v>314.57156347447722</v>
      </c>
      <c r="GE19" s="59">
        <f ca="1">AVERAGE(OFFSET($GD$3,0,0,'Données projet'!$E$17+1,1))-AVERAGE(OFFSET($H$3,0,0,'Données projet'!$E$17+1,1))</f>
        <v>342.89128067483233</v>
      </c>
      <c r="GF19" s="59">
        <f t="shared" si="50"/>
        <v>453.47615302202996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50.024635713325175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5.8668181818181813</v>
      </c>
      <c r="GU19" s="12">
        <f>IF('Données projet'!$A$270&gt;35,GU18+GT19-HC18,IF(A19&lt;'Données projet'!$A$270,$GR$205^A19,IF(A19='Données projet'!$A$270,'Données projet'!$B$270,GU18+GT19-HC18)))</f>
        <v>34.288278409507839</v>
      </c>
      <c r="GV19" s="17">
        <f>GU19*VLOOKUP('Données projet'!$B$18,Paramètres!$A$1:$I$89,3,0)*VLOOKUP('Données projet'!$B$18,Paramètres!$A$1:$I$89,5,0)</f>
        <v>20.50439048888569</v>
      </c>
      <c r="GW19" s="13">
        <f t="shared" si="51"/>
        <v>6.6481368994289252</v>
      </c>
      <c r="GX19" s="20">
        <f t="shared" si="28"/>
        <v>47.290651867981289</v>
      </c>
      <c r="GY19" s="59">
        <f t="shared" si="29"/>
        <v>250.26987170572917</v>
      </c>
      <c r="GZ19" s="59">
        <f ca="1">AVERAGE(OFFSET($GY$3,0,0,'Données projet'!$E$18+1,1))-AVERAGE(OFFSET($H$3,0,0,'Données projet'!$E$18+1,1))</f>
        <v>375.89365709113105</v>
      </c>
      <c r="HA19" s="59">
        <f t="shared" si="52"/>
        <v>279.39056561403834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178.09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59.790476571428549</v>
      </c>
      <c r="P20" s="13">
        <f t="shared" si="33"/>
        <v>17.115284135607041</v>
      </c>
      <c r="Q20" s="20">
        <f t="shared" si="2"/>
        <v>133.94419989808699</v>
      </c>
      <c r="R20" s="59">
        <f t="shared" si="0"/>
        <v>339.41624430260543</v>
      </c>
      <c r="S20" s="59">
        <f ca="1">AVERAGE(OFFSET($R$3,0,0,'Données projet'!$E$9+1,1))-AVERAGE(OFFSET($H$3,0,0,'Données projet'!$E$9+1,1))</f>
        <v>631.31712308065664</v>
      </c>
      <c r="T20" s="59">
        <f t="shared" si="34"/>
        <v>290.92244624361285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3.8113157894736847</v>
      </c>
      <c r="AI20" s="13">
        <f>IF('Données projet'!$A$62&gt;35,AI19+AH20-AQ19,IF(A20&lt;'Données projet'!$A$62,$AF$205^A20,IF(A20='Données projet'!$A$62,'Données projet'!$B$62,AI19+AH20-AQ19)))</f>
        <v>64.792368421052615</v>
      </c>
      <c r="AJ20" s="13">
        <f>AI20*VLOOKUP('Données projet'!$B$10,Paramètres!$A$1:$I$89,3,0)*VLOOKUP('Données projet'!$B$10,Paramètres!$A$1:$I$89,5,0)</f>
        <v>54.581091157894733</v>
      </c>
      <c r="AK20" s="13">
        <f t="shared" si="35"/>
        <v>15.790742982773375</v>
      </c>
      <c r="AL20" s="20">
        <f t="shared" si="4"/>
        <v>122.56427779499695</v>
      </c>
      <c r="AM20" s="59">
        <f t="shared" si="5"/>
        <v>328.03632219951538</v>
      </c>
      <c r="AN20" s="59">
        <f ca="1">AVERAGE(OFFSET($AM$3,0,0,'Données projet'!$E$10+1,1))-AVERAGE(OFFSET($H$3,0,0,'Données projet'!$E$10+1,1))</f>
        <v>401.19166052471473</v>
      </c>
      <c r="AO20" s="59">
        <f t="shared" si="36"/>
        <v>271.10067497534271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67.006568571428559</v>
      </c>
      <c r="BF20" s="13">
        <f t="shared" si="37"/>
        <v>18.928202790452044</v>
      </c>
      <c r="BG20" s="20">
        <f t="shared" si="7"/>
        <v>149.66972678860873</v>
      </c>
      <c r="BH20" s="59">
        <f t="shared" si="8"/>
        <v>355.14177119312717</v>
      </c>
      <c r="BI20" s="59">
        <f ca="1">AVERAGE(OFFSET($BH$3,0,0,'Données projet'!$E$11+1,1))-AVERAGE(OFFSET($H$3,0,0,'Données projet'!$E$11+1,1))</f>
        <v>695.93700574708214</v>
      </c>
      <c r="BJ20" s="59">
        <f t="shared" si="38"/>
        <v>318.31690229208471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10.199999999999999</v>
      </c>
      <c r="BY20" s="12">
        <f>IF('Données projet'!$A$114&gt;35,BY19+BX20-CG19,IF(A20&lt;'Données projet'!$A$114,$BV$205^A20,IF(A20='Données projet'!$A$114,'Données projet'!$B$114,BY19+BX20-CG19)))</f>
        <v>53.400000000000006</v>
      </c>
      <c r="BZ20" s="13">
        <f>BY20*VLOOKUP('Données projet'!$B$12,Paramètres!$A$1:$I$89,3,0)*VLOOKUP('Données projet'!$B$12,Paramètres!$A$1:$I$89,5,0)</f>
        <v>34.987680000000005</v>
      </c>
      <c r="CA20" s="13">
        <f t="shared" si="39"/>
        <v>10.65995785514129</v>
      </c>
      <c r="CB20" s="20">
        <f t="shared" si="10"/>
        <v>79.502969264371089</v>
      </c>
      <c r="CC20" s="59">
        <f t="shared" si="11"/>
        <v>284.97501366888952</v>
      </c>
      <c r="CD20" s="59">
        <f ca="1">AVERAGE(OFFSET($CC$3,0,0,'Données projet'!$E$12+1,1))-AVERAGE(OFFSET($H$3,0,0,'Données projet'!$E$12+1,1))</f>
        <v>260.25859566735949</v>
      </c>
      <c r="CE20" s="59">
        <f t="shared" si="40"/>
        <v>256.93649773468667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10.199999999999999</v>
      </c>
      <c r="CT20" s="12">
        <f>IF('Données projet'!$A$140&gt;35,CT19+CS20-DB19,IF(A20&lt;'Données projet'!$A$140,$CQ$205^A20,IF(A20='Données projet'!$A$140,'Données projet'!$B$140,CT19+CS20-DB19)))</f>
        <v>53.400000000000006</v>
      </c>
      <c r="CU20" s="17">
        <f>CT20*VLOOKUP('Données projet'!$B$13,Paramètres!$A$1:$I$89,3,0)*VLOOKUP('Données projet'!$B$13,Paramètres!$A$1:$I$89,5,0)</f>
        <v>34.987680000000005</v>
      </c>
      <c r="CV20" s="13">
        <f t="shared" si="41"/>
        <v>10.65995785514129</v>
      </c>
      <c r="CW20" s="20">
        <f t="shared" si="13"/>
        <v>79.502969264371089</v>
      </c>
      <c r="CX20" s="59">
        <f t="shared" si="14"/>
        <v>284.97501366888952</v>
      </c>
      <c r="CY20" s="59">
        <f ca="1">AVERAGE(OFFSET($CX$3,0,0,'Données projet'!$E$13+1,1))-AVERAGE(OFFSET($H$3,0,0,'Données projet'!$E$13+1,1))</f>
        <v>260.25859566735949</v>
      </c>
      <c r="CZ20" s="59">
        <f t="shared" si="42"/>
        <v>256.93649773468667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7.3233333333333333</v>
      </c>
      <c r="DO20" s="12">
        <f>IF('Données projet'!$A$166&gt;35,DO19+DN20-DW19,IF(A20&lt;'Données projet'!$A$166,$DL$205^A20,IF(A20='Données projet'!$A$166,'Données projet'!$B$166,DO19+DN20-DW19)))</f>
        <v>27.904569035372106</v>
      </c>
      <c r="DP20" s="17">
        <f>DO20*VLOOKUP('Données projet'!$B$14,Paramètres!$A$1:$I$89,3,0)*VLOOKUP('Données projet'!$B$14,Paramètres!$A$1:$I$89,5,0)</f>
        <v>15.961413488232845</v>
      </c>
      <c r="DQ20" s="13">
        <f t="shared" si="43"/>
        <v>5.3282661292364955</v>
      </c>
      <c r="DR20" s="20">
        <f t="shared" si="16"/>
        <v>37.079525333759101</v>
      </c>
      <c r="DS20" s="59">
        <f t="shared" si="17"/>
        <v>242.55156973827755</v>
      </c>
      <c r="DT20" s="59">
        <f ca="1">AVERAGE(OFFSET($DS$3,0,0,'Données projet'!$E$14+1,1))-AVERAGE(OFFSET($H$3,0,0,'Données projet'!$E$14+1,1))</f>
        <v>349.56396446903</v>
      </c>
      <c r="DU20" s="59">
        <f t="shared" si="44"/>
        <v>270.64279448634522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5.8668181818181813</v>
      </c>
      <c r="EJ20" s="12">
        <f>IF('Données projet'!$A$192&gt;35,EJ19+EI20-ER19,IF(A20&lt;'Données projet'!$A$192,$EG$205^A20,IF(A20='Données projet'!$A$192,'Données projet'!$B$192,EJ19+EI20-ER19)))</f>
        <v>42.765375042297542</v>
      </c>
      <c r="EK20" s="17">
        <f>EJ20*VLOOKUP('Données projet'!$B$15,Paramètres!$A$1:$I$89,3,0)*VLOOKUP('Données projet'!$B$15,Paramètres!$A$1:$I$89,5,0)</f>
        <v>25.573694275293931</v>
      </c>
      <c r="EL20" s="13">
        <f t="shared" si="45"/>
        <v>8.0812468716773616</v>
      </c>
      <c r="EM20" s="20">
        <f t="shared" si="19"/>
        <v>58.615689164308343</v>
      </c>
      <c r="EN20" s="59">
        <f t="shared" si="20"/>
        <v>264.08773356882676</v>
      </c>
      <c r="EO20" s="59">
        <f ca="1">AVERAGE(OFFSET($EN$3,0,0,'Données projet'!$E$15+1,1))-AVERAGE(OFFSET($H$3,0,0,'Données projet'!$E$15+1,1))</f>
        <v>375.89365709113105</v>
      </c>
      <c r="EP20" s="59">
        <f t="shared" si="46"/>
        <v>279.39056561403834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>
        <f>VLOOKUP(A20,'Données projet'!$A$217:$I$237,2,0)</f>
        <v>122.32</v>
      </c>
      <c r="FC20" s="12">
        <f>VLOOKUP(A20,'Données projet'!$A$217:$I$237,9,0)</f>
        <v>7.1952941176470588</v>
      </c>
      <c r="FD20" s="12">
        <f t="array" ref="FD20">INDEX(FC:FC,MIN(IF(ISNUMBER(FC20:FC216),ROW(FC20:FC216),"")))</f>
        <v>7.1952941176470588</v>
      </c>
      <c r="FE20" s="12">
        <f>IF('Données projet'!$A$218&gt;35,FE19+FD20-FM19,IF(A20&lt;'Données projet'!$A$218,$FB$205^A20,IF(A20='Données projet'!$A$218,'Données projet'!$B$218,FE19+FD20-FM19)))</f>
        <v>122.32</v>
      </c>
      <c r="FF20" s="17">
        <f>FE20*VLOOKUP('Données projet'!$B$16,Paramètres!$A$1:$I$89,3,0)*VLOOKUP('Données projet'!$B$16,Paramètres!$A$1:$I$89,5,0)</f>
        <v>73.147360000000006</v>
      </c>
      <c r="FG20" s="13">
        <f t="shared" si="47"/>
        <v>20.453046120222783</v>
      </c>
      <c r="FH20" s="20">
        <f t="shared" si="22"/>
        <v>163.02070732605469</v>
      </c>
      <c r="FI20" s="59">
        <f t="shared" si="23"/>
        <v>368.4927517305731</v>
      </c>
      <c r="FJ20" s="59">
        <f ca="1">AVERAGE(OFFSET($FI$3,0,0,'Données projet'!$E$16+1,1))-AVERAGE(OFFSET($H$3,0,0,'Données projet'!$E$16+1,1))</f>
        <v>319.29539841078537</v>
      </c>
      <c r="FK20" s="59">
        <f t="shared" si="48"/>
        <v>327.26871144121412</v>
      </c>
      <c r="FL20" s="15">
        <f>IF(ISNA(VLOOKUP(A20,'Données projet'!$A$217:$I$237,3,0)),0,VLOOKUP(A20,'Données projet'!$A$217:$I$237,3,0))</f>
        <v>1</v>
      </c>
      <c r="FM20" s="15">
        <f>IF(ISNA(VLOOKUP(A20,'Données projet'!$A$217:$I$237,4,0)),0,VLOOKUP(A20,'Données projet'!$A$217:$I$237,4,0))</f>
        <v>40.76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0.45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14.49315281448583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14.49315281448583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11.239444444444445</v>
      </c>
      <c r="FZ20" s="12">
        <f>IF('Données projet'!$A$244&gt;35,FZ19+FY20-GH19,IF(A20&lt;'Données projet'!$A$244,$FW$205^A20,IF(A20='Données projet'!$A$244,'Données projet'!$B$244,FZ19+FY20-GH19)))</f>
        <v>150.62784926543083</v>
      </c>
      <c r="GA20" s="17">
        <f>FZ20*VLOOKUP('Données projet'!$B$17,Paramètres!$A$1:$I$89,3,0)*VLOOKUP('Données projet'!$B$17,Paramètres!$A$1:$I$89,5,0)</f>
        <v>66.577509375320432</v>
      </c>
      <c r="GB20" s="13">
        <f t="shared" si="49"/>
        <v>18.821068837725953</v>
      </c>
      <c r="GC20" s="20">
        <f t="shared" si="25"/>
        <v>148.73585705438913</v>
      </c>
      <c r="GD20" s="59">
        <f t="shared" si="26"/>
        <v>354.2079014589076</v>
      </c>
      <c r="GE20" s="59">
        <f ca="1">AVERAGE(OFFSET($GD$3,0,0,'Données projet'!$E$17+1,1))-AVERAGE(OFFSET($H$3,0,0,'Données projet'!$E$17+1,1))</f>
        <v>342.89128067483233</v>
      </c>
      <c r="GF20" s="59">
        <f t="shared" si="50"/>
        <v>453.47615302202996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50.371163625474729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5.8668181818181813</v>
      </c>
      <c r="GU20" s="12">
        <f>IF('Données projet'!$A$270&gt;35,GU19+GT20-HC19,IF(A20&lt;'Données projet'!$A$270,$GR$205^A20,IF(A20='Données projet'!$A$270,'Données projet'!$B$270,GU19+GT20-HC19)))</f>
        <v>42.765375042297542</v>
      </c>
      <c r="GV20" s="17">
        <f>GU20*VLOOKUP('Données projet'!$B$18,Paramètres!$A$1:$I$89,3,0)*VLOOKUP('Données projet'!$B$18,Paramètres!$A$1:$I$89,5,0)</f>
        <v>25.573694275293931</v>
      </c>
      <c r="GW20" s="13">
        <f t="shared" si="51"/>
        <v>8.0812468716773616</v>
      </c>
      <c r="GX20" s="20">
        <f t="shared" si="28"/>
        <v>58.615689164308343</v>
      </c>
      <c r="GY20" s="59">
        <f t="shared" si="29"/>
        <v>264.08773356882676</v>
      </c>
      <c r="GZ20" s="59">
        <f ca="1">AVERAGE(OFFSET($GY$3,0,0,'Données projet'!$E$18+1,1))-AVERAGE(OFFSET($H$3,0,0,'Données projet'!$E$18+1,1))</f>
        <v>375.89365709113105</v>
      </c>
      <c r="HA20" s="59">
        <f t="shared" si="52"/>
        <v>279.39056561403834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178.09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63.307563428571406</v>
      </c>
      <c r="P21" s="13">
        <f t="shared" si="33"/>
        <v>18.001895319269028</v>
      </c>
      <c r="Q21" s="20">
        <f t="shared" si="2"/>
        <v>141.61397398582207</v>
      </c>
      <c r="R21" s="59">
        <f t="shared" si="0"/>
        <v>349.55680084707444</v>
      </c>
      <c r="S21" s="59">
        <f ca="1">AVERAGE(OFFSET($R$3,0,0,'Données projet'!$E$9+1,1))-AVERAGE(OFFSET($H$3,0,0,'Données projet'!$E$9+1,1))</f>
        <v>631.31712308065664</v>
      </c>
      <c r="T21" s="59">
        <f t="shared" si="34"/>
        <v>290.92244624361285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3.8113157894736847</v>
      </c>
      <c r="AI21" s="13">
        <f>IF('Données projet'!$A$62&gt;35,AI20+AH21-AQ20,IF(A21&lt;'Données projet'!$A$62,$AF$205^A21,IF(A21='Données projet'!$A$62,'Données projet'!$B$62,AI20+AH21-AQ20)))</f>
        <v>68.603684210526296</v>
      </c>
      <c r="AJ21" s="13">
        <f>AI21*VLOOKUP('Données projet'!$B$10,Paramètres!$A$1:$I$89,3,0)*VLOOKUP('Données projet'!$B$10,Paramètres!$A$1:$I$89,5,0)</f>
        <v>57.791743578947354</v>
      </c>
      <c r="AK21" s="13">
        <f t="shared" si="35"/>
        <v>16.608739880512992</v>
      </c>
      <c r="AL21" s="20">
        <f t="shared" si="4"/>
        <v>129.58084202522676</v>
      </c>
      <c r="AM21" s="59">
        <f t="shared" si="5"/>
        <v>337.52366888647907</v>
      </c>
      <c r="AN21" s="59">
        <f ca="1">AVERAGE(OFFSET($AM$3,0,0,'Données projet'!$E$10+1,1))-AVERAGE(OFFSET($H$3,0,0,'Données projet'!$E$10+1,1))</f>
        <v>401.19166052471473</v>
      </c>
      <c r="AO21" s="59">
        <f t="shared" si="36"/>
        <v>271.10067497534271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70.948131428571415</v>
      </c>
      <c r="BF21" s="13">
        <f t="shared" si="37"/>
        <v>19.908727340770373</v>
      </c>
      <c r="BG21" s="20">
        <f t="shared" si="7"/>
        <v>158.24236235660359</v>
      </c>
      <c r="BH21" s="59">
        <f t="shared" si="8"/>
        <v>366.18518921785596</v>
      </c>
      <c r="BI21" s="59">
        <f ca="1">AVERAGE(OFFSET($BH$3,0,0,'Données projet'!$E$11+1,1))-AVERAGE(OFFSET($H$3,0,0,'Données projet'!$E$11+1,1))</f>
        <v>695.93700574708214</v>
      </c>
      <c r="BJ21" s="59">
        <f t="shared" si="38"/>
        <v>318.31690229208471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10.199999999999999</v>
      </c>
      <c r="BY21" s="12">
        <f>IF('Données projet'!$A$114&gt;35,BY20+BX21-CG20,IF(A21&lt;'Données projet'!$A$114,$BV$205^A21,IF(A21='Données projet'!$A$114,'Données projet'!$B$114,BY20+BX21-CG20)))</f>
        <v>63.600000000000009</v>
      </c>
      <c r="BZ21" s="13">
        <f>BY21*VLOOKUP('Données projet'!$B$12,Paramètres!$A$1:$I$89,3,0)*VLOOKUP('Données projet'!$B$12,Paramètres!$A$1:$I$89,5,0)</f>
        <v>41.67072000000001</v>
      </c>
      <c r="CA21" s="13">
        <f t="shared" si="39"/>
        <v>12.440411337011152</v>
      </c>
      <c r="CB21" s="20">
        <f t="shared" si="10"/>
        <v>94.243553745294435</v>
      </c>
      <c r="CC21" s="59">
        <f t="shared" si="11"/>
        <v>302.18638060654678</v>
      </c>
      <c r="CD21" s="59">
        <f ca="1">AVERAGE(OFFSET($CC$3,0,0,'Données projet'!$E$12+1,1))-AVERAGE(OFFSET($H$3,0,0,'Données projet'!$E$12+1,1))</f>
        <v>260.25859566735949</v>
      </c>
      <c r="CE21" s="59">
        <f t="shared" si="40"/>
        <v>256.93649773468667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10.199999999999999</v>
      </c>
      <c r="CT21" s="12">
        <f>IF('Données projet'!$A$140&gt;35,CT20+CS21-DB20,IF(A21&lt;'Données projet'!$A$140,$CQ$205^A21,IF(A21='Données projet'!$A$140,'Données projet'!$B$140,CT20+CS21-DB20)))</f>
        <v>63.600000000000009</v>
      </c>
      <c r="CU21" s="17">
        <f>CT21*VLOOKUP('Données projet'!$B$13,Paramètres!$A$1:$I$89,3,0)*VLOOKUP('Données projet'!$B$13,Paramètres!$A$1:$I$89,5,0)</f>
        <v>41.67072000000001</v>
      </c>
      <c r="CV21" s="13">
        <f t="shared" si="41"/>
        <v>12.440411337011152</v>
      </c>
      <c r="CW21" s="20">
        <f t="shared" si="13"/>
        <v>94.243553745294435</v>
      </c>
      <c r="CX21" s="59">
        <f t="shared" si="14"/>
        <v>302.18638060654678</v>
      </c>
      <c r="CY21" s="59">
        <f ca="1">AVERAGE(OFFSET($CX$3,0,0,'Données projet'!$E$13+1,1))-AVERAGE(OFFSET($H$3,0,0,'Données projet'!$E$13+1,1))</f>
        <v>260.25859566735949</v>
      </c>
      <c r="CZ21" s="59">
        <f t="shared" si="42"/>
        <v>256.93649773468667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7.3233333333333333</v>
      </c>
      <c r="DO21" s="12">
        <f>IF('Données projet'!$A$166&gt;35,DO20+DN21-DW20,IF(A21&lt;'Données projet'!$A$166,$DL$205^A21,IF(A21='Données projet'!$A$166,'Données projet'!$B$166,DO20+DN21-DW20)))</f>
        <v>33.940250569166032</v>
      </c>
      <c r="DP21" s="17">
        <f>DO21*VLOOKUP('Données projet'!$B$14,Paramètres!$A$1:$I$89,3,0)*VLOOKUP('Données projet'!$B$14,Paramètres!$A$1:$I$89,5,0)</f>
        <v>19.413823325562969</v>
      </c>
      <c r="DQ21" s="13">
        <f t="shared" si="43"/>
        <v>6.334713954628385</v>
      </c>
      <c r="DR21" s="20">
        <f t="shared" si="16"/>
        <v>44.845369096333279</v>
      </c>
      <c r="DS21" s="59">
        <f t="shared" si="17"/>
        <v>252.78819595758563</v>
      </c>
      <c r="DT21" s="59">
        <f ca="1">AVERAGE(OFFSET($DS$3,0,0,'Données projet'!$E$14+1,1))-AVERAGE(OFFSET($H$3,0,0,'Données projet'!$E$14+1,1))</f>
        <v>349.56396446903</v>
      </c>
      <c r="DU21" s="59">
        <f t="shared" si="44"/>
        <v>270.64279448634522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5.8668181818181813</v>
      </c>
      <c r="EJ21" s="12">
        <f>IF('Données projet'!$A$192&gt;35,EJ20+EI21-ER20,IF(A21&lt;'Données projet'!$A$192,$EG$205^A21,IF(A21='Données projet'!$A$192,'Données projet'!$B$192,EJ20+EI21-ER20)))</f>
        <v>53.338265650608868</v>
      </c>
      <c r="EK21" s="17">
        <f>EJ21*VLOOKUP('Données projet'!$B$15,Paramètres!$A$1:$I$89,3,0)*VLOOKUP('Données projet'!$B$15,Paramètres!$A$1:$I$89,5,0)</f>
        <v>31.896282859064108</v>
      </c>
      <c r="EL21" s="13">
        <f t="shared" si="45"/>
        <v>9.8232861309767845</v>
      </c>
      <c r="EM21" s="20">
        <f t="shared" si="19"/>
        <v>72.661582657654549</v>
      </c>
      <c r="EN21" s="59">
        <f t="shared" si="20"/>
        <v>280.60440951890689</v>
      </c>
      <c r="EO21" s="59">
        <f ca="1">AVERAGE(OFFSET($EN$3,0,0,'Données projet'!$E$15+1,1))-AVERAGE(OFFSET($H$3,0,0,'Données projet'!$E$15+1,1))</f>
        <v>375.89365709113105</v>
      </c>
      <c r="EP21" s="59">
        <f t="shared" si="46"/>
        <v>279.39056561403834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17.686666666666667</v>
      </c>
      <c r="FE21" s="12">
        <f>IF('Données projet'!$A$218&gt;35,FE20+FD21-FM20,IF(A21&lt;'Données projet'!$A$218,$FB$205^A21,IF(A21='Données projet'!$A$218,'Données projet'!$B$218,FE20+FD21-FM20)))</f>
        <v>99.24666666666667</v>
      </c>
      <c r="FF21" s="17">
        <f>FE21*VLOOKUP('Données projet'!$B$16,Paramètres!$A$1:$I$89,3,0)*VLOOKUP('Données projet'!$B$16,Paramètres!$A$1:$I$89,5,0)</f>
        <v>59.34950666666667</v>
      </c>
      <c r="FG21" s="13">
        <f t="shared" si="47"/>
        <v>17.003699693551216</v>
      </c>
      <c r="FH21" s="20">
        <f t="shared" si="22"/>
        <v>132.98183441071282</v>
      </c>
      <c r="FI21" s="59">
        <f t="shared" si="23"/>
        <v>340.92466127196519</v>
      </c>
      <c r="FJ21" s="59">
        <f ca="1">AVERAGE(OFFSET($FI$3,0,0,'Données projet'!$E$16+1,1))-AVERAGE(OFFSET($H$3,0,0,'Données projet'!$E$16+1,1))</f>
        <v>319.29539841078537</v>
      </c>
      <c r="FK21" s="59">
        <f t="shared" si="48"/>
        <v>327.26871144121412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14.096836788611933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14.096836788611933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>
        <f>VLOOKUP(A21,'Données projet'!$A$243:$I$263,2,0)</f>
        <v>202.31</v>
      </c>
      <c r="FX21" s="12">
        <f>VLOOKUP(A21,'Données projet'!$A$243:$I$263,9,0)</f>
        <v>11.239444444444445</v>
      </c>
      <c r="FY21" s="12">
        <f t="array" ref="FY21">INDEX(FX:FX,MIN(IF(ISNUMBER(FX21:FX217),ROW(FX21:FX217),"")))</f>
        <v>11.239444444444445</v>
      </c>
      <c r="FZ21" s="12">
        <f>IF('Données projet'!$A$244&gt;35,FZ20+FY21-GH20,IF(A21&lt;'Données projet'!$A$244,$FW$205^A21,IF(A21='Données projet'!$A$244,'Données projet'!$B$244,FZ20+FY21-GH20)))</f>
        <v>202.31</v>
      </c>
      <c r="GA21" s="17">
        <f>FZ21*VLOOKUP('Données projet'!$B$17,Paramètres!$A$1:$I$89,3,0)*VLOOKUP('Données projet'!$B$17,Paramètres!$A$1:$I$89,5,0)</f>
        <v>89.421020000000013</v>
      </c>
      <c r="GB21" s="13">
        <f t="shared" si="49"/>
        <v>24.425536553413707</v>
      </c>
      <c r="GC21" s="20">
        <f t="shared" si="25"/>
        <v>198.2827526638622</v>
      </c>
      <c r="GD21" s="59">
        <f t="shared" si="26"/>
        <v>406.22557952511454</v>
      </c>
      <c r="GE21" s="59">
        <f ca="1">AVERAGE(OFFSET($GD$3,0,0,'Données projet'!$E$17+1,1))-AVERAGE(OFFSET($H$3,0,0,'Données projet'!$E$17+1,1))</f>
        <v>342.89128067483233</v>
      </c>
      <c r="GF21" s="59">
        <f t="shared" si="50"/>
        <v>453.47615302202996</v>
      </c>
      <c r="GG21" s="15">
        <f>IF(ISNA(VLOOKUP(A21,'Données projet'!$A$243:$I$263,3,0)),0,VLOOKUP(A21,'Données projet'!$A$243:$I$263,3,0))</f>
        <v>1</v>
      </c>
      <c r="GH21" s="15">
        <f>IF(ISNA(VLOOKUP(A21,'Données projet'!$A$243:$I$263,4,0)),0,VLOOKUP(A21,'Données projet'!$A$243:$I$263,4,0))</f>
        <v>74.819999999999993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0.55000000000000004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24.033535376094324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24.033535376094324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50.711680053068825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5.8668181818181813</v>
      </c>
      <c r="GU21" s="12">
        <f>IF('Données projet'!$A$270&gt;35,GU20+GT21-HC20,IF(A21&lt;'Données projet'!$A$270,$GR$205^A21,IF(A21='Données projet'!$A$270,'Données projet'!$B$270,GU20+GT21-HC20)))</f>
        <v>53.338265650608868</v>
      </c>
      <c r="GV21" s="17">
        <f>GU21*VLOOKUP('Données projet'!$B$18,Paramètres!$A$1:$I$89,3,0)*VLOOKUP('Données projet'!$B$18,Paramètres!$A$1:$I$89,5,0)</f>
        <v>31.896282859064108</v>
      </c>
      <c r="GW21" s="13">
        <f t="shared" si="51"/>
        <v>9.8232861309767845</v>
      </c>
      <c r="GX21" s="20">
        <f t="shared" si="28"/>
        <v>72.661582657654549</v>
      </c>
      <c r="GY21" s="59">
        <f t="shared" si="29"/>
        <v>280.60440951890689</v>
      </c>
      <c r="GZ21" s="59">
        <f ca="1">AVERAGE(OFFSET($GY$3,0,0,'Données projet'!$E$18+1,1))-AVERAGE(OFFSET($H$3,0,0,'Données projet'!$E$18+1,1))</f>
        <v>375.89365709113105</v>
      </c>
      <c r="HA21" s="59">
        <f t="shared" si="52"/>
        <v>279.39056561403834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178.09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66.82465028571427</v>
      </c>
      <c r="P22" s="13">
        <f t="shared" si="33"/>
        <v>18.882788477272459</v>
      </c>
      <c r="Q22" s="20">
        <f t="shared" si="2"/>
        <v>149.27378917886855</v>
      </c>
      <c r="R22" s="59">
        <f t="shared" si="0"/>
        <v>359.66573876814857</v>
      </c>
      <c r="S22" s="59">
        <f ca="1">AVERAGE(OFFSET($R$3,0,0,'Données projet'!$E$9+1,1))-AVERAGE(OFFSET($H$3,0,0,'Données projet'!$E$9+1,1))</f>
        <v>631.31712308065664</v>
      </c>
      <c r="T22" s="59">
        <f t="shared" si="34"/>
        <v>290.92244624361285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3.8113157894736847</v>
      </c>
      <c r="AI22" s="13">
        <f>IF('Données projet'!$A$62&gt;35,AI21+AH22-AQ21,IF(A22&lt;'Données projet'!$A$62,$AF$205^A22,IF(A22='Données projet'!$A$62,'Données projet'!$B$62,AI21+AH22-AQ21)))</f>
        <v>72.414999999999978</v>
      </c>
      <c r="AJ22" s="13">
        <f>AI22*VLOOKUP('Données projet'!$B$10,Paramètres!$A$1:$I$89,3,0)*VLOOKUP('Données projet'!$B$10,Paramètres!$A$1:$I$89,5,0)</f>
        <v>61.002395999999983</v>
      </c>
      <c r="AK22" s="13">
        <f t="shared" si="35"/>
        <v>17.421461267029571</v>
      </c>
      <c r="AL22" s="20">
        <f t="shared" si="4"/>
        <v>136.58821807340979</v>
      </c>
      <c r="AM22" s="59">
        <f t="shared" si="5"/>
        <v>346.98016766268984</v>
      </c>
      <c r="AN22" s="59">
        <f ca="1">AVERAGE(OFFSET($AM$3,0,0,'Données projet'!$E$10+1,1))-AVERAGE(OFFSET($H$3,0,0,'Données projet'!$E$10+1,1))</f>
        <v>401.19166052471473</v>
      </c>
      <c r="AO22" s="59">
        <f t="shared" si="36"/>
        <v>271.10067497534271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74.889694285714285</v>
      </c>
      <c r="BF22" s="13">
        <f t="shared" si="37"/>
        <v>20.882928189514811</v>
      </c>
      <c r="BG22" s="20">
        <f t="shared" si="7"/>
        <v>166.80398414435732</v>
      </c>
      <c r="BH22" s="59">
        <f t="shared" si="8"/>
        <v>377.19593373363733</v>
      </c>
      <c r="BI22" s="59">
        <f ca="1">AVERAGE(OFFSET($BH$3,0,0,'Données projet'!$E$11+1,1))-AVERAGE(OFFSET($H$3,0,0,'Données projet'!$E$11+1,1))</f>
        <v>695.93700574708214</v>
      </c>
      <c r="BJ22" s="59">
        <f t="shared" si="38"/>
        <v>318.31690229208471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10.199999999999999</v>
      </c>
      <c r="BY22" s="12">
        <f>IF('Données projet'!$A$114&gt;35,BY21+BX22-CG21,IF(A22&lt;'Données projet'!$A$114,$BV$205^A22,IF(A22='Données projet'!$A$114,'Données projet'!$B$114,BY21+BX22-CG21)))</f>
        <v>73.800000000000011</v>
      </c>
      <c r="BZ22" s="13">
        <f>BY22*VLOOKUP('Données projet'!$B$12,Paramètres!$A$1:$I$89,3,0)*VLOOKUP('Données projet'!$B$12,Paramètres!$A$1:$I$89,5,0)</f>
        <v>48.353760000000008</v>
      </c>
      <c r="CA22" s="13">
        <f t="shared" si="39"/>
        <v>14.187786165449609</v>
      </c>
      <c r="CB22" s="20">
        <f t="shared" si="10"/>
        <v>108.92652623815808</v>
      </c>
      <c r="CC22" s="59">
        <f t="shared" si="11"/>
        <v>319.31847582743808</v>
      </c>
      <c r="CD22" s="59">
        <f ca="1">AVERAGE(OFFSET($CC$3,0,0,'Données projet'!$E$12+1,1))-AVERAGE(OFFSET($H$3,0,0,'Données projet'!$E$12+1,1))</f>
        <v>260.25859566735949</v>
      </c>
      <c r="CE22" s="59">
        <f t="shared" si="40"/>
        <v>256.93649773468667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10.199999999999999</v>
      </c>
      <c r="CT22" s="12">
        <f>IF('Données projet'!$A$140&gt;35,CT21+CS22-DB21,IF(A22&lt;'Données projet'!$A$140,$CQ$205^A22,IF(A22='Données projet'!$A$140,'Données projet'!$B$140,CT21+CS22-DB21)))</f>
        <v>73.800000000000011</v>
      </c>
      <c r="CU22" s="17">
        <f>CT22*VLOOKUP('Données projet'!$B$13,Paramètres!$A$1:$I$89,3,0)*VLOOKUP('Données projet'!$B$13,Paramètres!$A$1:$I$89,5,0)</f>
        <v>48.353760000000008</v>
      </c>
      <c r="CV22" s="13">
        <f t="shared" si="41"/>
        <v>14.187786165449609</v>
      </c>
      <c r="CW22" s="20">
        <f t="shared" si="13"/>
        <v>108.92652623815808</v>
      </c>
      <c r="CX22" s="59">
        <f t="shared" si="14"/>
        <v>319.31847582743808</v>
      </c>
      <c r="CY22" s="59">
        <f ca="1">AVERAGE(OFFSET($CX$3,0,0,'Données projet'!$E$13+1,1))-AVERAGE(OFFSET($H$3,0,0,'Données projet'!$E$13+1,1))</f>
        <v>260.25859566735949</v>
      </c>
      <c r="CZ22" s="59">
        <f t="shared" si="42"/>
        <v>256.93649773468667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7.3233333333333333</v>
      </c>
      <c r="DO22" s="12">
        <f>IF('Données projet'!$A$166&gt;35,DO21+DN22-DW21,IF(A22&lt;'Données projet'!$A$166,$DL$205^A22,IF(A22='Données projet'!$A$166,'Données projet'!$B$166,DO21+DN22-DW21)))</f>
        <v>41.281433418217787</v>
      </c>
      <c r="DP22" s="17">
        <f>DO22*VLOOKUP('Données projet'!$B$14,Paramètres!$A$1:$I$89,3,0)*VLOOKUP('Données projet'!$B$14,Paramètres!$A$1:$I$89,5,0)</f>
        <v>23.612979915220574</v>
      </c>
      <c r="DQ22" s="13">
        <f t="shared" si="43"/>
        <v>7.5312681299411297</v>
      </c>
      <c r="DR22" s="20">
        <f t="shared" si="16"/>
        <v>54.242898678656623</v>
      </c>
      <c r="DS22" s="59">
        <f t="shared" si="17"/>
        <v>264.63484826793666</v>
      </c>
      <c r="DT22" s="59">
        <f ca="1">AVERAGE(OFFSET($DS$3,0,0,'Données projet'!$E$14+1,1))-AVERAGE(OFFSET($H$3,0,0,'Données projet'!$E$14+1,1))</f>
        <v>349.56396446903</v>
      </c>
      <c r="DU22" s="59">
        <f t="shared" si="44"/>
        <v>270.64279448634522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5.8668181818181813</v>
      </c>
      <c r="EJ22" s="12">
        <f>IF('Données projet'!$A$192&gt;35,EJ21+EI22-ER21,IF(A22&lt;'Données projet'!$A$192,$EG$205^A22,IF(A22='Données projet'!$A$192,'Données projet'!$B$192,EJ21+EI22-ER21)))</f>
        <v>66.525093718950743</v>
      </c>
      <c r="EK22" s="17">
        <f>EJ22*VLOOKUP('Données projet'!$B$15,Paramètres!$A$1:$I$89,3,0)*VLOOKUP('Données projet'!$B$15,Paramètres!$A$1:$I$89,5,0)</f>
        <v>39.782006043932547</v>
      </c>
      <c r="EL22" s="13">
        <f t="shared" si="45"/>
        <v>11.940849220834615</v>
      </c>
      <c r="EM22" s="20">
        <f t="shared" si="19"/>
        <v>90.083972919469474</v>
      </c>
      <c r="EN22" s="59">
        <f t="shared" si="20"/>
        <v>300.47592250874948</v>
      </c>
      <c r="EO22" s="59">
        <f ca="1">AVERAGE(OFFSET($EN$3,0,0,'Données projet'!$E$15+1,1))-AVERAGE(OFFSET($H$3,0,0,'Données projet'!$E$15+1,1))</f>
        <v>375.89365709113105</v>
      </c>
      <c r="EP22" s="59">
        <f t="shared" si="46"/>
        <v>279.39056561403834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17.686666666666667</v>
      </c>
      <c r="FE22" s="12">
        <f>IF('Données projet'!$A$218&gt;35,FE21+FD22-FM21,IF(A22&lt;'Données projet'!$A$218,$FB$205^A22,IF(A22='Données projet'!$A$218,'Données projet'!$B$218,FE21+FD22-FM21)))</f>
        <v>116.93333333333334</v>
      </c>
      <c r="FF22" s="17">
        <f>FE22*VLOOKUP('Données projet'!$B$16,Paramètres!$A$1:$I$89,3,0)*VLOOKUP('Données projet'!$B$16,Paramètres!$A$1:$I$89,5,0)</f>
        <v>69.92613333333334</v>
      </c>
      <c r="FG22" s="13">
        <f t="shared" si="47"/>
        <v>19.655112747639016</v>
      </c>
      <c r="FH22" s="20">
        <f t="shared" si="22"/>
        <v>156.02067025769352</v>
      </c>
      <c r="FI22" s="59">
        <f t="shared" si="23"/>
        <v>366.41261984697354</v>
      </c>
      <c r="FJ22" s="59">
        <f ca="1">AVERAGE(OFFSET($FI$3,0,0,'Données projet'!$E$16+1,1))-AVERAGE(OFFSET($H$3,0,0,'Données projet'!$E$16+1,1))</f>
        <v>319.29539841078537</v>
      </c>
      <c r="FK22" s="59">
        <f t="shared" si="48"/>
        <v>327.26871144121412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13.711358045306911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13.711358045306911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26.933333333333326</v>
      </c>
      <c r="FZ22" s="12">
        <f>IF('Données projet'!$A$244&gt;35,FZ21+FY22-GH21,IF(A22&lt;'Données projet'!$A$244,$FW$205^A22,IF(A22='Données projet'!$A$244,'Données projet'!$B$244,FZ21+FY22-GH21)))</f>
        <v>154.42333333333335</v>
      </c>
      <c r="GA22" s="17">
        <f>FZ22*VLOOKUP('Données projet'!$B$17,Paramètres!$A$1:$I$89,3,0)*VLOOKUP('Données projet'!$B$17,Paramètres!$A$1:$I$89,5,0)</f>
        <v>68.255113333333355</v>
      </c>
      <c r="GB22" s="13">
        <f t="shared" si="49"/>
        <v>19.239506171249076</v>
      </c>
      <c r="GC22" s="20">
        <f t="shared" si="25"/>
        <v>152.3864623038144</v>
      </c>
      <c r="GD22" s="59">
        <f t="shared" si="26"/>
        <v>362.77841189309441</v>
      </c>
      <c r="GE22" s="59">
        <f ca="1">AVERAGE(OFFSET($GD$3,0,0,'Données projet'!$E$17+1,1))-AVERAGE(OFFSET($H$3,0,0,'Données projet'!$E$17+1,1))</f>
        <v>342.89128067483233</v>
      </c>
      <c r="GF22" s="59">
        <f t="shared" si="50"/>
        <v>453.47615302202996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23.376337087366331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23.376337087366331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51.046289281924857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5.8668181818181813</v>
      </c>
      <c r="GU22" s="12">
        <f>IF('Données projet'!$A$270&gt;35,GU21+GT22-HC21,IF(A22&lt;'Données projet'!$A$270,$GR$205^A22,IF(A22='Données projet'!$A$270,'Données projet'!$B$270,GU21+GT22-HC21)))</f>
        <v>66.525093718950743</v>
      </c>
      <c r="GV22" s="17">
        <f>GU22*VLOOKUP('Données projet'!$B$18,Paramètres!$A$1:$I$89,3,0)*VLOOKUP('Données projet'!$B$18,Paramètres!$A$1:$I$89,5,0)</f>
        <v>39.782006043932547</v>
      </c>
      <c r="GW22" s="13">
        <f t="shared" si="51"/>
        <v>11.940849220834615</v>
      </c>
      <c r="GX22" s="20">
        <f t="shared" si="28"/>
        <v>90.083972919469474</v>
      </c>
      <c r="GY22" s="59">
        <f t="shared" si="29"/>
        <v>300.47592250874948</v>
      </c>
      <c r="GZ22" s="59">
        <f ca="1">AVERAGE(OFFSET($GY$3,0,0,'Données projet'!$E$18+1,1))-AVERAGE(OFFSET($H$3,0,0,'Données projet'!$E$18+1,1))</f>
        <v>375.89365709113105</v>
      </c>
      <c r="HA22" s="59">
        <f t="shared" si="52"/>
        <v>279.39056561403834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178.09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70.341737142857127</v>
      </c>
      <c r="P23" s="13">
        <f t="shared" si="33"/>
        <v>19.758298879173367</v>
      </c>
      <c r="Q23" s="20">
        <f t="shared" si="2"/>
        <v>156.92422940503644</v>
      </c>
      <c r="R23" s="59">
        <f t="shared" si="0"/>
        <v>369.74401774150704</v>
      </c>
      <c r="S23" s="59">
        <f ca="1">AVERAGE(OFFSET($R$3,0,0,'Données projet'!$E$9+1,1))-AVERAGE(OFFSET($H$3,0,0,'Données projet'!$E$9+1,1))</f>
        <v>631.31712308065664</v>
      </c>
      <c r="T23" s="59">
        <f t="shared" si="34"/>
        <v>290.92244624361285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3.8113157894736847</v>
      </c>
      <c r="AI23" s="13">
        <f>IF('Données projet'!$A$62&gt;35,AI22+AH23-AQ22,IF(A23&lt;'Données projet'!$A$62,$AF$205^A23,IF(A23='Données projet'!$A$62,'Données projet'!$B$62,AI22+AH23-AQ22)))</f>
        <v>76.226315789473659</v>
      </c>
      <c r="AJ23" s="13">
        <f>AI23*VLOOKUP('Données projet'!$B$10,Paramètres!$A$1:$I$89,3,0)*VLOOKUP('Données projet'!$B$10,Paramètres!$A$1:$I$89,5,0)</f>
        <v>64.213048421052619</v>
      </c>
      <c r="AK23" s="13">
        <f t="shared" si="35"/>
        <v>18.229216465577537</v>
      </c>
      <c r="AL23" s="20">
        <f t="shared" si="4"/>
        <v>143.58694467754751</v>
      </c>
      <c r="AM23" s="59">
        <f t="shared" si="5"/>
        <v>356.40673301401807</v>
      </c>
      <c r="AN23" s="59">
        <f ca="1">AVERAGE(OFFSET($AM$3,0,0,'Données projet'!$E$10+1,1))-AVERAGE(OFFSET($H$3,0,0,'Données projet'!$E$10+1,1))</f>
        <v>401.19166052471473</v>
      </c>
      <c r="AO23" s="59">
        <f t="shared" si="36"/>
        <v>271.10067497534271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78.83125714285714</v>
      </c>
      <c r="BF23" s="13">
        <f t="shared" si="37"/>
        <v>21.851176119320101</v>
      </c>
      <c r="BG23" s="20">
        <f t="shared" si="7"/>
        <v>175.35523793162534</v>
      </c>
      <c r="BH23" s="59">
        <f t="shared" si="8"/>
        <v>388.17502626809591</v>
      </c>
      <c r="BI23" s="59">
        <f ca="1">AVERAGE(OFFSET($BH$3,0,0,'Données projet'!$E$11+1,1))-AVERAGE(OFFSET($H$3,0,0,'Données projet'!$E$11+1,1))</f>
        <v>695.93700574708214</v>
      </c>
      <c r="BJ23" s="59">
        <f t="shared" si="38"/>
        <v>318.31690229208471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84</v>
      </c>
      <c r="BW23" s="12">
        <f>VLOOKUP(A23,'Données projet'!$A$113:$I$133,9,0)</f>
        <v>10.199999999999999</v>
      </c>
      <c r="BX23" s="12">
        <f t="array" ref="BX23">INDEX(BW:BW,MIN(IF(ISNUMBER(BW23:BW219),ROW(BW23:BW219),"")))</f>
        <v>10.199999999999999</v>
      </c>
      <c r="BY23" s="12">
        <f>IF('Données projet'!$A$114&gt;35,BY22+BX23-CG22,IF(A23&lt;'Données projet'!$A$114,$BV$205^A23,IF(A23='Données projet'!$A$114,'Données projet'!$B$114,BY22+BX23-CG22)))</f>
        <v>84.000000000000014</v>
      </c>
      <c r="BZ23" s="13">
        <f>BY23*VLOOKUP('Données projet'!$B$12,Paramètres!$A$1:$I$89,3,0)*VLOOKUP('Données projet'!$B$12,Paramètres!$A$1:$I$89,5,0)</f>
        <v>55.036800000000007</v>
      </c>
      <c r="CA23" s="13">
        <f t="shared" si="39"/>
        <v>15.907180538864345</v>
      </c>
      <c r="CB23" s="20">
        <f t="shared" si="10"/>
        <v>123.56076610518875</v>
      </c>
      <c r="CC23" s="59">
        <f t="shared" si="11"/>
        <v>336.38055444165934</v>
      </c>
      <c r="CD23" s="59">
        <f ca="1">AVERAGE(OFFSET($CC$3,0,0,'Données projet'!$E$12+1,1))-AVERAGE(OFFSET($H$3,0,0,'Données projet'!$E$12+1,1))</f>
        <v>260.25859566735949</v>
      </c>
      <c r="CE23" s="59">
        <f t="shared" si="40"/>
        <v>256.93649773468667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84</v>
      </c>
      <c r="CR23" s="12">
        <f>VLOOKUP(A23,'Données projet'!$A$139:$I$159,9,0)</f>
        <v>10.199999999999999</v>
      </c>
      <c r="CS23" s="12">
        <f t="array" ref="CS23">INDEX(CR:CR,MIN(IF(ISNUMBER(CR23:CR219),ROW(CR23:CR219),"")))</f>
        <v>10.199999999999999</v>
      </c>
      <c r="CT23" s="12">
        <f>IF('Données projet'!$A$140&gt;35,CT22+CS23-DB22,IF(A23&lt;'Données projet'!$A$140,$CQ$205^A23,IF(A23='Données projet'!$A$140,'Données projet'!$B$140,CT22+CS23-DB22)))</f>
        <v>84.000000000000014</v>
      </c>
      <c r="CU23" s="17">
        <f>CT23*VLOOKUP('Données projet'!$B$13,Paramètres!$A$1:$I$89,3,0)*VLOOKUP('Données projet'!$B$13,Paramètres!$A$1:$I$89,5,0)</f>
        <v>55.036800000000007</v>
      </c>
      <c r="CV23" s="13">
        <f t="shared" si="41"/>
        <v>15.907180538864345</v>
      </c>
      <c r="CW23" s="20">
        <f t="shared" si="13"/>
        <v>123.56076610518875</v>
      </c>
      <c r="CX23" s="59">
        <f t="shared" si="14"/>
        <v>336.38055444165934</v>
      </c>
      <c r="CY23" s="59">
        <f ca="1">AVERAGE(OFFSET($CX$3,0,0,'Données projet'!$E$13+1,1))-AVERAGE(OFFSET($H$3,0,0,'Données projet'!$E$13+1,1))</f>
        <v>260.25859566735949</v>
      </c>
      <c r="CZ23" s="59">
        <f t="shared" si="42"/>
        <v>256.93649773468667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9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7.3233333333333333</v>
      </c>
      <c r="DO23" s="12">
        <f>IF('Données projet'!$A$166&gt;35,DO22+DN23-DW22,IF(A23&lt;'Données projet'!$A$166,$DL$205^A23,IF(A23='Données projet'!$A$166,'Données projet'!$B$166,DO22+DN23-DW22)))</f>
        <v>50.210493926374753</v>
      </c>
      <c r="DP23" s="17">
        <f>DO23*VLOOKUP('Données projet'!$B$14,Paramètres!$A$1:$I$89,3,0)*VLOOKUP('Données projet'!$B$14,Paramètres!$A$1:$I$89,5,0)</f>
        <v>28.72040252588636</v>
      </c>
      <c r="DQ23" s="13">
        <f t="shared" si="43"/>
        <v>8.9538375452020471</v>
      </c>
      <c r="DR23" s="20">
        <f t="shared" si="16"/>
        <v>65.615968123812308</v>
      </c>
      <c r="DS23" s="59">
        <f t="shared" si="17"/>
        <v>278.43575646028285</v>
      </c>
      <c r="DT23" s="59">
        <f ca="1">AVERAGE(OFFSET($DS$3,0,0,'Données projet'!$E$14+1,1))-AVERAGE(OFFSET($H$3,0,0,'Données projet'!$E$14+1,1))</f>
        <v>349.56396446903</v>
      </c>
      <c r="DU23" s="59">
        <f t="shared" si="44"/>
        <v>270.64279448634522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5.8668181818181813</v>
      </c>
      <c r="EJ23" s="12">
        <f>IF('Données projet'!$A$192&gt;35,EJ22+EI23-ER22,IF(A23&lt;'Données projet'!$A$192,$EG$205^A23,IF(A23='Données projet'!$A$192,'Données projet'!$B$192,EJ22+EI23-ER22)))</f>
        <v>82.972103429550899</v>
      </c>
      <c r="EK23" s="17">
        <f>EJ23*VLOOKUP('Données projet'!$B$15,Paramètres!$A$1:$I$89,3,0)*VLOOKUP('Données projet'!$B$15,Paramètres!$A$1:$I$89,5,0)</f>
        <v>49.617317850871444</v>
      </c>
      <c r="EL23" s="13">
        <f t="shared" si="45"/>
        <v>14.514886181018609</v>
      </c>
      <c r="EM23" s="20">
        <f t="shared" si="19"/>
        <v>111.69692202220851</v>
      </c>
      <c r="EN23" s="59">
        <f t="shared" si="20"/>
        <v>324.51671035867906</v>
      </c>
      <c r="EO23" s="59">
        <f ca="1">AVERAGE(OFFSET($EN$3,0,0,'Données projet'!$E$15+1,1))-AVERAGE(OFFSET($H$3,0,0,'Données projet'!$E$15+1,1))</f>
        <v>375.89365709113105</v>
      </c>
      <c r="EP23" s="59">
        <f t="shared" si="46"/>
        <v>279.39056561403834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17.686666666666667</v>
      </c>
      <c r="FE23" s="12">
        <f>IF('Données projet'!$A$218&gt;35,FE22+FD23-FM22,IF(A23&lt;'Données projet'!$A$218,$FB$205^A23,IF(A23='Données projet'!$A$218,'Données projet'!$B$218,FE22+FD23-FM22)))</f>
        <v>134.62</v>
      </c>
      <c r="FF23" s="17">
        <f>FE23*VLOOKUP('Données projet'!$B$16,Paramètres!$A$1:$I$89,3,0)*VLOOKUP('Données projet'!$B$16,Paramètres!$A$1:$I$89,5,0)</f>
        <v>80.502760000000009</v>
      </c>
      <c r="FG23" s="13">
        <f t="shared" si="47"/>
        <v>22.260066705482632</v>
      </c>
      <c r="FH23" s="20">
        <f t="shared" si="22"/>
        <v>178.97858984538223</v>
      </c>
      <c r="FI23" s="59">
        <f t="shared" si="23"/>
        <v>391.7983781818528</v>
      </c>
      <c r="FJ23" s="59">
        <f ca="1">AVERAGE(OFFSET($FI$3,0,0,'Données projet'!$E$16+1,1))-AVERAGE(OFFSET($H$3,0,0,'Données projet'!$E$16+1,1))</f>
        <v>319.29539841078537</v>
      </c>
      <c r="FK23" s="59">
        <f t="shared" si="48"/>
        <v>327.26871144121412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13.336420238509012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13.336420238509012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26.933333333333326</v>
      </c>
      <c r="FZ23" s="12">
        <f>IF('Données projet'!$A$244&gt;35,FZ22+FY23-GH22,IF(A23&lt;'Données projet'!$A$244,$FW$205^A23,IF(A23='Données projet'!$A$244,'Données projet'!$B$244,FZ22+FY23-GH22)))</f>
        <v>181.35666666666668</v>
      </c>
      <c r="GA23" s="17">
        <f>FZ23*VLOOKUP('Données projet'!$B$17,Paramètres!$A$1:$I$89,3,0)*VLOOKUP('Données projet'!$B$17,Paramètres!$A$1:$I$89,5,0)</f>
        <v>80.159646666666688</v>
      </c>
      <c r="GB23" s="13">
        <f t="shared" si="49"/>
        <v>22.176214038404822</v>
      </c>
      <c r="GC23" s="20">
        <f t="shared" si="25"/>
        <v>178.23495739466622</v>
      </c>
      <c r="GD23" s="59">
        <f t="shared" si="26"/>
        <v>391.05474573113679</v>
      </c>
      <c r="GE23" s="59">
        <f ca="1">AVERAGE(OFFSET($GD$3,0,0,'Données projet'!$E$17+1,1))-AVERAGE(OFFSET($H$3,0,0,'Données projet'!$E$17+1,1))</f>
        <v>342.89128067483233</v>
      </c>
      <c r="GF23" s="59">
        <f t="shared" si="50"/>
        <v>453.47615302202996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22.737109920404158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22.737109920404158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51.375093788734404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5.8668181818181813</v>
      </c>
      <c r="GU23" s="12">
        <f>IF('Données projet'!$A$270&gt;35,GU22+GT23-HC22,IF(A23&lt;'Données projet'!$A$270,$GR$205^A23,IF(A23='Données projet'!$A$270,'Données projet'!$B$270,GU22+GT23-HC22)))</f>
        <v>82.972103429550899</v>
      </c>
      <c r="GV23" s="17">
        <f>GU23*VLOOKUP('Données projet'!$B$18,Paramètres!$A$1:$I$89,3,0)*VLOOKUP('Données projet'!$B$18,Paramètres!$A$1:$I$89,5,0)</f>
        <v>49.617317850871444</v>
      </c>
      <c r="GW23" s="13">
        <f t="shared" si="51"/>
        <v>14.514886181018609</v>
      </c>
      <c r="GX23" s="20">
        <f t="shared" si="28"/>
        <v>111.69692202220851</v>
      </c>
      <c r="GY23" s="59">
        <f t="shared" si="29"/>
        <v>324.51671035867906</v>
      </c>
      <c r="GZ23" s="59">
        <f ca="1">AVERAGE(OFFSET($GY$3,0,0,'Données projet'!$E$18+1,1))-AVERAGE(OFFSET($H$3,0,0,'Données projet'!$E$18+1,1))</f>
        <v>375.89365709113105</v>
      </c>
      <c r="HA23" s="59">
        <f t="shared" si="52"/>
        <v>279.39056561403834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178.09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73.858823999999984</v>
      </c>
      <c r="P24" s="13">
        <f t="shared" si="33"/>
        <v>20.628726373651425</v>
      </c>
      <c r="Q24" s="20">
        <f t="shared" si="2"/>
        <v>164.56581690077618</v>
      </c>
      <c r="R24" s="59">
        <f t="shared" si="0"/>
        <v>379.79252923308388</v>
      </c>
      <c r="S24" s="59">
        <f ca="1">AVERAGE(OFFSET($R$3,0,0,'Données projet'!$E$9+1,1))-AVERAGE(OFFSET($H$3,0,0,'Données projet'!$E$9+1,1))</f>
        <v>631.31712308065664</v>
      </c>
      <c r="T24" s="59">
        <f t="shared" si="34"/>
        <v>290.92244624361285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3.8113157894736847</v>
      </c>
      <c r="AI24" s="13">
        <f>IF('Données projet'!$A$62&gt;35,AI23+AH24-AQ23,IF(A24&lt;'Données projet'!$A$62,$AF$205^A24,IF(A24='Données projet'!$A$62,'Données projet'!$B$62,AI23+AH24-AQ23)))</f>
        <v>80.037631578947341</v>
      </c>
      <c r="AJ24" s="13">
        <f>AI24*VLOOKUP('Données projet'!$B$10,Paramètres!$A$1:$I$89,3,0)*VLOOKUP('Données projet'!$B$10,Paramètres!$A$1:$I$89,5,0)</f>
        <v>67.423700842105248</v>
      </c>
      <c r="AK24" s="13">
        <f t="shared" si="35"/>
        <v>19.032282119734433</v>
      </c>
      <c r="AL24" s="20">
        <f t="shared" si="4"/>
        <v>150.57750365853744</v>
      </c>
      <c r="AM24" s="59">
        <f t="shared" si="5"/>
        <v>365.80421599084514</v>
      </c>
      <c r="AN24" s="59">
        <f ca="1">AVERAGE(OFFSET($AM$3,0,0,'Données projet'!$E$10+1,1))-AVERAGE(OFFSET($H$3,0,0,'Données projet'!$E$10+1,1))</f>
        <v>401.19166052471473</v>
      </c>
      <c r="AO24" s="59">
        <f t="shared" si="36"/>
        <v>271.10067497534271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82.772819999999996</v>
      </c>
      <c r="BF24" s="13">
        <f t="shared" si="37"/>
        <v>22.813802740025121</v>
      </c>
      <c r="BG24" s="20">
        <f t="shared" si="7"/>
        <v>183.89670127221041</v>
      </c>
      <c r="BH24" s="59">
        <f t="shared" si="8"/>
        <v>399.12341360451808</v>
      </c>
      <c r="BI24" s="59">
        <f ca="1">AVERAGE(OFFSET($BH$3,0,0,'Données projet'!$E$11+1,1))-AVERAGE(OFFSET($H$3,0,0,'Données projet'!$E$11+1,1))</f>
        <v>695.93700574708214</v>
      </c>
      <c r="BJ24" s="59">
        <f t="shared" si="38"/>
        <v>318.31690229208471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83.200000000000017</v>
      </c>
      <c r="BZ24" s="13">
        <f>BY24*VLOOKUP('Données projet'!$B$12,Paramètres!$A$1:$I$89,3,0)*VLOOKUP('Données projet'!$B$12,Paramètres!$A$1:$I$89,5,0)</f>
        <v>54.512640000000005</v>
      </c>
      <c r="CA24" s="13">
        <f t="shared" si="39"/>
        <v>15.773243364716285</v>
      </c>
      <c r="CB24" s="20">
        <f t="shared" si="10"/>
        <v>122.41458019354752</v>
      </c>
      <c r="CC24" s="59">
        <f t="shared" si="11"/>
        <v>337.64129252585519</v>
      </c>
      <c r="CD24" s="59">
        <f ca="1">AVERAGE(OFFSET($CC$3,0,0,'Données projet'!$E$12+1,1))-AVERAGE(OFFSET($H$3,0,0,'Données projet'!$E$12+1,1))</f>
        <v>260.25859566735949</v>
      </c>
      <c r="CE24" s="59">
        <f t="shared" si="40"/>
        <v>256.93649773468667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8.1999999999999993</v>
      </c>
      <c r="CT24" s="12">
        <f>IF('Données projet'!$A$140&gt;35,CT23+CS24-DB23,IF(A24&lt;'Données projet'!$A$140,$CQ$205^A24,IF(A24='Données projet'!$A$140,'Données projet'!$B$140,CT23+CS24-DB23)))</f>
        <v>83.200000000000017</v>
      </c>
      <c r="CU24" s="17">
        <f>CT24*VLOOKUP('Données projet'!$B$13,Paramètres!$A$1:$I$89,3,0)*VLOOKUP('Données projet'!$B$13,Paramètres!$A$1:$I$89,5,0)</f>
        <v>54.512640000000005</v>
      </c>
      <c r="CV24" s="13">
        <f t="shared" si="41"/>
        <v>15.773243364716285</v>
      </c>
      <c r="CW24" s="20">
        <f t="shared" si="13"/>
        <v>122.41458019354752</v>
      </c>
      <c r="CX24" s="59">
        <f t="shared" si="14"/>
        <v>337.64129252585519</v>
      </c>
      <c r="CY24" s="59">
        <f ca="1">AVERAGE(OFFSET($CX$3,0,0,'Données projet'!$E$13+1,1))-AVERAGE(OFFSET($H$3,0,0,'Données projet'!$E$13+1,1))</f>
        <v>260.25859566735949</v>
      </c>
      <c r="CZ24" s="59">
        <f t="shared" si="42"/>
        <v>256.93649773468667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7.3233333333333333</v>
      </c>
      <c r="DO24" s="12">
        <f>IF('Données projet'!$A$166&gt;35,DO23+DN24-DW23,IF(A24&lt;'Données projet'!$A$166,$DL$205^A24,IF(A24='Données projet'!$A$166,'Données projet'!$B$166,DO23+DN24-DW23)))</f>
        <v>61.070885664012316</v>
      </c>
      <c r="DP24" s="17">
        <f>DO24*VLOOKUP('Données projet'!$B$14,Paramètres!$A$1:$I$89,3,0)*VLOOKUP('Données projet'!$B$14,Paramètres!$A$1:$I$89,5,0)</f>
        <v>34.932546599815048</v>
      </c>
      <c r="DQ24" s="13">
        <f t="shared" si="43"/>
        <v>10.645113864309659</v>
      </c>
      <c r="DR24" s="20">
        <f t="shared" si="16"/>
        <v>79.381091975017199</v>
      </c>
      <c r="DS24" s="59">
        <f t="shared" si="17"/>
        <v>294.6078043073249</v>
      </c>
      <c r="DT24" s="59">
        <f ca="1">AVERAGE(OFFSET($DS$3,0,0,'Données projet'!$E$14+1,1))-AVERAGE(OFFSET($H$3,0,0,'Données projet'!$E$14+1,1))</f>
        <v>349.56396446903</v>
      </c>
      <c r="DU24" s="59">
        <f t="shared" si="44"/>
        <v>270.64279448634522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5.8668181818181813</v>
      </c>
      <c r="EJ24" s="12">
        <f>IF('Données projet'!$A$192&gt;35,EJ23+EI24-ER23,IF(A24&lt;'Données projet'!$A$192,$EG$205^A24,IF(A24='Données projet'!$A$192,'Données projet'!$B$192,EJ23+EI24-ER23)))</f>
        <v>103.48531001863087</v>
      </c>
      <c r="EK24" s="17">
        <f>EJ24*VLOOKUP('Données projet'!$B$15,Paramètres!$A$1:$I$89,3,0)*VLOOKUP('Données projet'!$B$15,Paramètres!$A$1:$I$89,5,0)</f>
        <v>61.884215391141261</v>
      </c>
      <c r="EL24" s="13">
        <f t="shared" si="45"/>
        <v>17.643797099482939</v>
      </c>
      <c r="EM24" s="20">
        <f t="shared" si="19"/>
        <v>138.51128842117049</v>
      </c>
      <c r="EN24" s="59">
        <f t="shared" si="20"/>
        <v>353.73800075347822</v>
      </c>
      <c r="EO24" s="59">
        <f ca="1">AVERAGE(OFFSET($EN$3,0,0,'Données projet'!$E$15+1,1))-AVERAGE(OFFSET($H$3,0,0,'Données projet'!$E$15+1,1))</f>
        <v>375.89365709113105</v>
      </c>
      <c r="EP24" s="59">
        <f t="shared" si="46"/>
        <v>279.39056561403834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17.686666666666667</v>
      </c>
      <c r="FE24" s="12">
        <f>IF('Données projet'!$A$218&gt;35,FE23+FD24-FM23,IF(A24&lt;'Données projet'!$A$218,$FB$205^A24,IF(A24='Données projet'!$A$218,'Données projet'!$B$218,FE23+FD24-FM23)))</f>
        <v>152.30666666666667</v>
      </c>
      <c r="FF24" s="17">
        <f>FE24*VLOOKUP('Données projet'!$B$16,Paramètres!$A$1:$I$89,3,0)*VLOOKUP('Données projet'!$B$16,Paramètres!$A$1:$I$89,5,0)</f>
        <v>91.079386666666679</v>
      </c>
      <c r="FG24" s="13">
        <f t="shared" si="47"/>
        <v>24.825366166504242</v>
      </c>
      <c r="FH24" s="20">
        <f t="shared" si="22"/>
        <v>201.8674445177727</v>
      </c>
      <c r="FI24" s="59">
        <f t="shared" si="23"/>
        <v>417.09415685008037</v>
      </c>
      <c r="FJ24" s="59">
        <f ca="1">AVERAGE(OFFSET($FI$3,0,0,'Données projet'!$E$16+1,1))-AVERAGE(OFFSET($H$3,0,0,'Données projet'!$E$16+1,1))</f>
        <v>319.29539841078537</v>
      </c>
      <c r="FK24" s="59">
        <f t="shared" si="48"/>
        <v>327.26871144121412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12.971735125755124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12.971735125755124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26.933333333333326</v>
      </c>
      <c r="FZ24" s="12">
        <f>IF('Données projet'!$A$244&gt;35,FZ23+FY24-GH23,IF(A24&lt;'Données projet'!$A$244,$FW$205^A24,IF(A24='Données projet'!$A$244,'Données projet'!$B$244,FZ23+FY24-GH23)))</f>
        <v>208.29000000000002</v>
      </c>
      <c r="GA24" s="17">
        <f>FZ24*VLOOKUP('Données projet'!$B$17,Paramètres!$A$1:$I$89,3,0)*VLOOKUP('Données projet'!$B$17,Paramètres!$A$1:$I$89,5,0)</f>
        <v>92.064180000000022</v>
      </c>
      <c r="GB24" s="13">
        <f t="shared" si="49"/>
        <v>25.062396586115501</v>
      </c>
      <c r="GC24" s="20">
        <f t="shared" si="25"/>
        <v>203.99545422081783</v>
      </c>
      <c r="GD24" s="59">
        <f t="shared" si="26"/>
        <v>419.22216655312553</v>
      </c>
      <c r="GE24" s="59">
        <f ca="1">AVERAGE(OFFSET($GD$3,0,0,'Données projet'!$E$17+1,1))-AVERAGE(OFFSET($H$3,0,0,'Données projet'!$E$17+1,1))</f>
        <v>342.89128067483233</v>
      </c>
      <c r="GF24" s="59">
        <f t="shared" si="50"/>
        <v>453.47615302202996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22.115362453938062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22.115362453938062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51.698194272447559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5.8668181818181813</v>
      </c>
      <c r="GU24" s="12">
        <f>IF('Données projet'!$A$270&gt;35,GU23+GT24-HC23,IF(A24&lt;'Données projet'!$A$270,$GR$205^A24,IF(A24='Données projet'!$A$270,'Données projet'!$B$270,GU23+GT24-HC23)))</f>
        <v>103.48531001863087</v>
      </c>
      <c r="GV24" s="17">
        <f>GU24*VLOOKUP('Données projet'!$B$18,Paramètres!$A$1:$I$89,3,0)*VLOOKUP('Données projet'!$B$18,Paramètres!$A$1:$I$89,5,0)</f>
        <v>61.884215391141261</v>
      </c>
      <c r="GW24" s="13">
        <f t="shared" si="51"/>
        <v>17.643797099482939</v>
      </c>
      <c r="GX24" s="20">
        <f t="shared" si="28"/>
        <v>138.51128842117049</v>
      </c>
      <c r="GY24" s="59">
        <f t="shared" si="29"/>
        <v>353.73800075347822</v>
      </c>
      <c r="GZ24" s="59">
        <f ca="1">AVERAGE(OFFSET($GY$3,0,0,'Données projet'!$E$18+1,1))-AVERAGE(OFFSET($H$3,0,0,'Données projet'!$E$18+1,1))</f>
        <v>375.89365709113105</v>
      </c>
      <c r="HA24" s="59">
        <f t="shared" si="52"/>
        <v>279.39056561403834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178.09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77.375910857142856</v>
      </c>
      <c r="P25" s="13">
        <f t="shared" si="33"/>
        <v>21.49434063873689</v>
      </c>
      <c r="Q25" s="20">
        <f t="shared" si="2"/>
        <v>172.19902135532388</v>
      </c>
      <c r="R25" s="59">
        <f t="shared" si="0"/>
        <v>389.81210575629285</v>
      </c>
      <c r="S25" s="59">
        <f ca="1">AVERAGE(OFFSET($R$3,0,0,'Données projet'!$E$9+1,1))-AVERAGE(OFFSET($H$3,0,0,'Données projet'!$E$9+1,1))</f>
        <v>631.31712308065664</v>
      </c>
      <c r="T25" s="59">
        <f t="shared" si="34"/>
        <v>290.92244624361285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3.8113157894736847</v>
      </c>
      <c r="AI25" s="13">
        <f>IF('Données projet'!$A$62&gt;35,AI24+AH25-AQ24,IF(A25&lt;'Données projet'!$A$62,$AF$205^A25,IF(A25='Données projet'!$A$62,'Données projet'!$B$62,AI24+AH25-AQ24)))</f>
        <v>83.848947368421022</v>
      </c>
      <c r="AJ25" s="13">
        <f>AI25*VLOOKUP('Données projet'!$B$10,Paramètres!$A$1:$I$89,3,0)*VLOOKUP('Données projet'!$B$10,Paramètres!$A$1:$I$89,5,0)</f>
        <v>70.634353263157877</v>
      </c>
      <c r="AK25" s="13">
        <f t="shared" si="35"/>
        <v>19.83090703731613</v>
      </c>
      <c r="AL25" s="20">
        <f t="shared" si="4"/>
        <v>157.56032835665889</v>
      </c>
      <c r="AM25" s="59">
        <f t="shared" si="5"/>
        <v>375.17341275762783</v>
      </c>
      <c r="AN25" s="59">
        <f ca="1">AVERAGE(OFFSET($AM$3,0,0,'Données projet'!$E$10+1,1))-AVERAGE(OFFSET($H$3,0,0,'Données projet'!$E$10+1,1))</f>
        <v>401.19166052471473</v>
      </c>
      <c r="AO25" s="59">
        <f t="shared" si="36"/>
        <v>271.10067497534271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86.714382857142866</v>
      </c>
      <c r="BF25" s="13">
        <f t="shared" si="37"/>
        <v>23.771106295024762</v>
      </c>
      <c r="BG25" s="20">
        <f t="shared" si="7"/>
        <v>192.42889360669196</v>
      </c>
      <c r="BH25" s="59">
        <f t="shared" si="8"/>
        <v>410.04197800766093</v>
      </c>
      <c r="BI25" s="59">
        <f ca="1">AVERAGE(OFFSET($BH$3,0,0,'Données projet'!$E$11+1,1))-AVERAGE(OFFSET($H$3,0,0,'Données projet'!$E$11+1,1))</f>
        <v>695.93700574708214</v>
      </c>
      <c r="BJ25" s="59">
        <f t="shared" si="38"/>
        <v>318.31690229208471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91.40000000000002</v>
      </c>
      <c r="BZ25" s="13">
        <f>BY25*VLOOKUP('Données projet'!$B$12,Paramètres!$A$1:$I$89,3,0)*VLOOKUP('Données projet'!$B$12,Paramètres!$A$1:$I$89,5,0)</f>
        <v>59.885280000000009</v>
      </c>
      <c r="CA25" s="13">
        <f t="shared" si="39"/>
        <v>17.139260967250106</v>
      </c>
      <c r="CB25" s="20">
        <f t="shared" si="10"/>
        <v>134.15107551796063</v>
      </c>
      <c r="CC25" s="59">
        <f t="shared" si="11"/>
        <v>351.76415991892964</v>
      </c>
      <c r="CD25" s="59">
        <f ca="1">AVERAGE(OFFSET($CC$3,0,0,'Données projet'!$E$12+1,1))-AVERAGE(OFFSET($H$3,0,0,'Données projet'!$E$12+1,1))</f>
        <v>260.25859566735949</v>
      </c>
      <c r="CE25" s="59">
        <f t="shared" si="40"/>
        <v>256.93649773468667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8.1999999999999993</v>
      </c>
      <c r="CT25" s="12">
        <f>IF('Données projet'!$A$140&gt;35,CT24+CS25-DB24,IF(A25&lt;'Données projet'!$A$140,$CQ$205^A25,IF(A25='Données projet'!$A$140,'Données projet'!$B$140,CT24+CS25-DB24)))</f>
        <v>91.40000000000002</v>
      </c>
      <c r="CU25" s="17">
        <f>CT25*VLOOKUP('Données projet'!$B$13,Paramètres!$A$1:$I$89,3,0)*VLOOKUP('Données projet'!$B$13,Paramètres!$A$1:$I$89,5,0)</f>
        <v>59.885280000000009</v>
      </c>
      <c r="CV25" s="13">
        <f t="shared" si="41"/>
        <v>17.139260967250106</v>
      </c>
      <c r="CW25" s="20">
        <f t="shared" si="13"/>
        <v>134.15107551796063</v>
      </c>
      <c r="CX25" s="59">
        <f t="shared" si="14"/>
        <v>351.76415991892964</v>
      </c>
      <c r="CY25" s="59">
        <f ca="1">AVERAGE(OFFSET($CX$3,0,0,'Données projet'!$E$13+1,1))-AVERAGE(OFFSET($H$3,0,0,'Données projet'!$E$13+1,1))</f>
        <v>260.25859566735949</v>
      </c>
      <c r="CZ25" s="59">
        <f t="shared" si="42"/>
        <v>256.93649773468667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7.3233333333333333</v>
      </c>
      <c r="DO25" s="12">
        <f>IF('Données projet'!$A$166&gt;35,DO24+DN25-DW24,IF(A25&lt;'Données projet'!$A$166,$DL$205^A25,IF(A25='Données projet'!$A$166,'Données projet'!$B$166,DO24+DN25-DW24)))</f>
        <v>74.280350264145468</v>
      </c>
      <c r="DP25" s="17">
        <f>DO25*VLOOKUP('Données projet'!$B$14,Paramètres!$A$1:$I$89,3,0)*VLOOKUP('Données projet'!$B$14,Paramètres!$A$1:$I$89,5,0)</f>
        <v>42.488360351091217</v>
      </c>
      <c r="DQ25" s="13">
        <f t="shared" si="43"/>
        <v>12.655852712543343</v>
      </c>
      <c r="DR25" s="20">
        <f t="shared" si="16"/>
        <v>96.042837752496851</v>
      </c>
      <c r="DS25" s="59">
        <f t="shared" si="17"/>
        <v>313.65592215346584</v>
      </c>
      <c r="DT25" s="59">
        <f ca="1">AVERAGE(OFFSET($DS$3,0,0,'Données projet'!$E$14+1,1))-AVERAGE(OFFSET($H$3,0,0,'Données projet'!$E$14+1,1))</f>
        <v>349.56396446903</v>
      </c>
      <c r="DU25" s="59">
        <f t="shared" si="44"/>
        <v>270.64279448634522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>
        <f>VLOOKUP(A25,'Données projet'!$A$191:$I$211,2,0)</f>
        <v>129.07</v>
      </c>
      <c r="EH25" s="12">
        <f>VLOOKUP(A25,'Données projet'!$A$191:$I$211,9,0)</f>
        <v>5.8668181818181813</v>
      </c>
      <c r="EI25" s="12">
        <f t="array" ref="EI25">INDEX(EH:EH,MIN(IF(ISNUMBER(EH25:EH221),ROW(EH25:EH221),"")))</f>
        <v>5.8668181818181813</v>
      </c>
      <c r="EJ25" s="12">
        <f>IF('Données projet'!$A$192&gt;35,EJ24+EI25-ER24,IF(A25&lt;'Données projet'!$A$192,$EG$205^A25,IF(A25='Données projet'!$A$192,'Données projet'!$B$192,EJ24+EI25-ER24)))</f>
        <v>129.07</v>
      </c>
      <c r="EK25" s="17">
        <f>EJ25*VLOOKUP('Données projet'!$B$15,Paramètres!$A$1:$I$89,3,0)*VLOOKUP('Données projet'!$B$15,Paramètres!$A$1:$I$89,5,0)</f>
        <v>77.183859999999996</v>
      </c>
      <c r="EL25" s="13">
        <f t="shared" si="45"/>
        <v>21.447193743401183</v>
      </c>
      <c r="EM25" s="20">
        <f t="shared" si="19"/>
        <v>171.78241860309038</v>
      </c>
      <c r="EN25" s="59">
        <f t="shared" si="20"/>
        <v>389.39550300405938</v>
      </c>
      <c r="EO25" s="59">
        <f ca="1">AVERAGE(OFFSET($EN$3,0,0,'Données projet'!$E$15+1,1))-AVERAGE(OFFSET($H$3,0,0,'Données projet'!$E$15+1,1))</f>
        <v>375.89365709113105</v>
      </c>
      <c r="EP25" s="59">
        <f t="shared" si="46"/>
        <v>279.39056561403834</v>
      </c>
      <c r="EQ25" s="15">
        <f>IF(ISNA(VLOOKUP(A25,'Données projet'!$A$191:$I$211,3,0)),0,VLOOKUP(A25,'Données projet'!$A$191:$I$211,3,0))</f>
        <v>1</v>
      </c>
      <c r="ER25" s="15">
        <f>IF(ISNA(VLOOKUP(A25,'Données projet'!$A$191:$I$211,4,0)),0,VLOOKUP(A25,'Données projet'!$A$191:$I$211,4,0))</f>
        <v>52.41</v>
      </c>
      <c r="ES25" s="16">
        <f>IF(ISNA(VLOOKUP(A25,'Données projet'!$A$191:$I$211,5,0)),0%,VLOOKUP(A25,'Données projet'!$A$191:$I$211,5,0)*VLOOKUP('Données projet'!$B$15,Paramètres!$A$1:$I$89,7,0))</f>
        <v>4.5000000000000005E-2</v>
      </c>
      <c r="ET25" s="16">
        <f>IF(ISNA(VLOOKUP(A25,'Données projet'!$A$191:$I$211,6,0)),0%,VLOOKUP(A25,'Données projet'!$A$191:$I$211,6,0)*VLOOKUP('Données projet'!$B$15,Paramètres!$A$1:$I$89,7,0))</f>
        <v>0.36000000000000004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1.8709242920789675</v>
      </c>
      <c r="EW25" s="21">
        <f>EXP(-LN(2)/25)*EW24+(1-EXP(-LN(2)/25))/(LN(2)/25)*Calculateur!ER25*Calculateur!ET25*VLOOKUP('Données projet'!$B$15,Paramètres!$A$1:$I$89,3,0)*0.475*44/12</f>
        <v>14.908462002104068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16.779386294183034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17.686666666666667</v>
      </c>
      <c r="FE25" s="12">
        <f>IF('Données projet'!$A$218&gt;35,FE24+FD25-FM24,IF(A25&lt;'Données projet'!$A$218,$FB$205^A25,IF(A25='Données projet'!$A$218,'Données projet'!$B$218,FE24+FD25-FM24)))</f>
        <v>169.99333333333334</v>
      </c>
      <c r="FF25" s="17">
        <f>FE25*VLOOKUP('Données projet'!$B$16,Paramètres!$A$1:$I$89,3,0)*VLOOKUP('Données projet'!$B$16,Paramètres!$A$1:$I$89,5,0)</f>
        <v>101.65601333333333</v>
      </c>
      <c r="FG25" s="13">
        <f t="shared" si="47"/>
        <v>27.356141971554642</v>
      </c>
      <c r="FH25" s="20">
        <f t="shared" si="22"/>
        <v>224.6961704893466</v>
      </c>
      <c r="FI25" s="59">
        <f t="shared" si="23"/>
        <v>442.30925489031557</v>
      </c>
      <c r="FJ25" s="59">
        <f ca="1">AVERAGE(OFFSET($FI$3,0,0,'Données projet'!$E$16+1,1))-AVERAGE(OFFSET($H$3,0,0,'Données projet'!$E$16+1,1))</f>
        <v>319.29539841078537</v>
      </c>
      <c r="FK25" s="59">
        <f t="shared" si="48"/>
        <v>327.26871144121412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12.617022346587447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12.617022346587447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26.933333333333326</v>
      </c>
      <c r="FZ25" s="12">
        <f>IF('Données projet'!$A$244&gt;35,FZ24+FY25-GH24,IF(A25&lt;'Données projet'!$A$244,$FW$205^A25,IF(A25='Données projet'!$A$244,'Données projet'!$B$244,FZ24+FY25-GH24)))</f>
        <v>235.22333333333336</v>
      </c>
      <c r="GA25" s="17">
        <f>FZ25*VLOOKUP('Données projet'!$B$17,Paramètres!$A$1:$I$89,3,0)*VLOOKUP('Données projet'!$B$17,Paramètres!$A$1:$I$89,5,0)</f>
        <v>103.96871333333335</v>
      </c>
      <c r="GB25" s="13">
        <f t="shared" si="49"/>
        <v>27.905336478184612</v>
      </c>
      <c r="GC25" s="20">
        <f t="shared" si="25"/>
        <v>229.68063675506048</v>
      </c>
      <c r="GD25" s="59">
        <f t="shared" si="26"/>
        <v>447.29372115602945</v>
      </c>
      <c r="GE25" s="59">
        <f ca="1">AVERAGE(OFFSET($GD$3,0,0,'Données projet'!$E$17+1,1))-AVERAGE(OFFSET($H$3,0,0,'Données projet'!$E$17+1,1))</f>
        <v>342.89128067483233</v>
      </c>
      <c r="GF25" s="59">
        <f t="shared" si="50"/>
        <v>453.47615302202996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21.51061670463876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21.51061670463876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52.015689685112747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>
        <f>VLOOKUP(A25,'Données projet'!$A$269:$I$289,2,0)</f>
        <v>129.07</v>
      </c>
      <c r="GS25" s="12">
        <f>VLOOKUP(A25,'Données projet'!$A$269:$I$289,9,0)</f>
        <v>5.8668181818181813</v>
      </c>
      <c r="GT25" s="12">
        <f t="array" ref="GT25">INDEX(GS:GS,MIN(IF(ISNUMBER(GS25:GS221),ROW(GS25:GS221),"")))</f>
        <v>5.8668181818181813</v>
      </c>
      <c r="GU25" s="12">
        <f>IF('Données projet'!$A$270&gt;35,GU24+GT25-HC24,IF(A25&lt;'Données projet'!$A$270,$GR$205^A25,IF(A25='Données projet'!$A$270,'Données projet'!$B$270,GU24+GT25-HC24)))</f>
        <v>129.07</v>
      </c>
      <c r="GV25" s="17">
        <f>GU25*VLOOKUP('Données projet'!$B$18,Paramètres!$A$1:$I$89,3,0)*VLOOKUP('Données projet'!$B$18,Paramètres!$A$1:$I$89,5,0)</f>
        <v>77.183859999999996</v>
      </c>
      <c r="GW25" s="13">
        <f t="shared" si="51"/>
        <v>21.447193743401183</v>
      </c>
      <c r="GX25" s="20">
        <f t="shared" si="28"/>
        <v>171.78241860309038</v>
      </c>
      <c r="GY25" s="59">
        <f t="shared" si="29"/>
        <v>389.39550300405938</v>
      </c>
      <c r="GZ25" s="59">
        <f ca="1">AVERAGE(OFFSET($GY$3,0,0,'Données projet'!$E$18+1,1))-AVERAGE(OFFSET($H$3,0,0,'Données projet'!$E$18+1,1))</f>
        <v>375.89365709113105</v>
      </c>
      <c r="HA25" s="59">
        <f t="shared" si="52"/>
        <v>279.39056561403834</v>
      </c>
      <c r="HB25" s="15">
        <f>IF(ISNA(VLOOKUP(A25,'Données projet'!$A$269:$I$289,3,0)),0,VLOOKUP(A25,'Données projet'!$A$269:$I$289,3,0))</f>
        <v>1</v>
      </c>
      <c r="HC25" s="15">
        <f>IF(ISNA(VLOOKUP(A25,'Données projet'!$A$269:$I$289,4,0)),0,VLOOKUP(A25,'Données projet'!$A$269:$I$289,4,0))</f>
        <v>52.41</v>
      </c>
      <c r="HD25" s="16">
        <f>IF(ISNA(VLOOKUP(A25,'Données projet'!$A$269:$I$289,5,0)),0%,VLOOKUP(A25,'Données projet'!$A$269:$I$289,5,0)*VLOOKUP('Données projet'!$B$18,Paramètres!$A$1:$I$89,7,0))</f>
        <v>4.5000000000000005E-2</v>
      </c>
      <c r="HE25" s="16">
        <f>IF(ISNA(VLOOKUP(A25,'Données projet'!$A$269:$I$289,6,0)),0%,VLOOKUP(A25,'Données projet'!$A$269:$I$289,6,0)*VLOOKUP('Données projet'!$B$18,Paramètres!$A$1:$I$89,7,0))</f>
        <v>0.36000000000000004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1.8709242920789675</v>
      </c>
      <c r="HH25" s="21">
        <f>EXP(-LN(2)/25)*HH24+(1-EXP(-LN(2)/25))/(LN(2)/25)*Calculateur!HC25*Calculateur!HE25*VLOOKUP('Données projet'!$B$18,Paramètres!$A$1:$I$89,3,0)*0.475*44/12</f>
        <v>14.908462002104068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16.779386294183034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178.09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80.892997714285713</v>
      </c>
      <c r="P26" s="13">
        <f t="shared" si="33"/>
        <v>22.355385450466887</v>
      </c>
      <c r="Q26" s="20">
        <f t="shared" si="2"/>
        <v>179.82426734527743</v>
      </c>
      <c r="R26" s="59">
        <f t="shared" si="0"/>
        <v>399.80352841772111</v>
      </c>
      <c r="S26" s="59">
        <f ca="1">AVERAGE(OFFSET($R$3,0,0,'Données projet'!$E$9+1,1))-AVERAGE(OFFSET($H$3,0,0,'Données projet'!$E$9+1,1))</f>
        <v>631.31712308065664</v>
      </c>
      <c r="T26" s="59">
        <f t="shared" si="34"/>
        <v>290.92244624361285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3.8113157894736847</v>
      </c>
      <c r="AI26" s="13">
        <f>IF('Données projet'!$A$62&gt;35,AI25+AH26-AQ25,IF(A26&lt;'Données projet'!$A$62,$AF$205^A26,IF(A26='Données projet'!$A$62,'Données projet'!$B$62,AI25+AH26-AQ25)))</f>
        <v>87.660263157894704</v>
      </c>
      <c r="AJ26" s="13">
        <f>AI26*VLOOKUP('Données projet'!$B$10,Paramètres!$A$1:$I$89,3,0)*VLOOKUP('Données projet'!$B$10,Paramètres!$A$1:$I$89,5,0)</f>
        <v>73.845005684210506</v>
      </c>
      <c r="AK26" s="13">
        <f t="shared" si="35"/>
        <v>20.625316128684492</v>
      </c>
      <c r="AL26" s="20">
        <f t="shared" si="4"/>
        <v>164.5358104907921</v>
      </c>
      <c r="AM26" s="59">
        <f t="shared" si="5"/>
        <v>384.51507156323578</v>
      </c>
      <c r="AN26" s="59">
        <f ca="1">AVERAGE(OFFSET($AM$3,0,0,'Données projet'!$E$10+1,1))-AVERAGE(OFFSET($H$3,0,0,'Données projet'!$E$10+1,1))</f>
        <v>401.19166052471473</v>
      </c>
      <c r="AO26" s="59">
        <f t="shared" si="36"/>
        <v>271.10067497534271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90.655945714285721</v>
      </c>
      <c r="BF26" s="13">
        <f t="shared" si="37"/>
        <v>24.723356382079128</v>
      </c>
      <c r="BG26" s="20">
        <f t="shared" si="7"/>
        <v>200.95228448450212</v>
      </c>
      <c r="BH26" s="59">
        <f t="shared" si="8"/>
        <v>420.93154555694582</v>
      </c>
      <c r="BI26" s="59">
        <f ca="1">AVERAGE(OFFSET($BH$3,0,0,'Données projet'!$E$11+1,1))-AVERAGE(OFFSET($H$3,0,0,'Données projet'!$E$11+1,1))</f>
        <v>695.93700574708214</v>
      </c>
      <c r="BJ26" s="59">
        <f t="shared" si="38"/>
        <v>318.31690229208471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99.600000000000023</v>
      </c>
      <c r="BZ26" s="13">
        <f>BY26*VLOOKUP('Données projet'!$B$12,Paramètres!$A$1:$I$89,3,0)*VLOOKUP('Données projet'!$B$12,Paramètres!$A$1:$I$89,5,0)</f>
        <v>65.257920000000013</v>
      </c>
      <c r="CA26" s="13">
        <f t="shared" si="39"/>
        <v>18.491067519086762</v>
      </c>
      <c r="CB26" s="20">
        <f t="shared" si="10"/>
        <v>145.8628199290761</v>
      </c>
      <c r="CC26" s="59">
        <f t="shared" si="11"/>
        <v>365.84208100151977</v>
      </c>
      <c r="CD26" s="59">
        <f ca="1">AVERAGE(OFFSET($CC$3,0,0,'Données projet'!$E$12+1,1))-AVERAGE(OFFSET($H$3,0,0,'Données projet'!$E$12+1,1))</f>
        <v>260.25859566735949</v>
      </c>
      <c r="CE26" s="59">
        <f t="shared" si="40"/>
        <v>256.93649773468667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8.1999999999999993</v>
      </c>
      <c r="CT26" s="12">
        <f>IF('Données projet'!$A$140&gt;35,CT25+CS26-DB25,IF(A26&lt;'Données projet'!$A$140,$CQ$205^A26,IF(A26='Données projet'!$A$140,'Données projet'!$B$140,CT25+CS26-DB25)))</f>
        <v>99.600000000000023</v>
      </c>
      <c r="CU26" s="17">
        <f>CT26*VLOOKUP('Données projet'!$B$13,Paramètres!$A$1:$I$89,3,0)*VLOOKUP('Données projet'!$B$13,Paramètres!$A$1:$I$89,5,0)</f>
        <v>65.257920000000013</v>
      </c>
      <c r="CV26" s="13">
        <f t="shared" si="41"/>
        <v>18.491067519086762</v>
      </c>
      <c r="CW26" s="20">
        <f t="shared" si="13"/>
        <v>145.8628199290761</v>
      </c>
      <c r="CX26" s="59">
        <f t="shared" si="14"/>
        <v>365.84208100151977</v>
      </c>
      <c r="CY26" s="59">
        <f ca="1">AVERAGE(OFFSET($CX$3,0,0,'Données projet'!$E$13+1,1))-AVERAGE(OFFSET($H$3,0,0,'Données projet'!$E$13+1,1))</f>
        <v>260.25859566735949</v>
      </c>
      <c r="CZ26" s="59">
        <f t="shared" si="42"/>
        <v>256.93649773468667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7.3233333333333333</v>
      </c>
      <c r="DO26" s="12">
        <f>IF('Données projet'!$A$166&gt;35,DO25+DN26-DW25,IF(A26&lt;'Données projet'!$A$166,$DL$205^A26,IF(A26='Données projet'!$A$166,'Données projet'!$B$166,DO25+DN26-DW25)))</f>
        <v>90.346985726056289</v>
      </c>
      <c r="DP26" s="17">
        <f>DO26*VLOOKUP('Données projet'!$B$14,Paramètres!$A$1:$I$89,3,0)*VLOOKUP('Données projet'!$B$14,Paramètres!$A$1:$I$89,5,0)</f>
        <v>51.678475835304198</v>
      </c>
      <c r="DQ26" s="13">
        <f t="shared" si="43"/>
        <v>15.046396865570571</v>
      </c>
      <c r="DR26" s="20">
        <f t="shared" si="16"/>
        <v>116.2124866206902</v>
      </c>
      <c r="DS26" s="59">
        <f t="shared" si="17"/>
        <v>336.19174769313389</v>
      </c>
      <c r="DT26" s="59">
        <f ca="1">AVERAGE(OFFSET($DS$3,0,0,'Données projet'!$E$14+1,1))-AVERAGE(OFFSET($H$3,0,0,'Données projet'!$E$14+1,1))</f>
        <v>349.56396446903</v>
      </c>
      <c r="DU26" s="59">
        <f t="shared" si="44"/>
        <v>270.64279448634522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15.766000000000002</v>
      </c>
      <c r="EJ26" s="12">
        <f>IF('Données projet'!$A$192&gt;35,EJ25+EI26-ER25,IF(A26&lt;'Données projet'!$A$192,$EG$205^A26,IF(A26='Données projet'!$A$192,'Données projet'!$B$192,EJ25+EI26-ER25)))</f>
        <v>92.425999999999988</v>
      </c>
      <c r="EK26" s="17">
        <f>EJ26*VLOOKUP('Données projet'!$B$15,Paramètres!$A$1:$I$89,3,0)*VLOOKUP('Données projet'!$B$15,Paramètres!$A$1:$I$89,5,0)</f>
        <v>55.27074799999999</v>
      </c>
      <c r="EL26" s="13">
        <f t="shared" si="45"/>
        <v>15.966912640281619</v>
      </c>
      <c r="EM26" s="20">
        <f t="shared" si="19"/>
        <v>124.07225894849046</v>
      </c>
      <c r="EN26" s="59">
        <f t="shared" si="20"/>
        <v>344.05152002093416</v>
      </c>
      <c r="EO26" s="59">
        <f ca="1">AVERAGE(OFFSET($EN$3,0,0,'Données projet'!$E$15+1,1))-AVERAGE(OFFSET($H$3,0,0,'Données projet'!$E$15+1,1))</f>
        <v>375.89365709113105</v>
      </c>
      <c r="EP26" s="59">
        <f t="shared" si="46"/>
        <v>279.39056561403834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1.8342366078624377</v>
      </c>
      <c r="EW26" s="21">
        <f>EXP(-LN(2)/25)*EW25+(1-EXP(-LN(2)/25))/(LN(2)/25)*Calculateur!ER26*Calculateur!ET26*VLOOKUP('Données projet'!$B$15,Paramètres!$A$1:$I$89,3,0)*0.475*44/12</f>
        <v>14.500789324654589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16.335025932517027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>
        <f>VLOOKUP(A26,'Données projet'!$A$217:$I$237,2,0)</f>
        <v>187.68</v>
      </c>
      <c r="FC26" s="12">
        <f>VLOOKUP(A26,'Données projet'!$A$217:$I$237,9,0)</f>
        <v>17.686666666666667</v>
      </c>
      <c r="FD26" s="12">
        <f t="array" ref="FD26">INDEX(FC:FC,MIN(IF(ISNUMBER(FC26:FC222),ROW(FC26:FC222),"")))</f>
        <v>17.686666666666667</v>
      </c>
      <c r="FE26" s="12">
        <f>IF('Données projet'!$A$218&gt;35,FE25+FD26-FM25,IF(A26&lt;'Données projet'!$A$218,$FB$205^A26,IF(A26='Données projet'!$A$218,'Données projet'!$B$218,FE25+FD26-FM25)))</f>
        <v>187.68</v>
      </c>
      <c r="FF26" s="17">
        <f>FE26*VLOOKUP('Données projet'!$B$16,Paramètres!$A$1:$I$89,3,0)*VLOOKUP('Données projet'!$B$16,Paramètres!$A$1:$I$89,5,0)</f>
        <v>112.23264000000002</v>
      </c>
      <c r="FG26" s="13">
        <f t="shared" si="47"/>
        <v>29.85639523393861</v>
      </c>
      <c r="FH26" s="20">
        <f t="shared" si="22"/>
        <v>247.47173636577645</v>
      </c>
      <c r="FI26" s="59">
        <f t="shared" si="23"/>
        <v>467.45099743822016</v>
      </c>
      <c r="FJ26" s="59">
        <f ca="1">AVERAGE(OFFSET($FI$3,0,0,'Données projet'!$E$16+1,1))-AVERAGE(OFFSET($H$3,0,0,'Données projet'!$E$16+1,1))</f>
        <v>319.29539841078537</v>
      </c>
      <c r="FK26" s="59">
        <f t="shared" si="48"/>
        <v>327.26871144121412</v>
      </c>
      <c r="FL26" s="15">
        <f>IF(ISNA(VLOOKUP(A26,'Données projet'!$A$217:$I$237,3,0)),0,VLOOKUP(A26,'Données projet'!$A$217:$I$237,3,0))</f>
        <v>2</v>
      </c>
      <c r="FM26" s="15">
        <f>IF(ISNA(VLOOKUP(A26,'Données projet'!$A$217:$I$237,4,0)),0,VLOOKUP(A26,'Données projet'!$A$217:$I$237,4,0))</f>
        <v>57.75</v>
      </c>
      <c r="FN26" s="16">
        <f>IF(ISNA(VLOOKUP(A26,'Données projet'!$A$217:$I$237,5,0)),0%,VLOOKUP(A26,'Données projet'!$A$217:$I$237,5,0)*VLOOKUP('Données projet'!$B$16,Paramètres!$A$1:$I$89,7,0))</f>
        <v>4.5000000000000005E-2</v>
      </c>
      <c r="FO26" s="16">
        <f>IF(ISNA(VLOOKUP(A26,'Données projet'!$A$217:$I$237,6,0)),0%,VLOOKUP(A26,'Données projet'!$A$217:$I$237,6,0)*VLOOKUP('Données projet'!$B$16,Paramètres!$A$1:$I$89,7,0))</f>
        <v>0.36000000000000004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2.0615508083869565</v>
      </c>
      <c r="FR26" s="21">
        <f>EXP(-LN(2)/25)*FR25+(1-EXP(-LN(2)/25))/(LN(2)/25)*Calculateur!FM26*Calculateur!FO26*VLOOKUP('Données projet'!$B$16,Paramètres!$A$1:$I$89,3,0)*0.475*44/12</f>
        <v>28.699478785754813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30.761029594141771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26.933333333333326</v>
      </c>
      <c r="FZ26" s="12">
        <f>IF('Données projet'!$A$244&gt;35,FZ25+FY26-GH25,IF(A26&lt;'Données projet'!$A$244,$FW$205^A26,IF(A26='Données projet'!$A$244,'Données projet'!$B$244,FZ25+FY26-GH25)))</f>
        <v>262.15666666666669</v>
      </c>
      <c r="GA26" s="17">
        <f>FZ26*VLOOKUP('Données projet'!$B$17,Paramètres!$A$1:$I$89,3,0)*VLOOKUP('Données projet'!$B$17,Paramètres!$A$1:$I$89,5,0)</f>
        <v>115.87324666666669</v>
      </c>
      <c r="GB26" s="13">
        <f t="shared" si="49"/>
        <v>30.710550321414171</v>
      </c>
      <c r="GC26" s="20">
        <f t="shared" si="25"/>
        <v>255.30011308757412</v>
      </c>
      <c r="GD26" s="59">
        <f t="shared" si="26"/>
        <v>475.27937416001782</v>
      </c>
      <c r="GE26" s="59">
        <f ca="1">AVERAGE(OFFSET($GD$3,0,0,'Données projet'!$E$17+1,1))-AVERAGE(OFFSET($H$3,0,0,'Données projet'!$E$17+1,1))</f>
        <v>342.89128067483233</v>
      </c>
      <c r="GF26" s="59">
        <f t="shared" si="50"/>
        <v>453.47615302202996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20.922407759656245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20.922407759656245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52.327677262181609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15.766000000000002</v>
      </c>
      <c r="GU26" s="12">
        <f>IF('Données projet'!$A$270&gt;35,GU25+GT26-HC25,IF(A26&lt;'Données projet'!$A$270,$GR$205^A26,IF(A26='Données projet'!$A$270,'Données projet'!$B$270,GU25+GT26-HC25)))</f>
        <v>92.425999999999988</v>
      </c>
      <c r="GV26" s="17">
        <f>GU26*VLOOKUP('Données projet'!$B$18,Paramètres!$A$1:$I$89,3,0)*VLOOKUP('Données projet'!$B$18,Paramètres!$A$1:$I$89,5,0)</f>
        <v>55.27074799999999</v>
      </c>
      <c r="GW26" s="13">
        <f t="shared" si="51"/>
        <v>15.966912640281619</v>
      </c>
      <c r="GX26" s="20">
        <f t="shared" si="28"/>
        <v>124.07225894849046</v>
      </c>
      <c r="GY26" s="59">
        <f t="shared" si="29"/>
        <v>344.05152002093416</v>
      </c>
      <c r="GZ26" s="59">
        <f ca="1">AVERAGE(OFFSET($GY$3,0,0,'Données projet'!$E$18+1,1))-AVERAGE(OFFSET($H$3,0,0,'Données projet'!$E$18+1,1))</f>
        <v>375.89365709113105</v>
      </c>
      <c r="HA26" s="59">
        <f t="shared" si="52"/>
        <v>279.39056561403834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1.8342366078624377</v>
      </c>
      <c r="HH26" s="21">
        <f>EXP(-LN(2)/25)*HH25+(1-EXP(-LN(2)/25))/(LN(2)/25)*Calculateur!HC26*Calculateur!HE26*VLOOKUP('Données projet'!$B$18,Paramètres!$A$1:$I$89,3,0)*0.475*44/12</f>
        <v>14.500789324654589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16.335025932517027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178.09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84.410084571428584</v>
      </c>
      <c r="P27" s="13">
        <f t="shared" si="33"/>
        <v>23.212082188219242</v>
      </c>
      <c r="Q27" s="20">
        <f t="shared" si="2"/>
        <v>187.44194043971996</v>
      </c>
      <c r="R27" s="59">
        <f t="shared" si="0"/>
        <v>409.7675331314428</v>
      </c>
      <c r="S27" s="59">
        <f ca="1">AVERAGE(OFFSET($R$3,0,0,'Données projet'!$E$9+1,1))-AVERAGE(OFFSET($H$3,0,0,'Données projet'!$E$9+1,1))</f>
        <v>631.31712308065664</v>
      </c>
      <c r="T27" s="59">
        <f t="shared" si="34"/>
        <v>290.92244624361285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3.8113157894736847</v>
      </c>
      <c r="AI27" s="13">
        <f>IF('Données projet'!$A$62&gt;35,AI26+AH27-AQ26,IF(A27&lt;'Données projet'!$A$62,$AF$205^A27,IF(A27='Données projet'!$A$62,'Données projet'!$B$62,AI26+AH27-AQ26)))</f>
        <v>91.471578947368386</v>
      </c>
      <c r="AJ27" s="13">
        <f>AI27*VLOOKUP('Données projet'!$B$10,Paramètres!$A$1:$I$89,3,0)*VLOOKUP('Données projet'!$B$10,Paramètres!$A$1:$I$89,5,0)</f>
        <v>77.055658105263134</v>
      </c>
      <c r="AK27" s="13">
        <f t="shared" si="35"/>
        <v>21.415713640805496</v>
      </c>
      <c r="AL27" s="20">
        <f t="shared" si="4"/>
        <v>171.50430579106953</v>
      </c>
      <c r="AM27" s="59">
        <f t="shared" si="5"/>
        <v>393.82989848279237</v>
      </c>
      <c r="AN27" s="59">
        <f ca="1">AVERAGE(OFFSET($AM$3,0,0,'Données projet'!$E$10+1,1))-AVERAGE(OFFSET($H$3,0,0,'Données projet'!$E$10+1,1))</f>
        <v>401.19166052471473</v>
      </c>
      <c r="AO27" s="59">
        <f t="shared" si="36"/>
        <v>271.10067497534271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94.597508571428591</v>
      </c>
      <c r="BF27" s="13">
        <f t="shared" si="37"/>
        <v>25.670797829946185</v>
      </c>
      <c r="BG27" s="20">
        <f t="shared" si="7"/>
        <v>209.4673003157277</v>
      </c>
      <c r="BH27" s="59">
        <f t="shared" si="8"/>
        <v>431.79289300745052</v>
      </c>
      <c r="BI27" s="59">
        <f ca="1">AVERAGE(OFFSET($BH$3,0,0,'Données projet'!$E$11+1,1))-AVERAGE(OFFSET($H$3,0,0,'Données projet'!$E$11+1,1))</f>
        <v>695.93700574708214</v>
      </c>
      <c r="BJ27" s="59">
        <f t="shared" si="38"/>
        <v>318.31690229208471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107.80000000000003</v>
      </c>
      <c r="BZ27" s="13">
        <f>BY27*VLOOKUP('Données projet'!$B$12,Paramètres!$A$1:$I$89,3,0)*VLOOKUP('Données projet'!$B$12,Paramètres!$A$1:$I$89,5,0)</f>
        <v>70.630560000000017</v>
      </c>
      <c r="CA27" s="13">
        <f t="shared" si="39"/>
        <v>19.829966022106095</v>
      </c>
      <c r="CB27" s="20">
        <f t="shared" si="10"/>
        <v>157.5520828218348</v>
      </c>
      <c r="CC27" s="59">
        <f t="shared" si="11"/>
        <v>379.87767551355762</v>
      </c>
      <c r="CD27" s="59">
        <f ca="1">AVERAGE(OFFSET($CC$3,0,0,'Données projet'!$E$12+1,1))-AVERAGE(OFFSET($H$3,0,0,'Données projet'!$E$12+1,1))</f>
        <v>260.25859566735949</v>
      </c>
      <c r="CE27" s="59">
        <f t="shared" si="40"/>
        <v>256.93649773468667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8.1999999999999993</v>
      </c>
      <c r="CT27" s="12">
        <f>IF('Données projet'!$A$140&gt;35,CT26+CS27-DB26,IF(A27&lt;'Données projet'!$A$140,$CQ$205^A27,IF(A27='Données projet'!$A$140,'Données projet'!$B$140,CT26+CS27-DB26)))</f>
        <v>107.80000000000003</v>
      </c>
      <c r="CU27" s="17">
        <f>CT27*VLOOKUP('Données projet'!$B$13,Paramètres!$A$1:$I$89,3,0)*VLOOKUP('Données projet'!$B$13,Paramètres!$A$1:$I$89,5,0)</f>
        <v>70.630560000000017</v>
      </c>
      <c r="CV27" s="13">
        <f t="shared" si="41"/>
        <v>19.829966022106095</v>
      </c>
      <c r="CW27" s="20">
        <f t="shared" si="13"/>
        <v>157.5520828218348</v>
      </c>
      <c r="CX27" s="59">
        <f t="shared" si="14"/>
        <v>379.87767551355762</v>
      </c>
      <c r="CY27" s="59">
        <f ca="1">AVERAGE(OFFSET($CX$3,0,0,'Données projet'!$E$13+1,1))-AVERAGE(OFFSET($H$3,0,0,'Données projet'!$E$13+1,1))</f>
        <v>260.25859566735949</v>
      </c>
      <c r="CZ27" s="59">
        <f t="shared" si="42"/>
        <v>256.93649773468667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7.3233333333333333</v>
      </c>
      <c r="DO27" s="12">
        <f>IF('Données projet'!$A$166&gt;35,DO26+DN27-DW26,IF(A27&lt;'Données projet'!$A$166,$DL$205^A27,IF(A27='Données projet'!$A$166,'Données projet'!$B$166,DO26+DN27-DW26)))</f>
        <v>109.8887902488019</v>
      </c>
      <c r="DP27" s="17">
        <f>DO27*VLOOKUP('Données projet'!$B$14,Paramètres!$A$1:$I$89,3,0)*VLOOKUP('Données projet'!$B$14,Paramètres!$A$1:$I$89,5,0)</f>
        <v>62.85638802231469</v>
      </c>
      <c r="DQ27" s="13">
        <f t="shared" si="43"/>
        <v>17.888487151234813</v>
      </c>
      <c r="DR27" s="20">
        <f t="shared" si="16"/>
        <v>140.63065759393206</v>
      </c>
      <c r="DS27" s="59">
        <f t="shared" si="17"/>
        <v>362.9562502856549</v>
      </c>
      <c r="DT27" s="59">
        <f ca="1">AVERAGE(OFFSET($DS$3,0,0,'Données projet'!$E$14+1,1))-AVERAGE(OFFSET($H$3,0,0,'Données projet'!$E$14+1,1))</f>
        <v>349.56396446903</v>
      </c>
      <c r="DU27" s="59">
        <f t="shared" si="44"/>
        <v>270.64279448634522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15.766000000000002</v>
      </c>
      <c r="EJ27" s="12">
        <f>IF('Données projet'!$A$192&gt;35,EJ26+EI27-ER26,IF(A27&lt;'Données projet'!$A$192,$EG$205^A27,IF(A27='Données projet'!$A$192,'Données projet'!$B$192,EJ26+EI27-ER26)))</f>
        <v>108.19199999999999</v>
      </c>
      <c r="EK27" s="17">
        <f>EJ27*VLOOKUP('Données projet'!$B$15,Paramètres!$A$1:$I$89,3,0)*VLOOKUP('Données projet'!$B$15,Paramètres!$A$1:$I$89,5,0)</f>
        <v>64.698815999999994</v>
      </c>
      <c r="EL27" s="13">
        <f t="shared" si="45"/>
        <v>18.351013925322782</v>
      </c>
      <c r="EM27" s="20">
        <f t="shared" si="19"/>
        <v>144.64512045327049</v>
      </c>
      <c r="EN27" s="59">
        <f t="shared" si="20"/>
        <v>366.97071314499334</v>
      </c>
      <c r="EO27" s="59">
        <f ca="1">AVERAGE(OFFSET($EN$3,0,0,'Données projet'!$E$15+1,1))-AVERAGE(OFFSET($H$3,0,0,'Données projet'!$E$15+1,1))</f>
        <v>375.89365709113105</v>
      </c>
      <c r="EP27" s="59">
        <f t="shared" si="46"/>
        <v>279.39056561403834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1.7982683467561162</v>
      </c>
      <c r="EW27" s="21">
        <f>EXP(-LN(2)/25)*EW26+(1-EXP(-LN(2)/25))/(LN(2)/25)*Calculateur!ER27*Calculateur!ET27*VLOOKUP('Données projet'!$B$15,Paramètres!$A$1:$I$89,3,0)*0.475*44/12</f>
        <v>14.10426447800854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15.902532824764656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18.613333333333333</v>
      </c>
      <c r="FE27" s="12">
        <f>IF('Données projet'!$A$218&gt;35,FE26+FD27-FM26,IF(A27&lt;'Données projet'!$A$218,$FB$205^A27,IF(A27='Données projet'!$A$218,'Données projet'!$B$218,FE26+FD27-FM26)))</f>
        <v>148.54333333333335</v>
      </c>
      <c r="FF27" s="17">
        <f>FE27*VLOOKUP('Données projet'!$B$16,Paramètres!$A$1:$I$89,3,0)*VLOOKUP('Données projet'!$B$16,Paramètres!$A$1:$I$89,5,0)</f>
        <v>88.828913333333347</v>
      </c>
      <c r="FG27" s="13">
        <f t="shared" si="47"/>
        <v>24.282572155728136</v>
      </c>
      <c r="FH27" s="20">
        <f t="shared" si="22"/>
        <v>197.00250389344876</v>
      </c>
      <c r="FI27" s="59">
        <f t="shared" si="23"/>
        <v>419.32809658517158</v>
      </c>
      <c r="FJ27" s="59">
        <f ca="1">AVERAGE(OFFSET($FI$3,0,0,'Données projet'!$E$16+1,1))-AVERAGE(OFFSET($H$3,0,0,'Données projet'!$E$16+1,1))</f>
        <v>319.29539841078537</v>
      </c>
      <c r="FK27" s="59">
        <f t="shared" si="48"/>
        <v>327.26871144121412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2.0211250544563213</v>
      </c>
      <c r="FR27" s="21">
        <f>EXP(-LN(2)/25)*FR26+(1-EXP(-LN(2)/25))/(LN(2)/25)*Calculateur!FM27*Calculateur!FO27*VLOOKUP('Données projet'!$B$16,Paramètres!$A$1:$I$89,3,0)*0.475*44/12</f>
        <v>27.914690029118351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29.935815083574671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>
        <f>VLOOKUP(A27,'Données projet'!$A$243:$I$263,2,0)</f>
        <v>289.08999999999997</v>
      </c>
      <c r="FX27" s="12">
        <f>VLOOKUP(A27,'Données projet'!$A$243:$I$263,9,0)</f>
        <v>26.933333333333326</v>
      </c>
      <c r="FY27" s="12">
        <f t="array" ref="FY27">INDEX(FX:FX,MIN(IF(ISNUMBER(FX27:FX223),ROW(FX27:FX223),"")))</f>
        <v>26.933333333333326</v>
      </c>
      <c r="FZ27" s="12">
        <f>IF('Données projet'!$A$244&gt;35,FZ26+FY27-GH26,IF(A27&lt;'Données projet'!$A$244,$FW$205^A27,IF(A27='Données projet'!$A$244,'Données projet'!$B$244,FZ26+FY27-GH26)))</f>
        <v>289.09000000000003</v>
      </c>
      <c r="GA27" s="17">
        <f>FZ27*VLOOKUP('Données projet'!$B$17,Paramètres!$A$1:$I$89,3,0)*VLOOKUP('Données projet'!$B$17,Paramètres!$A$1:$I$89,5,0)</f>
        <v>127.77778000000002</v>
      </c>
      <c r="GB27" s="13">
        <f t="shared" si="49"/>
        <v>33.482355400940818</v>
      </c>
      <c r="GC27" s="20">
        <f t="shared" si="25"/>
        <v>280.86140248997191</v>
      </c>
      <c r="GD27" s="59">
        <f t="shared" si="26"/>
        <v>503.18699518169478</v>
      </c>
      <c r="GE27" s="59">
        <f ca="1">AVERAGE(OFFSET($GD$3,0,0,'Données projet'!$E$17+1,1))-AVERAGE(OFFSET($H$3,0,0,'Données projet'!$E$17+1,1))</f>
        <v>342.89128067483233</v>
      </c>
      <c r="GF27" s="59">
        <f t="shared" si="50"/>
        <v>453.47615302202996</v>
      </c>
      <c r="GG27" s="15">
        <f>IF(ISNA(VLOOKUP(A27,'Données projet'!$A$243:$I$263,3,0)),0,VLOOKUP(A27,'Données projet'!$A$243:$I$263,3,0))</f>
        <v>2</v>
      </c>
      <c r="GH27" s="15">
        <f>IF(ISNA(VLOOKUP(A27,'Données projet'!$A$243:$I$263,4,0)),0,VLOOKUP(A27,'Données projet'!$A$243:$I$263,4,0))</f>
        <v>51.39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0.55000000000000004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36.857679609764006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36.857679609764006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52.634252552288046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15.766000000000002</v>
      </c>
      <c r="GU27" s="12">
        <f>IF('Données projet'!$A$270&gt;35,GU26+GT27-HC26,IF(A27&lt;'Données projet'!$A$270,$GR$205^A27,IF(A27='Données projet'!$A$270,'Données projet'!$B$270,GU26+GT27-HC26)))</f>
        <v>108.19199999999999</v>
      </c>
      <c r="GV27" s="17">
        <f>GU27*VLOOKUP('Données projet'!$B$18,Paramètres!$A$1:$I$89,3,0)*VLOOKUP('Données projet'!$B$18,Paramètres!$A$1:$I$89,5,0)</f>
        <v>64.698815999999994</v>
      </c>
      <c r="GW27" s="13">
        <f t="shared" si="51"/>
        <v>18.351013925322782</v>
      </c>
      <c r="GX27" s="20">
        <f t="shared" si="28"/>
        <v>144.64512045327049</v>
      </c>
      <c r="GY27" s="59">
        <f t="shared" si="29"/>
        <v>366.97071314499334</v>
      </c>
      <c r="GZ27" s="59">
        <f ca="1">AVERAGE(OFFSET($GY$3,0,0,'Données projet'!$E$18+1,1))-AVERAGE(OFFSET($H$3,0,0,'Données projet'!$E$18+1,1))</f>
        <v>375.89365709113105</v>
      </c>
      <c r="HA27" s="59">
        <f t="shared" si="52"/>
        <v>279.39056561403834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1.7982683467561162</v>
      </c>
      <c r="HH27" s="21">
        <f>EXP(-LN(2)/25)*HH26+(1-EXP(-LN(2)/25))/(LN(2)/25)*Calculateur!HC27*Calculateur!HE27*VLOOKUP('Données projet'!$B$18,Paramètres!$A$1:$I$89,3,0)*0.475*44/12</f>
        <v>14.10426447800854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15.902532824764656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178.09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87.927171428571441</v>
      </c>
      <c r="P28" s="13">
        <f t="shared" si="33"/>
        <v>24.06463273936156</v>
      </c>
      <c r="Q28" s="20">
        <f t="shared" si="2"/>
        <v>195.05239225914997</v>
      </c>
      <c r="R28" s="59">
        <f t="shared" si="0"/>
        <v>419.70481578524516</v>
      </c>
      <c r="S28" s="59">
        <f ca="1">AVERAGE(OFFSET($R$3,0,0,'Données projet'!$E$9+1,1))-AVERAGE(OFFSET($H$3,0,0,'Données projet'!$E$9+1,1))</f>
        <v>631.31712308065664</v>
      </c>
      <c r="T28" s="59">
        <f t="shared" si="34"/>
        <v>290.92244624361285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3.8113157894736847</v>
      </c>
      <c r="AI28" s="13">
        <f>IF('Données projet'!$A$62&gt;35,AI27+AH28-AQ27,IF(A28&lt;'Données projet'!$A$62,$AF$205^A28,IF(A28='Données projet'!$A$62,'Données projet'!$B$62,AI27+AH28-AQ27)))</f>
        <v>95.282894736842067</v>
      </c>
      <c r="AJ28" s="13">
        <f>AI28*VLOOKUP('Données projet'!$B$10,Paramètres!$A$1:$I$89,3,0)*VLOOKUP('Données projet'!$B$10,Paramètres!$A$1:$I$89,5,0)</f>
        <v>80.266310526315763</v>
      </c>
      <c r="AK28" s="13">
        <f t="shared" si="35"/>
        <v>22.202285837109411</v>
      </c>
      <c r="AL28" s="20">
        <f t="shared" si="4"/>
        <v>178.46613866629886</v>
      </c>
      <c r="AM28" s="59">
        <f t="shared" si="5"/>
        <v>403.11856219239405</v>
      </c>
      <c r="AN28" s="59">
        <f ca="1">AVERAGE(OFFSET($AM$3,0,0,'Données projet'!$E$10+1,1))-AVERAGE(OFFSET($H$3,0,0,'Données projet'!$E$10+1,1))</f>
        <v>401.19166052471473</v>
      </c>
      <c r="AO28" s="59">
        <f t="shared" si="36"/>
        <v>271.10067497534271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98.539071428571447</v>
      </c>
      <c r="BF28" s="13">
        <f t="shared" si="37"/>
        <v>26.613653910702727</v>
      </c>
      <c r="BG28" s="20">
        <f t="shared" si="7"/>
        <v>217.97432996590248</v>
      </c>
      <c r="BH28" s="59">
        <f t="shared" si="8"/>
        <v>442.62675349199765</v>
      </c>
      <c r="BI28" s="59">
        <f ca="1">AVERAGE(OFFSET($BH$3,0,0,'Données projet'!$E$11+1,1))-AVERAGE(OFFSET($H$3,0,0,'Données projet'!$E$11+1,1))</f>
        <v>695.93700574708214</v>
      </c>
      <c r="BJ28" s="59">
        <f t="shared" si="38"/>
        <v>318.31690229208471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116</v>
      </c>
      <c r="BW28" s="12">
        <f>VLOOKUP(A28,'Données projet'!$A$113:$I$133,9,0)</f>
        <v>8.1999999999999993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116.00000000000003</v>
      </c>
      <c r="BZ28" s="13">
        <f>BY28*VLOOKUP('Données projet'!$B$12,Paramètres!$A$1:$I$89,3,0)*VLOOKUP('Données projet'!$B$12,Paramètres!$A$1:$I$89,5,0)</f>
        <v>76.003200000000021</v>
      </c>
      <c r="CA28" s="13">
        <f t="shared" si="39"/>
        <v>21.157049992000456</v>
      </c>
      <c r="CB28" s="20">
        <f t="shared" si="10"/>
        <v>169.2207687360675</v>
      </c>
      <c r="CC28" s="59">
        <f t="shared" si="11"/>
        <v>393.87319226216266</v>
      </c>
      <c r="CD28" s="59">
        <f ca="1">AVERAGE(OFFSET($CC$3,0,0,'Données projet'!$E$12+1,1))-AVERAGE(OFFSET($H$3,0,0,'Données projet'!$E$12+1,1))</f>
        <v>260.25859566735949</v>
      </c>
      <c r="CE28" s="59">
        <f t="shared" si="40"/>
        <v>256.93649773468667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18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116</v>
      </c>
      <c r="CR28" s="12">
        <f>VLOOKUP(A28,'Données projet'!$A$139:$I$159,9,0)</f>
        <v>8.1999999999999993</v>
      </c>
      <c r="CS28" s="12">
        <f t="array" ref="CS28">INDEX(CR:CR,MIN(IF(ISNUMBER(CR28:CR224),ROW(CR28:CR224),"")))</f>
        <v>8.1999999999999993</v>
      </c>
      <c r="CT28" s="12">
        <f>IF('Données projet'!$A$140&gt;35,CT27+CS28-DB27,IF(A28&lt;'Données projet'!$A$140,$CQ$205^A28,IF(A28='Données projet'!$A$140,'Données projet'!$B$140,CT27+CS28-DB27)))</f>
        <v>116.00000000000003</v>
      </c>
      <c r="CU28" s="17">
        <f>CT28*VLOOKUP('Données projet'!$B$13,Paramètres!$A$1:$I$89,3,0)*VLOOKUP('Données projet'!$B$13,Paramètres!$A$1:$I$89,5,0)</f>
        <v>76.003200000000021</v>
      </c>
      <c r="CV28" s="13">
        <f t="shared" si="41"/>
        <v>21.157049992000456</v>
      </c>
      <c r="CW28" s="20">
        <f t="shared" si="13"/>
        <v>169.2207687360675</v>
      </c>
      <c r="CX28" s="59">
        <f t="shared" si="14"/>
        <v>393.87319226216266</v>
      </c>
      <c r="CY28" s="59">
        <f ca="1">AVERAGE(OFFSET($CX$3,0,0,'Données projet'!$E$13+1,1))-AVERAGE(OFFSET($H$3,0,0,'Données projet'!$E$13+1,1))</f>
        <v>260.25859566735949</v>
      </c>
      <c r="CZ28" s="59">
        <f t="shared" si="42"/>
        <v>256.93649773468667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18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7.3233333333333333</v>
      </c>
      <c r="DO28" s="12">
        <f>IF('Données projet'!$A$166&gt;35,DO27+DN28-DW27,IF(A28&lt;'Données projet'!$A$166,$DL$205^A28,IF(A28='Données projet'!$A$166,'Données projet'!$B$166,DO27+DN28-DW27)))</f>
        <v>133.65743334215699</v>
      </c>
      <c r="DP28" s="17">
        <f>DO28*VLOOKUP('Données projet'!$B$14,Paramètres!$A$1:$I$89,3,0)*VLOOKUP('Données projet'!$B$14,Paramètres!$A$1:$I$89,5,0)</f>
        <v>76.452051871713806</v>
      </c>
      <c r="DQ28" s="13">
        <f t="shared" si="43"/>
        <v>21.267415409739584</v>
      </c>
      <c r="DR28" s="20">
        <f t="shared" si="16"/>
        <v>170.19473884853133</v>
      </c>
      <c r="DS28" s="59">
        <f t="shared" si="17"/>
        <v>394.84716237462652</v>
      </c>
      <c r="DT28" s="59">
        <f ca="1">AVERAGE(OFFSET($DS$3,0,0,'Données projet'!$E$14+1,1))-AVERAGE(OFFSET($H$3,0,0,'Données projet'!$E$14+1,1))</f>
        <v>349.56396446903</v>
      </c>
      <c r="DU28" s="59">
        <f t="shared" si="44"/>
        <v>270.64279448634522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15.766000000000002</v>
      </c>
      <c r="EJ28" s="12">
        <f>IF('Données projet'!$A$192&gt;35,EJ27+EI28-ER27,IF(A28&lt;'Données projet'!$A$192,$EG$205^A28,IF(A28='Données projet'!$A$192,'Données projet'!$B$192,EJ27+EI28-ER27)))</f>
        <v>123.958</v>
      </c>
      <c r="EK28" s="17">
        <f>EJ28*VLOOKUP('Données projet'!$B$15,Paramètres!$A$1:$I$89,3,0)*VLOOKUP('Données projet'!$B$15,Paramètres!$A$1:$I$89,5,0)</f>
        <v>74.126884000000004</v>
      </c>
      <c r="EL28" s="13">
        <f t="shared" si="45"/>
        <v>20.694866668390631</v>
      </c>
      <c r="EM28" s="20">
        <f t="shared" si="19"/>
        <v>165.1478824141137</v>
      </c>
      <c r="EN28" s="59">
        <f t="shared" si="20"/>
        <v>389.80030594020889</v>
      </c>
      <c r="EO28" s="59">
        <f ca="1">AVERAGE(OFFSET($EN$3,0,0,'Données projet'!$E$15+1,1))-AVERAGE(OFFSET($H$3,0,0,'Données projet'!$E$15+1,1))</f>
        <v>375.89365709113105</v>
      </c>
      <c r="EP28" s="59">
        <f t="shared" si="46"/>
        <v>279.39056561403834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1.7630054013116168</v>
      </c>
      <c r="EW28" s="21">
        <f>EXP(-LN(2)/25)*EW27+(1-EXP(-LN(2)/25))/(LN(2)/25)*Calculateur!ER28*Calculateur!ET28*VLOOKUP('Données projet'!$B$15,Paramètres!$A$1:$I$89,3,0)*0.475*44/12</f>
        <v>13.718582624146363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15.481588025457979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18.613333333333333</v>
      </c>
      <c r="FE28" s="12">
        <f>IF('Données projet'!$A$218&gt;35,FE27+FD28-FM27,IF(A28&lt;'Données projet'!$A$218,$FB$205^A28,IF(A28='Données projet'!$A$218,'Données projet'!$B$218,FE27+FD28-FM27)))</f>
        <v>167.15666666666669</v>
      </c>
      <c r="FF28" s="17">
        <f>FE28*VLOOKUP('Données projet'!$B$16,Paramètres!$A$1:$I$89,3,0)*VLOOKUP('Données projet'!$B$16,Paramètres!$A$1:$I$89,5,0)</f>
        <v>99.959686666666684</v>
      </c>
      <c r="FG28" s="13">
        <f t="shared" si="47"/>
        <v>26.952393227223038</v>
      </c>
      <c r="FH28" s="20">
        <f t="shared" si="22"/>
        <v>221.03853914852459</v>
      </c>
      <c r="FI28" s="59">
        <f t="shared" si="23"/>
        <v>445.69096267461975</v>
      </c>
      <c r="FJ28" s="59">
        <f ca="1">AVERAGE(OFFSET($FI$3,0,0,'Données projet'!$E$16+1,1))-AVERAGE(OFFSET($H$3,0,0,'Données projet'!$E$16+1,1))</f>
        <v>319.29539841078537</v>
      </c>
      <c r="FK28" s="59">
        <f t="shared" si="48"/>
        <v>327.26871144121412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1.9814920249029906</v>
      </c>
      <c r="FR28" s="21">
        <f>EXP(-LN(2)/25)*FR27+(1-EXP(-LN(2)/25))/(LN(2)/25)*Calculateur!FM28*Calculateur!FO28*VLOOKUP('Données projet'!$B$16,Paramètres!$A$1:$I$89,3,0)*0.475*44/12</f>
        <v>27.15136136230236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29.132853387205351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28.810000000000002</v>
      </c>
      <c r="FZ28" s="12">
        <f>IF('Données projet'!$A$244&gt;35,FZ27+FY28-GH27,IF(A28&lt;'Données projet'!$A$244,$FW$205^A28,IF(A28='Données projet'!$A$244,'Données projet'!$B$244,FZ27+FY28-GH27)))</f>
        <v>266.51000000000005</v>
      </c>
      <c r="GA28" s="17">
        <f>FZ28*VLOOKUP('Données projet'!$B$17,Paramètres!$A$1:$I$89,3,0)*VLOOKUP('Données projet'!$B$17,Paramètres!$A$1:$I$89,5,0)</f>
        <v>117.79742000000005</v>
      </c>
      <c r="GB28" s="13">
        <f t="shared" si="49"/>
        <v>31.160731117001546</v>
      </c>
      <c r="GC28" s="20">
        <f t="shared" si="25"/>
        <v>259.43544652877773</v>
      </c>
      <c r="GD28" s="59">
        <f t="shared" si="26"/>
        <v>484.08787005487295</v>
      </c>
      <c r="GE28" s="59">
        <f ca="1">AVERAGE(OFFSET($GD$3,0,0,'Données projet'!$E$17+1,1))-AVERAGE(OFFSET($H$3,0,0,'Données projet'!$E$17+1,1))</f>
        <v>342.89128067483233</v>
      </c>
      <c r="GF28" s="59">
        <f t="shared" si="50"/>
        <v>453.47615302202996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35.849804422573875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35.849804422573875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52.935509446510814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15.766000000000002</v>
      </c>
      <c r="GU28" s="12">
        <f>IF('Données projet'!$A$270&gt;35,GU27+GT28-HC27,IF(A28&lt;'Données projet'!$A$270,$GR$205^A28,IF(A28='Données projet'!$A$270,'Données projet'!$B$270,GU27+GT28-HC27)))</f>
        <v>123.958</v>
      </c>
      <c r="GV28" s="17">
        <f>GU28*VLOOKUP('Données projet'!$B$18,Paramètres!$A$1:$I$89,3,0)*VLOOKUP('Données projet'!$B$18,Paramètres!$A$1:$I$89,5,0)</f>
        <v>74.126884000000004</v>
      </c>
      <c r="GW28" s="13">
        <f t="shared" si="51"/>
        <v>20.694866668390631</v>
      </c>
      <c r="GX28" s="20">
        <f t="shared" si="28"/>
        <v>165.1478824141137</v>
      </c>
      <c r="GY28" s="59">
        <f t="shared" si="29"/>
        <v>389.80030594020889</v>
      </c>
      <c r="GZ28" s="59">
        <f ca="1">AVERAGE(OFFSET($GY$3,0,0,'Données projet'!$E$18+1,1))-AVERAGE(OFFSET($H$3,0,0,'Données projet'!$E$18+1,1))</f>
        <v>375.89365709113105</v>
      </c>
      <c r="HA28" s="59">
        <f t="shared" si="52"/>
        <v>279.39056561403834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1.7630054013116168</v>
      </c>
      <c r="HH28" s="21">
        <f>EXP(-LN(2)/25)*HH27+(1-EXP(-LN(2)/25))/(LN(2)/25)*Calculateur!HC28*Calculateur!HE28*VLOOKUP('Données projet'!$B$18,Paramètres!$A$1:$I$89,3,0)*0.475*44/12</f>
        <v>13.718582624146363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15.481588025457979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178.09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91.444258285714298</v>
      </c>
      <c r="P29" s="13">
        <f t="shared" si="33"/>
        <v>24.913221926074399</v>
      </c>
      <c r="Q29" s="20">
        <f t="shared" si="2"/>
        <v>202.65594470219867</v>
      </c>
      <c r="R29" s="59">
        <f t="shared" si="0"/>
        <v>429.61603657278033</v>
      </c>
      <c r="S29" s="59">
        <f ca="1">AVERAGE(OFFSET($R$3,0,0,'Données projet'!$E$9+1,1))-AVERAGE(OFFSET($H$3,0,0,'Données projet'!$E$9+1,1))</f>
        <v>631.31712308065664</v>
      </c>
      <c r="T29" s="59">
        <f t="shared" si="34"/>
        <v>290.92244624361285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3.8113157894736847</v>
      </c>
      <c r="AI29" s="13">
        <f>IF('Données projet'!$A$62&gt;35,AI28+AH29-AQ28,IF(A29&lt;'Données projet'!$A$62,$AF$205^A29,IF(A29='Données projet'!$A$62,'Données projet'!$B$62,AI28+AH29-AQ28)))</f>
        <v>99.094210526315749</v>
      </c>
      <c r="AJ29" s="13">
        <f>AI29*VLOOKUP('Données projet'!$B$10,Paramètres!$A$1:$I$89,3,0)*VLOOKUP('Données projet'!$B$10,Paramètres!$A$1:$I$89,5,0)</f>
        <v>83.476962947368392</v>
      </c>
      <c r="AK29" s="13">
        <f t="shared" si="35"/>
        <v>22.985203236503651</v>
      </c>
      <c r="AL29" s="20">
        <f t="shared" si="4"/>
        <v>185.42160610357715</v>
      </c>
      <c r="AM29" s="59">
        <f t="shared" si="5"/>
        <v>412.38169797415878</v>
      </c>
      <c r="AN29" s="59">
        <f ca="1">AVERAGE(OFFSET($AM$3,0,0,'Données projet'!$E$10+1,1))-AVERAGE(OFFSET($H$3,0,0,'Données projet'!$E$10+1,1))</f>
        <v>401.19166052471473</v>
      </c>
      <c r="AO29" s="59">
        <f t="shared" si="36"/>
        <v>271.10067497534271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102.48063428571432</v>
      </c>
      <c r="BF29" s="13">
        <f t="shared" si="37"/>
        <v>27.552129023626446</v>
      </c>
      <c r="BG29" s="20">
        <f t="shared" si="7"/>
        <v>226.47372943043516</v>
      </c>
      <c r="BH29" s="59">
        <f t="shared" si="8"/>
        <v>453.43382130101679</v>
      </c>
      <c r="BI29" s="59">
        <f ca="1">AVERAGE(OFFSET($BH$3,0,0,'Données projet'!$E$11+1,1))-AVERAGE(OFFSET($H$3,0,0,'Données projet'!$E$11+1,1))</f>
        <v>695.93700574708214</v>
      </c>
      <c r="BJ29" s="59">
        <f t="shared" si="38"/>
        <v>318.31690229208471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7.8</v>
      </c>
      <c r="BY29" s="12">
        <f>IF('Données projet'!$A$114&gt;35,BY28+BX29-CG28,IF(A29&lt;'Données projet'!$A$114,$BV$205^A29,IF(A29='Données projet'!$A$114,'Données projet'!$B$114,BY28+BX29-CG28)))</f>
        <v>105.80000000000003</v>
      </c>
      <c r="BZ29" s="13">
        <f>BY29*VLOOKUP('Données projet'!$B$12,Paramètres!$A$1:$I$89,3,0)*VLOOKUP('Données projet'!$B$12,Paramètres!$A$1:$I$89,5,0)</f>
        <v>69.320160000000016</v>
      </c>
      <c r="CA29" s="13">
        <f t="shared" si="39"/>
        <v>19.50453356393022</v>
      </c>
      <c r="CB29" s="20">
        <f t="shared" si="10"/>
        <v>154.70300795717847</v>
      </c>
      <c r="CC29" s="59">
        <f t="shared" si="11"/>
        <v>381.66309982776011</v>
      </c>
      <c r="CD29" s="59">
        <f ca="1">AVERAGE(OFFSET($CC$3,0,0,'Données projet'!$E$12+1,1))-AVERAGE(OFFSET($H$3,0,0,'Données projet'!$E$12+1,1))</f>
        <v>260.25859566735949</v>
      </c>
      <c r="CE29" s="59">
        <f t="shared" si="40"/>
        <v>256.93649773468667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7.8</v>
      </c>
      <c r="CT29" s="12">
        <f>IF('Données projet'!$A$140&gt;35,CT28+CS29-DB28,IF(A29&lt;'Données projet'!$A$140,$CQ$205^A29,IF(A29='Données projet'!$A$140,'Données projet'!$B$140,CT28+CS29-DB28)))</f>
        <v>105.80000000000003</v>
      </c>
      <c r="CU29" s="17">
        <f>CT29*VLOOKUP('Données projet'!$B$13,Paramètres!$A$1:$I$89,3,0)*VLOOKUP('Données projet'!$B$13,Paramètres!$A$1:$I$89,5,0)</f>
        <v>69.320160000000016</v>
      </c>
      <c r="CV29" s="13">
        <f t="shared" si="41"/>
        <v>19.50453356393022</v>
      </c>
      <c r="CW29" s="20">
        <f t="shared" si="13"/>
        <v>154.70300795717847</v>
      </c>
      <c r="CX29" s="59">
        <f t="shared" si="14"/>
        <v>381.66309982776011</v>
      </c>
      <c r="CY29" s="59">
        <f ca="1">AVERAGE(OFFSET($CX$3,0,0,'Données projet'!$E$13+1,1))-AVERAGE(OFFSET($H$3,0,0,'Données projet'!$E$13+1,1))</f>
        <v>260.25859566735949</v>
      </c>
      <c r="CZ29" s="59">
        <f t="shared" si="42"/>
        <v>256.93649773468667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7.3233333333333333</v>
      </c>
      <c r="DO29" s="12">
        <f>IF('Données projet'!$A$166&gt;35,DO28+DN29-DW28,IF(A29&lt;'Données projet'!$A$166,$DL$205^A29,IF(A29='Données projet'!$A$166,'Données projet'!$B$166,DO28+DN29-DW28)))</f>
        <v>162.56716856347333</v>
      </c>
      <c r="DP29" s="17">
        <f>DO29*VLOOKUP('Données projet'!$B$14,Paramètres!$A$1:$I$89,3,0)*VLOOKUP('Données projet'!$B$14,Paramètres!$A$1:$I$89,5,0)</f>
        <v>92.988420418306745</v>
      </c>
      <c r="DQ29" s="13">
        <f t="shared" si="43"/>
        <v>25.284584123102171</v>
      </c>
      <c r="DR29" s="20">
        <f t="shared" si="16"/>
        <v>205.99214957628718</v>
      </c>
      <c r="DS29" s="59">
        <f t="shared" si="17"/>
        <v>432.95224144686881</v>
      </c>
      <c r="DT29" s="59">
        <f ca="1">AVERAGE(OFFSET($DS$3,0,0,'Données projet'!$E$14+1,1))-AVERAGE(OFFSET($H$3,0,0,'Données projet'!$E$14+1,1))</f>
        <v>349.56396446903</v>
      </c>
      <c r="DU29" s="59">
        <f t="shared" si="44"/>
        <v>270.64279448634522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15.766000000000002</v>
      </c>
      <c r="EJ29" s="12">
        <f>IF('Données projet'!$A$192&gt;35,EJ28+EI29-ER28,IF(A29&lt;'Données projet'!$A$192,$EG$205^A29,IF(A29='Données projet'!$A$192,'Données projet'!$B$192,EJ28+EI29-ER28)))</f>
        <v>139.72399999999999</v>
      </c>
      <c r="EK29" s="17">
        <f>EJ29*VLOOKUP('Données projet'!$B$15,Paramètres!$A$1:$I$89,3,0)*VLOOKUP('Données projet'!$B$15,Paramètres!$A$1:$I$89,5,0)</f>
        <v>83.554952</v>
      </c>
      <c r="EL29" s="13">
        <f t="shared" si="45"/>
        <v>23.004176736574664</v>
      </c>
      <c r="EM29" s="20">
        <f t="shared" si="19"/>
        <v>185.59048254953419</v>
      </c>
      <c r="EN29" s="59">
        <f t="shared" si="20"/>
        <v>412.55057442011582</v>
      </c>
      <c r="EO29" s="59">
        <f ca="1">AVERAGE(OFFSET($EN$3,0,0,'Données projet'!$E$15+1,1))-AVERAGE(OFFSET($H$3,0,0,'Données projet'!$E$15+1,1))</f>
        <v>375.89365709113105</v>
      </c>
      <c r="EP29" s="59">
        <f t="shared" si="46"/>
        <v>279.39056561403834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1.728433940719011</v>
      </c>
      <c r="EW29" s="21">
        <f>EXP(-LN(2)/25)*EW28+(1-EXP(-LN(2)/25))/(LN(2)/25)*Calculateur!ER29*Calculateur!ET29*VLOOKUP('Données projet'!$B$15,Paramètres!$A$1:$I$89,3,0)*0.475*44/12</f>
        <v>13.343447260860174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15.071881201579185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18.613333333333333</v>
      </c>
      <c r="FE29" s="12">
        <f>IF('Données projet'!$A$218&gt;35,FE28+FD29-FM28,IF(A29&lt;'Données projet'!$A$218,$FB$205^A29,IF(A29='Données projet'!$A$218,'Données projet'!$B$218,FE28+FD29-FM28)))</f>
        <v>185.77000000000004</v>
      </c>
      <c r="FF29" s="17">
        <f>FE29*VLOOKUP('Données projet'!$B$16,Paramètres!$A$1:$I$89,3,0)*VLOOKUP('Données projet'!$B$16,Paramètres!$A$1:$I$89,5,0)</f>
        <v>111.09046000000004</v>
      </c>
      <c r="FG29" s="13">
        <f t="shared" si="47"/>
        <v>29.587757766677999</v>
      </c>
      <c r="FH29" s="20">
        <f t="shared" si="22"/>
        <v>245.01456261029759</v>
      </c>
      <c r="FI29" s="59">
        <f t="shared" si="23"/>
        <v>471.97465448087928</v>
      </c>
      <c r="FJ29" s="59">
        <f ca="1">AVERAGE(OFFSET($FI$3,0,0,'Données projet'!$E$16+1,1))-AVERAGE(OFFSET($H$3,0,0,'Données projet'!$E$16+1,1))</f>
        <v>319.29539841078537</v>
      </c>
      <c r="FK29" s="59">
        <f t="shared" si="48"/>
        <v>327.26871144121412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1.9426361748854397</v>
      </c>
      <c r="FR29" s="21">
        <f>EXP(-LN(2)/25)*FR28+(1-EXP(-LN(2)/25))/(LN(2)/25)*Calculateur!FM29*Calculateur!FO29*VLOOKUP('Données projet'!$B$16,Paramètres!$A$1:$I$89,3,0)*0.475*44/12</f>
        <v>26.408905958022164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28.351542132907603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28.810000000000002</v>
      </c>
      <c r="FZ29" s="12">
        <f>IF('Données projet'!$A$244&gt;35,FZ28+FY29-GH28,IF(A29&lt;'Données projet'!$A$244,$FW$205^A29,IF(A29='Données projet'!$A$244,'Données projet'!$B$244,FZ28+FY29-GH28)))</f>
        <v>295.32000000000005</v>
      </c>
      <c r="GA29" s="17">
        <f>FZ29*VLOOKUP('Données projet'!$B$17,Paramètres!$A$1:$I$89,3,0)*VLOOKUP('Données projet'!$B$17,Paramètres!$A$1:$I$89,5,0)</f>
        <v>130.53144000000003</v>
      </c>
      <c r="GB29" s="13">
        <f t="shared" si="49"/>
        <v>34.119130340423034</v>
      </c>
      <c r="GC29" s="20">
        <f t="shared" si="25"/>
        <v>286.76641000957017</v>
      </c>
      <c r="GD29" s="59">
        <f t="shared" si="26"/>
        <v>513.72650188015177</v>
      </c>
      <c r="GE29" s="59">
        <f ca="1">AVERAGE(OFFSET($GD$3,0,0,'Données projet'!$E$17+1,1))-AVERAGE(OFFSET($H$3,0,0,'Données projet'!$E$17+1,1))</f>
        <v>342.89128067483233</v>
      </c>
      <c r="GF29" s="59">
        <f t="shared" si="50"/>
        <v>453.47615302202996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34.869489635379317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34.869489635379317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53.231540207128333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15.766000000000002</v>
      </c>
      <c r="GU29" s="12">
        <f>IF('Données projet'!$A$270&gt;35,GU28+GT29-HC28,IF(A29&lt;'Données projet'!$A$270,$GR$205^A29,IF(A29='Données projet'!$A$270,'Données projet'!$B$270,GU28+GT29-HC28)))</f>
        <v>139.72399999999999</v>
      </c>
      <c r="GV29" s="17">
        <f>GU29*VLOOKUP('Données projet'!$B$18,Paramètres!$A$1:$I$89,3,0)*VLOOKUP('Données projet'!$B$18,Paramètres!$A$1:$I$89,5,0)</f>
        <v>83.554952</v>
      </c>
      <c r="GW29" s="13">
        <f t="shared" si="51"/>
        <v>23.004176736574664</v>
      </c>
      <c r="GX29" s="20">
        <f t="shared" si="28"/>
        <v>185.59048254953419</v>
      </c>
      <c r="GY29" s="59">
        <f t="shared" si="29"/>
        <v>412.55057442011582</v>
      </c>
      <c r="GZ29" s="59">
        <f ca="1">AVERAGE(OFFSET($GY$3,0,0,'Données projet'!$E$18+1,1))-AVERAGE(OFFSET($H$3,0,0,'Données projet'!$E$18+1,1))</f>
        <v>375.89365709113105</v>
      </c>
      <c r="HA29" s="59">
        <f t="shared" si="52"/>
        <v>279.39056561403834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1.728433940719011</v>
      </c>
      <c r="HH29" s="21">
        <f>EXP(-LN(2)/25)*HH28+(1-EXP(-LN(2)/25))/(LN(2)/25)*Calculateur!HC29*Calculateur!HE29*VLOOKUP('Données projet'!$B$18,Paramètres!$A$1:$I$89,3,0)*0.475*44/12</f>
        <v>13.343447260860174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15.071881201579185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178.09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94.961345142857169</v>
      </c>
      <c r="P30" s="13">
        <f t="shared" si="33"/>
        <v>25.758019548315733</v>
      </c>
      <c r="Q30" s="20">
        <f t="shared" si="2"/>
        <v>210.25289350379276</v>
      </c>
      <c r="R30" s="59">
        <f t="shared" si="0"/>
        <v>439.50182365533357</v>
      </c>
      <c r="S30" s="59">
        <f ca="1">AVERAGE(OFFSET($R$3,0,0,'Données projet'!$E$9+1,1))-AVERAGE(OFFSET($H$3,0,0,'Données projet'!$E$9+1,1))</f>
        <v>631.31712308065664</v>
      </c>
      <c r="T30" s="59">
        <f t="shared" si="34"/>
        <v>290.92244624361285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3.8113157894736847</v>
      </c>
      <c r="AI30" s="13">
        <f>IF('Données projet'!$A$62&gt;35,AI29+AH30-AQ29,IF(A30&lt;'Données projet'!$A$62,$AF$205^A30,IF(A30='Données projet'!$A$62,'Données projet'!$B$62,AI29+AH30-AQ29)))</f>
        <v>102.90552631578943</v>
      </c>
      <c r="AJ30" s="13">
        <f>AI30*VLOOKUP('Données projet'!$B$10,Paramètres!$A$1:$I$89,3,0)*VLOOKUP('Données projet'!$B$10,Paramètres!$A$1:$I$89,5,0)</f>
        <v>86.687615368421021</v>
      </c>
      <c r="AK30" s="13">
        <f t="shared" si="35"/>
        <v>23.764622498233482</v>
      </c>
      <c r="AL30" s="20">
        <f t="shared" si="4"/>
        <v>192.3709809510899</v>
      </c>
      <c r="AM30" s="59">
        <f t="shared" si="5"/>
        <v>421.61991110263068</v>
      </c>
      <c r="AN30" s="59">
        <f ca="1">AVERAGE(OFFSET($AM$3,0,0,'Données projet'!$E$10+1,1))-AVERAGE(OFFSET($H$3,0,0,'Données projet'!$E$10+1,1))</f>
        <v>401.19166052471473</v>
      </c>
      <c r="AO30" s="59">
        <f t="shared" si="36"/>
        <v>271.10067497534271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106.42219714285717</v>
      </c>
      <c r="BF30" s="13">
        <f t="shared" si="37"/>
        <v>28.486410954559084</v>
      </c>
      <c r="BG30" s="20">
        <f t="shared" si="7"/>
        <v>234.96582576966659</v>
      </c>
      <c r="BH30" s="59">
        <f t="shared" si="8"/>
        <v>464.21475592120737</v>
      </c>
      <c r="BI30" s="59">
        <f ca="1">AVERAGE(OFFSET($BH$3,0,0,'Données projet'!$E$11+1,1))-AVERAGE(OFFSET($H$3,0,0,'Données projet'!$E$11+1,1))</f>
        <v>695.93700574708214</v>
      </c>
      <c r="BJ30" s="59">
        <f t="shared" si="38"/>
        <v>318.31690229208471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7.8</v>
      </c>
      <c r="BY30" s="12">
        <f>IF('Données projet'!$A$114&gt;35,BY29+BX30-CG29,IF(A30&lt;'Données projet'!$A$114,$BV$205^A30,IF(A30='Données projet'!$A$114,'Données projet'!$B$114,BY29+BX30-CG29)))</f>
        <v>113.60000000000002</v>
      </c>
      <c r="BZ30" s="13">
        <f>BY30*VLOOKUP('Données projet'!$B$12,Paramètres!$A$1:$I$89,3,0)*VLOOKUP('Données projet'!$B$12,Paramètres!$A$1:$I$89,5,0)</f>
        <v>74.430720000000022</v>
      </c>
      <c r="CA30" s="13">
        <f t="shared" si="39"/>
        <v>20.76980057385482</v>
      </c>
      <c r="CB30" s="20">
        <f t="shared" si="10"/>
        <v>165.80757333279718</v>
      </c>
      <c r="CC30" s="59">
        <f t="shared" si="11"/>
        <v>395.05650348433801</v>
      </c>
      <c r="CD30" s="59">
        <f ca="1">AVERAGE(OFFSET($CC$3,0,0,'Données projet'!$E$12+1,1))-AVERAGE(OFFSET($H$3,0,0,'Données projet'!$E$12+1,1))</f>
        <v>260.25859566735949</v>
      </c>
      <c r="CE30" s="59">
        <f t="shared" si="40"/>
        <v>256.93649773468667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7.8</v>
      </c>
      <c r="CT30" s="12">
        <f>IF('Données projet'!$A$140&gt;35,CT29+CS30-DB29,IF(A30&lt;'Données projet'!$A$140,$CQ$205^A30,IF(A30='Données projet'!$A$140,'Données projet'!$B$140,CT29+CS30-DB29)))</f>
        <v>113.60000000000002</v>
      </c>
      <c r="CU30" s="17">
        <f>CT30*VLOOKUP('Données projet'!$B$13,Paramètres!$A$1:$I$89,3,0)*VLOOKUP('Données projet'!$B$13,Paramètres!$A$1:$I$89,5,0)</f>
        <v>74.430720000000022</v>
      </c>
      <c r="CV30" s="13">
        <f t="shared" si="41"/>
        <v>20.76980057385482</v>
      </c>
      <c r="CW30" s="20">
        <f t="shared" si="13"/>
        <v>165.80757333279718</v>
      </c>
      <c r="CX30" s="59">
        <f t="shared" si="14"/>
        <v>395.05650348433801</v>
      </c>
      <c r="CY30" s="59">
        <f ca="1">AVERAGE(OFFSET($CX$3,0,0,'Données projet'!$E$13+1,1))-AVERAGE(OFFSET($H$3,0,0,'Données projet'!$E$13+1,1))</f>
        <v>260.25859566735949</v>
      </c>
      <c r="CZ30" s="59">
        <f t="shared" si="42"/>
        <v>256.93649773468667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>
        <f>VLOOKUP(A30,'Données projet'!$A$165:$I$185,2,0)</f>
        <v>197.73</v>
      </c>
      <c r="DM30" s="12">
        <f>VLOOKUP(A30,'Données projet'!$A$165:$I$185,9,0)</f>
        <v>7.3233333333333333</v>
      </c>
      <c r="DN30" s="12">
        <f t="array" ref="DN30">INDEX(DM:DM,MIN(IF(ISNUMBER(DM30:DM226),ROW(DM30:DM226),"")))</f>
        <v>7.3233333333333333</v>
      </c>
      <c r="DO30" s="12">
        <f>IF('Données projet'!$A$166&gt;35,DO29+DN30-DW29,IF(A30&lt;'Données projet'!$A$166,$DL$205^A30,IF(A30='Données projet'!$A$166,'Données projet'!$B$166,DO29+DN30-DW29)))</f>
        <v>197.73</v>
      </c>
      <c r="DP30" s="17">
        <f>DO30*VLOOKUP('Données projet'!$B$14,Paramètres!$A$1:$I$89,3,0)*VLOOKUP('Données projet'!$B$14,Paramètres!$A$1:$I$89,5,0)</f>
        <v>113.10156000000001</v>
      </c>
      <c r="DQ30" s="13">
        <f t="shared" si="43"/>
        <v>30.06054952899693</v>
      </c>
      <c r="DR30" s="20">
        <f t="shared" si="16"/>
        <v>249.34067409633633</v>
      </c>
      <c r="DS30" s="59">
        <f t="shared" si="17"/>
        <v>478.58960424787711</v>
      </c>
      <c r="DT30" s="59">
        <f ca="1">AVERAGE(OFFSET($DS$3,0,0,'Données projet'!$E$14+1,1))-AVERAGE(OFFSET($H$3,0,0,'Données projet'!$E$14+1,1))</f>
        <v>349.56396446903</v>
      </c>
      <c r="DU30" s="59">
        <f t="shared" si="44"/>
        <v>270.64279448634522</v>
      </c>
      <c r="DV30" s="15">
        <f>IF(ISNA(VLOOKUP(A30,'Données projet'!$A$165:$I$185,3,0)),0,VLOOKUP(A30,'Données projet'!$A$165:$I$185,3,0))</f>
        <v>1</v>
      </c>
      <c r="DW30" s="15">
        <f>IF(ISNA(VLOOKUP(A30,'Données projet'!$A$165:$I$185,4,0)),0,VLOOKUP(A30,'Données projet'!$A$165:$I$185,4,0))</f>
        <v>66.53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0.45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22.627733976671848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22.627733976671848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>
        <f>VLOOKUP(A30,'Données projet'!$A$191:$I$211,2,0)</f>
        <v>155.49</v>
      </c>
      <c r="EH30" s="12">
        <f>VLOOKUP(A30,'Données projet'!$A$191:$I$211,9,0)</f>
        <v>15.766000000000002</v>
      </c>
      <c r="EI30" s="12">
        <f t="array" ref="EI30">INDEX(EH:EH,MIN(IF(ISNUMBER(EH30:EH226),ROW(EH30:EH226),"")))</f>
        <v>15.766000000000002</v>
      </c>
      <c r="EJ30" s="12">
        <f>IF('Données projet'!$A$192&gt;35,EJ29+EI30-ER29,IF(A30&lt;'Données projet'!$A$192,$EG$205^A30,IF(A30='Données projet'!$A$192,'Données projet'!$B$192,EJ29+EI30-ER29)))</f>
        <v>155.48999999999998</v>
      </c>
      <c r="EK30" s="17">
        <f>EJ30*VLOOKUP('Données projet'!$B$15,Paramètres!$A$1:$I$89,3,0)*VLOOKUP('Données projet'!$B$15,Paramètres!$A$1:$I$89,5,0)</f>
        <v>92.983019999999996</v>
      </c>
      <c r="EL30" s="13">
        <f t="shared" si="45"/>
        <v>25.283286610692237</v>
      </c>
      <c r="EM30" s="20">
        <f t="shared" si="19"/>
        <v>205.98048401362226</v>
      </c>
      <c r="EN30" s="59">
        <f t="shared" si="20"/>
        <v>435.22941416516306</v>
      </c>
      <c r="EO30" s="59">
        <f ca="1">AVERAGE(OFFSET($EN$3,0,0,'Données projet'!$E$15+1,1))-AVERAGE(OFFSET($H$3,0,0,'Données projet'!$E$15+1,1))</f>
        <v>375.89365709113105</v>
      </c>
      <c r="EP30" s="59">
        <f t="shared" si="46"/>
        <v>279.39056561403834</v>
      </c>
      <c r="EQ30" s="15">
        <f>IF(ISNA(VLOOKUP(A30,'Données projet'!$A$191:$I$211,3,0)),0,VLOOKUP(A30,'Données projet'!$A$191:$I$211,3,0))</f>
        <v>2</v>
      </c>
      <c r="ER30" s="15">
        <f>IF(ISNA(VLOOKUP(A30,'Données projet'!$A$191:$I$211,4,0)),0,VLOOKUP(A30,'Données projet'!$A$191:$I$211,4,0))</f>
        <v>37.840000000000003</v>
      </c>
      <c r="ES30" s="16">
        <f>IF(ISNA(VLOOKUP(A30,'Données projet'!$A$191:$I$211,5,0)),0%,VLOOKUP(A30,'Données projet'!$A$191:$I$211,5,0)*VLOOKUP('Données projet'!$B$15,Paramètres!$A$1:$I$89,7,0))</f>
        <v>4.5000000000000005E-2</v>
      </c>
      <c r="ET30" s="16">
        <f>IF(ISNA(VLOOKUP(A30,'Données projet'!$A$191:$I$211,6,0)),0%,VLOOKUP(A30,'Données projet'!$A$191:$I$211,6,0)*VLOOKUP('Données projet'!$B$15,Paramètres!$A$1:$I$89,7,0))</f>
        <v>0.36000000000000004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3.0453470303061421</v>
      </c>
      <c r="EW30" s="21">
        <f>EXP(-LN(2)/25)*EW29+(1-EXP(-LN(2)/25))/(LN(2)/25)*Calculateur!ER30*Calculateur!ET30*VLOOKUP('Données projet'!$B$15,Paramètres!$A$1:$I$89,3,0)*0.475*44/12</f>
        <v>23.742473870162744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26.787820900468887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18.613333333333333</v>
      </c>
      <c r="FE30" s="12">
        <f>IF('Données projet'!$A$218&gt;35,FE29+FD30-FM29,IF(A30&lt;'Données projet'!$A$218,$FB$205^A30,IF(A30='Données projet'!$A$218,'Données projet'!$B$218,FE29+FD30-FM29)))</f>
        <v>204.38333333333338</v>
      </c>
      <c r="FF30" s="17">
        <f>FE30*VLOOKUP('Données projet'!$B$16,Paramètres!$A$1:$I$89,3,0)*VLOOKUP('Données projet'!$B$16,Paramètres!$A$1:$I$89,5,0)</f>
        <v>122.22123333333337</v>
      </c>
      <c r="FG30" s="13">
        <f t="shared" si="47"/>
        <v>32.192511187778997</v>
      </c>
      <c r="FH30" s="20">
        <f t="shared" si="22"/>
        <v>268.937271707604</v>
      </c>
      <c r="FI30" s="59">
        <f t="shared" si="23"/>
        <v>498.18620185914483</v>
      </c>
      <c r="FJ30" s="59">
        <f ca="1">AVERAGE(OFFSET($FI$3,0,0,'Données projet'!$E$16+1,1))-AVERAGE(OFFSET($H$3,0,0,'Données projet'!$E$16+1,1))</f>
        <v>319.29539841078537</v>
      </c>
      <c r="FK30" s="59">
        <f t="shared" si="48"/>
        <v>327.26871144121412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1.9045422643870047</v>
      </c>
      <c r="FR30" s="21">
        <f>EXP(-LN(2)/25)*FR29+(1-EXP(-LN(2)/25))/(LN(2)/25)*Calculateur!FM30*Calculateur!FO30*VLOOKUP('Données projet'!$B$16,Paramètres!$A$1:$I$89,3,0)*0.475*44/12</f>
        <v>25.686753035816043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27.591295300203047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28.810000000000002</v>
      </c>
      <c r="FZ30" s="12">
        <f>IF('Données projet'!$A$244&gt;35,FZ29+FY30-GH29,IF(A30&lt;'Données projet'!$A$244,$FW$205^A30,IF(A30='Données projet'!$A$244,'Données projet'!$B$244,FZ29+FY30-GH29)))</f>
        <v>324.13000000000005</v>
      </c>
      <c r="GA30" s="17">
        <f>FZ30*VLOOKUP('Données projet'!$B$17,Paramètres!$A$1:$I$89,3,0)*VLOOKUP('Données projet'!$B$17,Paramètres!$A$1:$I$89,5,0)</f>
        <v>143.26546000000005</v>
      </c>
      <c r="GB30" s="13">
        <f t="shared" si="49"/>
        <v>37.044069727968875</v>
      </c>
      <c r="GC30" s="20">
        <f t="shared" si="25"/>
        <v>314.03909760954588</v>
      </c>
      <c r="GD30" s="59">
        <f t="shared" si="26"/>
        <v>543.28802776108671</v>
      </c>
      <c r="GE30" s="59">
        <f ca="1">AVERAGE(OFFSET($GD$3,0,0,'Données projet'!$E$17+1,1))-AVERAGE(OFFSET($H$3,0,0,'Données projet'!$E$17+1,1))</f>
        <v>342.89128067483233</v>
      </c>
      <c r="GF30" s="59">
        <f t="shared" si="50"/>
        <v>453.47615302202996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33.915981607593103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33.915981607593103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53.522435495874767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>
        <f>VLOOKUP(A30,'Données projet'!$A$269:$I$289,2,0)</f>
        <v>155.49</v>
      </c>
      <c r="GS30" s="12">
        <f>VLOOKUP(A30,'Données projet'!$A$269:$I$289,9,0)</f>
        <v>15.766000000000002</v>
      </c>
      <c r="GT30" s="12">
        <f t="array" ref="GT30">INDEX(GS:GS,MIN(IF(ISNUMBER(GS30:GS226),ROW(GS30:GS226),"")))</f>
        <v>15.766000000000002</v>
      </c>
      <c r="GU30" s="12">
        <f>IF('Données projet'!$A$270&gt;35,GU29+GT30-HC29,IF(A30&lt;'Données projet'!$A$270,$GR$205^A30,IF(A30='Données projet'!$A$270,'Données projet'!$B$270,GU29+GT30-HC29)))</f>
        <v>155.48999999999998</v>
      </c>
      <c r="GV30" s="17">
        <f>GU30*VLOOKUP('Données projet'!$B$18,Paramètres!$A$1:$I$89,3,0)*VLOOKUP('Données projet'!$B$18,Paramètres!$A$1:$I$89,5,0)</f>
        <v>92.983019999999996</v>
      </c>
      <c r="GW30" s="13">
        <f t="shared" si="51"/>
        <v>25.283286610692237</v>
      </c>
      <c r="GX30" s="20">
        <f t="shared" si="28"/>
        <v>205.98048401362226</v>
      </c>
      <c r="GY30" s="59">
        <f t="shared" si="29"/>
        <v>435.22941416516306</v>
      </c>
      <c r="GZ30" s="59">
        <f ca="1">AVERAGE(OFFSET($GY$3,0,0,'Données projet'!$E$18+1,1))-AVERAGE(OFFSET($H$3,0,0,'Données projet'!$E$18+1,1))</f>
        <v>375.89365709113105</v>
      </c>
      <c r="HA30" s="59">
        <f t="shared" si="52"/>
        <v>279.39056561403834</v>
      </c>
      <c r="HB30" s="15">
        <f>IF(ISNA(VLOOKUP(A30,'Données projet'!$A$269:$I$289,3,0)),0,VLOOKUP(A30,'Données projet'!$A$269:$I$289,3,0))</f>
        <v>2</v>
      </c>
      <c r="HC30" s="15">
        <f>IF(ISNA(VLOOKUP(A30,'Données projet'!$A$269:$I$289,4,0)),0,VLOOKUP(A30,'Données projet'!$A$269:$I$289,4,0))</f>
        <v>37.840000000000003</v>
      </c>
      <c r="HD30" s="16">
        <f>IF(ISNA(VLOOKUP(A30,'Données projet'!$A$269:$I$289,5,0)),0%,VLOOKUP(A30,'Données projet'!$A$269:$I$289,5,0)*VLOOKUP('Données projet'!$B$18,Paramètres!$A$1:$I$89,7,0))</f>
        <v>4.5000000000000005E-2</v>
      </c>
      <c r="HE30" s="16">
        <f>IF(ISNA(VLOOKUP(A30,'Données projet'!$A$269:$I$289,6,0)),0%,VLOOKUP(A30,'Données projet'!$A$269:$I$289,6,0)*VLOOKUP('Données projet'!$B$18,Paramètres!$A$1:$I$89,7,0))</f>
        <v>0.36000000000000004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3.0453470303061421</v>
      </c>
      <c r="HH30" s="21">
        <f>EXP(-LN(2)/25)*HH29+(1-EXP(-LN(2)/25))/(LN(2)/25)*Calculateur!HC30*Calculateur!HE30*VLOOKUP('Données projet'!$B$18,Paramètres!$A$1:$I$89,3,0)*0.475*44/12</f>
        <v>23.742473870162744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26.787820900468887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178.09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98.478432000000026</v>
      </c>
      <c r="P31" s="13">
        <f t="shared" si="33"/>
        <v>26.599182115615513</v>
      </c>
      <c r="Q31" s="20">
        <f t="shared" si="2"/>
        <v>217.84351125136371</v>
      </c>
      <c r="R31" s="59">
        <f t="shared" si="0"/>
        <v>449.36277627984083</v>
      </c>
      <c r="S31" s="59">
        <f ca="1">AVERAGE(OFFSET($R$3,0,0,'Données projet'!$E$9+1,1))-AVERAGE(OFFSET($H$3,0,0,'Données projet'!$E$9+1,1))</f>
        <v>631.31712308065664</v>
      </c>
      <c r="T31" s="59">
        <f t="shared" si="34"/>
        <v>290.92244624361285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3.8113157894736847</v>
      </c>
      <c r="AI31" s="13">
        <f>IF('Données projet'!$A$62&gt;35,AI30+AH31-AQ30,IF(A31&lt;'Données projet'!$A$62,$AF$205^A31,IF(A31='Données projet'!$A$62,'Données projet'!$B$62,AI30+AH31-AQ30)))</f>
        <v>106.71684210526311</v>
      </c>
      <c r="AJ31" s="13">
        <f>AI31*VLOOKUP('Données projet'!$B$10,Paramètres!$A$1:$I$89,3,0)*VLOOKUP('Données projet'!$B$10,Paramètres!$A$1:$I$89,5,0)</f>
        <v>89.89826778947365</v>
      </c>
      <c r="AK31" s="13">
        <f t="shared" si="35"/>
        <v>24.540688019654006</v>
      </c>
      <c r="AL31" s="20">
        <f t="shared" si="4"/>
        <v>199.31451470089735</v>
      </c>
      <c r="AM31" s="59">
        <f t="shared" si="5"/>
        <v>430.83377972937444</v>
      </c>
      <c r="AN31" s="59">
        <f ca="1">AVERAGE(OFFSET($AM$3,0,0,'Données projet'!$E$10+1,1))-AVERAGE(OFFSET($H$3,0,0,'Données projet'!$E$10+1,1))</f>
        <v>401.19166052471473</v>
      </c>
      <c r="AO31" s="59">
        <f t="shared" si="36"/>
        <v>271.10067497534271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110.36376000000004</v>
      </c>
      <c r="BF31" s="13">
        <f t="shared" si="37"/>
        <v>29.416672791139618</v>
      </c>
      <c r="BG31" s="20">
        <f t="shared" si="7"/>
        <v>243.45092044456825</v>
      </c>
      <c r="BH31" s="59">
        <f t="shared" si="8"/>
        <v>474.97018547304538</v>
      </c>
      <c r="BI31" s="59">
        <f ca="1">AVERAGE(OFFSET($BH$3,0,0,'Données projet'!$E$11+1,1))-AVERAGE(OFFSET($H$3,0,0,'Données projet'!$E$11+1,1))</f>
        <v>695.93700574708214</v>
      </c>
      <c r="BJ31" s="59">
        <f t="shared" si="38"/>
        <v>318.31690229208471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7.8</v>
      </c>
      <c r="BY31" s="12">
        <f>IF('Données projet'!$A$114&gt;35,BY30+BX31-CG30,IF(A31&lt;'Données projet'!$A$114,$BV$205^A31,IF(A31='Données projet'!$A$114,'Données projet'!$B$114,BY30+BX31-CG30)))</f>
        <v>121.40000000000002</v>
      </c>
      <c r="BZ31" s="13">
        <f>BY31*VLOOKUP('Données projet'!$B$12,Paramètres!$A$1:$I$89,3,0)*VLOOKUP('Données projet'!$B$12,Paramètres!$A$1:$I$89,5,0)</f>
        <v>79.541280000000015</v>
      </c>
      <c r="CA31" s="13">
        <f t="shared" si="39"/>
        <v>22.024987194093406</v>
      </c>
      <c r="CB31" s="20">
        <f t="shared" si="10"/>
        <v>176.89458202971272</v>
      </c>
      <c r="CC31" s="59">
        <f t="shared" si="11"/>
        <v>408.41384705818984</v>
      </c>
      <c r="CD31" s="59">
        <f ca="1">AVERAGE(OFFSET($CC$3,0,0,'Données projet'!$E$12+1,1))-AVERAGE(OFFSET($H$3,0,0,'Données projet'!$E$12+1,1))</f>
        <v>260.25859566735949</v>
      </c>
      <c r="CE31" s="59">
        <f t="shared" si="40"/>
        <v>256.93649773468667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7.8</v>
      </c>
      <c r="CT31" s="12">
        <f>IF('Données projet'!$A$140&gt;35,CT30+CS31-DB30,IF(A31&lt;'Données projet'!$A$140,$CQ$205^A31,IF(A31='Données projet'!$A$140,'Données projet'!$B$140,CT30+CS31-DB30)))</f>
        <v>121.40000000000002</v>
      </c>
      <c r="CU31" s="17">
        <f>CT31*VLOOKUP('Données projet'!$B$13,Paramètres!$A$1:$I$89,3,0)*VLOOKUP('Données projet'!$B$13,Paramètres!$A$1:$I$89,5,0)</f>
        <v>79.541280000000015</v>
      </c>
      <c r="CV31" s="13">
        <f t="shared" si="41"/>
        <v>22.024987194093406</v>
      </c>
      <c r="CW31" s="20">
        <f t="shared" si="13"/>
        <v>176.89458202971272</v>
      </c>
      <c r="CX31" s="59">
        <f t="shared" si="14"/>
        <v>408.41384705818984</v>
      </c>
      <c r="CY31" s="59">
        <f ca="1">AVERAGE(OFFSET($CX$3,0,0,'Données projet'!$E$13+1,1))-AVERAGE(OFFSET($H$3,0,0,'Données projet'!$E$13+1,1))</f>
        <v>260.25859566735949</v>
      </c>
      <c r="CZ31" s="59">
        <f t="shared" si="42"/>
        <v>256.93649773468667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12.273333333333335</v>
      </c>
      <c r="DO31" s="12">
        <f>IF('Données projet'!$A$166&gt;35,DO30+DN31-DW30,IF(A31&lt;'Données projet'!$A$166,$DL$205^A31,IF(A31='Données projet'!$A$166,'Données projet'!$B$166,DO30+DN31-DW30)))</f>
        <v>143.47333333333333</v>
      </c>
      <c r="DP31" s="17">
        <f>DO31*VLOOKUP('Données projet'!$B$14,Paramètres!$A$1:$I$89,3,0)*VLOOKUP('Données projet'!$B$14,Paramètres!$A$1:$I$89,5,0)</f>
        <v>82.066746666666674</v>
      </c>
      <c r="DQ31" s="13">
        <f t="shared" si="43"/>
        <v>22.641761845786828</v>
      </c>
      <c r="DR31" s="20">
        <f t="shared" si="16"/>
        <v>182.3673189925232</v>
      </c>
      <c r="DS31" s="59">
        <f t="shared" si="17"/>
        <v>413.88658402100032</v>
      </c>
      <c r="DT31" s="59">
        <f ca="1">AVERAGE(OFFSET($DS$3,0,0,'Données projet'!$E$14+1,1))-AVERAGE(OFFSET($H$3,0,0,'Données projet'!$E$14+1,1))</f>
        <v>349.56396446903</v>
      </c>
      <c r="DU31" s="59">
        <f t="shared" si="44"/>
        <v>270.64279448634522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22.008977401138942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22.008977401138942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16.614999999999998</v>
      </c>
      <c r="EJ31" s="12">
        <f>IF('Données projet'!$A$192&gt;35,EJ30+EI31-ER30,IF(A31&lt;'Données projet'!$A$192,$EG$205^A31,IF(A31='Données projet'!$A$192,'Données projet'!$B$192,EJ30+EI31-ER30)))</f>
        <v>134.26499999999999</v>
      </c>
      <c r="EK31" s="17">
        <f>EJ31*VLOOKUP('Données projet'!$B$15,Paramètres!$A$1:$I$89,3,0)*VLOOKUP('Données projet'!$B$15,Paramètres!$A$1:$I$89,5,0)</f>
        <v>80.290469999999999</v>
      </c>
      <c r="EL31" s="13">
        <f t="shared" si="45"/>
        <v>22.208190565938402</v>
      </c>
      <c r="EM31" s="20">
        <f t="shared" si="19"/>
        <v>178.51850048567601</v>
      </c>
      <c r="EN31" s="59">
        <f t="shared" si="20"/>
        <v>410.03776551415314</v>
      </c>
      <c r="EO31" s="59">
        <f ca="1">AVERAGE(OFFSET($EN$3,0,0,'Données projet'!$E$15+1,1))-AVERAGE(OFFSET($H$3,0,0,'Données projet'!$E$15+1,1))</f>
        <v>375.89365709113105</v>
      </c>
      <c r="EP31" s="59">
        <f t="shared" si="46"/>
        <v>279.39056561403834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2.9856296325201162</v>
      </c>
      <c r="EW31" s="21">
        <f>EXP(-LN(2)/25)*EW30+(1-EXP(-LN(2)/25))/(LN(2)/25)*Calculateur!ER31*Calculateur!ET31*VLOOKUP('Données projet'!$B$15,Paramètres!$A$1:$I$89,3,0)*0.475*44/12</f>
        <v>23.093234673620707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26.078864306140822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18.613333333333333</v>
      </c>
      <c r="FE31" s="12">
        <f>IF('Données projet'!$A$218&gt;35,FE30+FD31-FM30,IF(A31&lt;'Données projet'!$A$218,$FB$205^A31,IF(A31='Données projet'!$A$218,'Données projet'!$B$218,FE30+FD31-FM30)))</f>
        <v>222.99666666666673</v>
      </c>
      <c r="FF31" s="17">
        <f>FE31*VLOOKUP('Données projet'!$B$16,Paramètres!$A$1:$I$89,3,0)*VLOOKUP('Données projet'!$B$16,Paramètres!$A$1:$I$89,5,0)</f>
        <v>133.35200666666671</v>
      </c>
      <c r="FG31" s="13">
        <f t="shared" si="47"/>
        <v>34.769758316414304</v>
      </c>
      <c r="FH31" s="20">
        <f t="shared" si="22"/>
        <v>292.81207401219939</v>
      </c>
      <c r="FI31" s="59">
        <f t="shared" si="23"/>
        <v>524.33133904067654</v>
      </c>
      <c r="FJ31" s="59">
        <f ca="1">AVERAGE(OFFSET($FI$3,0,0,'Données projet'!$E$16+1,1))-AVERAGE(OFFSET($H$3,0,0,'Données projet'!$E$16+1,1))</f>
        <v>319.29539841078537</v>
      </c>
      <c r="FK31" s="59">
        <f t="shared" si="48"/>
        <v>327.26871144121412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1.8671953522384528</v>
      </c>
      <c r="FR31" s="21">
        <f>EXP(-LN(2)/25)*FR30+(1-EXP(-LN(2)/25))/(LN(2)/25)*Calculateur!FM31*Calculateur!FO31*VLOOKUP('Données projet'!$B$16,Paramètres!$A$1:$I$89,3,0)*0.475*44/12</f>
        <v>24.984347423244017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26.851542775482471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28.810000000000002</v>
      </c>
      <c r="FZ31" s="12">
        <f>IF('Données projet'!$A$244&gt;35,FZ30+FY31-GH30,IF(A31&lt;'Données projet'!$A$244,$FW$205^A31,IF(A31='Données projet'!$A$244,'Données projet'!$B$244,FZ30+FY31-GH30)))</f>
        <v>352.94000000000005</v>
      </c>
      <c r="GA31" s="17">
        <f>FZ31*VLOOKUP('Données projet'!$B$17,Paramètres!$A$1:$I$89,3,0)*VLOOKUP('Données projet'!$B$17,Paramètres!$A$1:$I$89,5,0)</f>
        <v>155.99948000000003</v>
      </c>
      <c r="GB31" s="13">
        <f t="shared" si="49"/>
        <v>39.938861513736946</v>
      </c>
      <c r="GC31" s="20">
        <f t="shared" si="25"/>
        <v>341.25927813642528</v>
      </c>
      <c r="GD31" s="59">
        <f t="shared" si="26"/>
        <v>572.77854316490243</v>
      </c>
      <c r="GE31" s="59">
        <f ca="1">AVERAGE(OFFSET($GD$3,0,0,'Données projet'!$E$17+1,1))-AVERAGE(OFFSET($H$3,0,0,'Données projet'!$E$17+1,1))</f>
        <v>342.89128067483233</v>
      </c>
      <c r="GF31" s="59">
        <f t="shared" si="50"/>
        <v>453.47615302202996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32.988547306969515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32.988547306969515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53.808284401705883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16.614999999999998</v>
      </c>
      <c r="GU31" s="12">
        <f>IF('Données projet'!$A$270&gt;35,GU30+GT31-HC30,IF(A31&lt;'Données projet'!$A$270,$GR$205^A31,IF(A31='Données projet'!$A$270,'Données projet'!$B$270,GU30+GT31-HC30)))</f>
        <v>134.26499999999999</v>
      </c>
      <c r="GV31" s="17">
        <f>GU31*VLOOKUP('Données projet'!$B$18,Paramètres!$A$1:$I$89,3,0)*VLOOKUP('Données projet'!$B$18,Paramètres!$A$1:$I$89,5,0)</f>
        <v>80.290469999999999</v>
      </c>
      <c r="GW31" s="13">
        <f t="shared" si="51"/>
        <v>22.208190565938402</v>
      </c>
      <c r="GX31" s="20">
        <f t="shared" si="28"/>
        <v>178.51850048567601</v>
      </c>
      <c r="GY31" s="59">
        <f t="shared" si="29"/>
        <v>410.03776551415314</v>
      </c>
      <c r="GZ31" s="59">
        <f ca="1">AVERAGE(OFFSET($GY$3,0,0,'Données projet'!$E$18+1,1))-AVERAGE(OFFSET($H$3,0,0,'Données projet'!$E$18+1,1))</f>
        <v>375.89365709113105</v>
      </c>
      <c r="HA31" s="59">
        <f t="shared" si="52"/>
        <v>279.39056561403834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2.9856296325201162</v>
      </c>
      <c r="HH31" s="21">
        <f>EXP(-LN(2)/25)*HH30+(1-EXP(-LN(2)/25))/(LN(2)/25)*Calculateur!HC31*Calculateur!HE31*VLOOKUP('Données projet'!$B$18,Paramètres!$A$1:$I$89,3,0)*0.475*44/12</f>
        <v>23.093234673620707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26.078864306140822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178.09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101.99551885714288</v>
      </c>
      <c r="P32" s="13">
        <f t="shared" si="33"/>
        <v>27.436854324518826</v>
      </c>
      <c r="Q32" s="20">
        <f t="shared" si="2"/>
        <v>225.4280499580608</v>
      </c>
      <c r="R32" s="59">
        <f t="shared" si="0"/>
        <v>459.19946745214384</v>
      </c>
      <c r="S32" s="59">
        <f ca="1">AVERAGE(OFFSET($R$3,0,0,'Données projet'!$E$9+1,1))-AVERAGE(OFFSET($H$3,0,0,'Données projet'!$E$9+1,1))</f>
        <v>631.31712308065664</v>
      </c>
      <c r="T32" s="59">
        <f t="shared" si="34"/>
        <v>290.92244624361285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3.8113157894736847</v>
      </c>
      <c r="AI32" s="13">
        <f>IF('Données projet'!$A$62&gt;35,AI31+AH32-AQ31,IF(A32&lt;'Données projet'!$A$62,$AF$205^A32,IF(A32='Données projet'!$A$62,'Données projet'!$B$62,AI31+AH32-AQ31)))</f>
        <v>110.52815789473679</v>
      </c>
      <c r="AJ32" s="13">
        <f>AI32*VLOOKUP('Données projet'!$B$10,Paramètres!$A$1:$I$89,3,0)*VLOOKUP('Données projet'!$B$10,Paramètres!$A$1:$I$89,5,0)</f>
        <v>93.108920210526293</v>
      </c>
      <c r="AK32" s="13">
        <f t="shared" si="35"/>
        <v>25.313533299335088</v>
      </c>
      <c r="AL32" s="20">
        <f t="shared" si="4"/>
        <v>206.25243986300856</v>
      </c>
      <c r="AM32" s="59">
        <f t="shared" si="5"/>
        <v>440.02385735709163</v>
      </c>
      <c r="AN32" s="59">
        <f ca="1">AVERAGE(OFFSET($AM$3,0,0,'Données projet'!$E$10+1,1))-AVERAGE(OFFSET($H$3,0,0,'Données projet'!$E$10+1,1))</f>
        <v>401.19166052471473</v>
      </c>
      <c r="AO32" s="59">
        <f t="shared" si="36"/>
        <v>271.10067497534271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114.3053228571429</v>
      </c>
      <c r="BF32" s="13">
        <f t="shared" si="37"/>
        <v>30.343074556744043</v>
      </c>
      <c r="BG32" s="20">
        <f t="shared" si="7"/>
        <v>251.92929216251972</v>
      </c>
      <c r="BH32" s="59">
        <f t="shared" si="8"/>
        <v>485.70070965660273</v>
      </c>
      <c r="BI32" s="59">
        <f ca="1">AVERAGE(OFFSET($BH$3,0,0,'Données projet'!$E$11+1,1))-AVERAGE(OFFSET($H$3,0,0,'Données projet'!$E$11+1,1))</f>
        <v>695.93700574708214</v>
      </c>
      <c r="BJ32" s="59">
        <f t="shared" si="38"/>
        <v>318.31690229208471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7.8</v>
      </c>
      <c r="BY32" s="12">
        <f>IF('Données projet'!$A$114&gt;35,BY31+BX32-CG31,IF(A32&lt;'Données projet'!$A$114,$BV$205^A32,IF(A32='Données projet'!$A$114,'Données projet'!$B$114,BY31+BX32-CG31)))</f>
        <v>129.20000000000002</v>
      </c>
      <c r="BZ32" s="13">
        <f>BY32*VLOOKUP('Données projet'!$B$12,Paramètres!$A$1:$I$89,3,0)*VLOOKUP('Données projet'!$B$12,Paramètres!$A$1:$I$89,5,0)</f>
        <v>84.651840000000007</v>
      </c>
      <c r="CA32" s="13">
        <f t="shared" si="39"/>
        <v>23.270814809686321</v>
      </c>
      <c r="CB32" s="20">
        <f t="shared" si="10"/>
        <v>187.96529046020365</v>
      </c>
      <c r="CC32" s="59">
        <f t="shared" si="11"/>
        <v>421.73670795428666</v>
      </c>
      <c r="CD32" s="59">
        <f ca="1">AVERAGE(OFFSET($CC$3,0,0,'Données projet'!$E$12+1,1))-AVERAGE(OFFSET($H$3,0,0,'Données projet'!$E$12+1,1))</f>
        <v>260.25859566735949</v>
      </c>
      <c r="CE32" s="59">
        <f t="shared" si="40"/>
        <v>256.93649773468667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7.8</v>
      </c>
      <c r="CT32" s="12">
        <f>IF('Données projet'!$A$140&gt;35,CT31+CS32-DB31,IF(A32&lt;'Données projet'!$A$140,$CQ$205^A32,IF(A32='Données projet'!$A$140,'Données projet'!$B$140,CT31+CS32-DB31)))</f>
        <v>129.20000000000002</v>
      </c>
      <c r="CU32" s="17">
        <f>CT32*VLOOKUP('Données projet'!$B$13,Paramètres!$A$1:$I$89,3,0)*VLOOKUP('Données projet'!$B$13,Paramètres!$A$1:$I$89,5,0)</f>
        <v>84.651840000000007</v>
      </c>
      <c r="CV32" s="13">
        <f t="shared" si="41"/>
        <v>23.270814809686321</v>
      </c>
      <c r="CW32" s="20">
        <f t="shared" si="13"/>
        <v>187.96529046020365</v>
      </c>
      <c r="CX32" s="59">
        <f t="shared" si="14"/>
        <v>421.73670795428666</v>
      </c>
      <c r="CY32" s="59">
        <f ca="1">AVERAGE(OFFSET($CX$3,0,0,'Données projet'!$E$13+1,1))-AVERAGE(OFFSET($H$3,0,0,'Données projet'!$E$13+1,1))</f>
        <v>260.25859566735949</v>
      </c>
      <c r="CZ32" s="59">
        <f t="shared" si="42"/>
        <v>256.93649773468667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12.273333333333335</v>
      </c>
      <c r="DO32" s="12">
        <f>IF('Données projet'!$A$166&gt;35,DO31+DN32-DW31,IF(A32&lt;'Données projet'!$A$166,$DL$205^A32,IF(A32='Données projet'!$A$166,'Données projet'!$B$166,DO31+DN32-DW31)))</f>
        <v>155.74666666666667</v>
      </c>
      <c r="DP32" s="17">
        <f>DO32*VLOOKUP('Données projet'!$B$14,Paramètres!$A$1:$I$89,3,0)*VLOOKUP('Données projet'!$B$14,Paramètres!$A$1:$I$89,5,0)</f>
        <v>89.087093333333328</v>
      </c>
      <c r="DQ32" s="13">
        <f t="shared" si="43"/>
        <v>24.34492341818051</v>
      </c>
      <c r="DR32" s="20">
        <f t="shared" si="16"/>
        <v>197.5607625088866</v>
      </c>
      <c r="DS32" s="59">
        <f t="shared" si="17"/>
        <v>431.33218000296961</v>
      </c>
      <c r="DT32" s="59">
        <f ca="1">AVERAGE(OFFSET($DS$3,0,0,'Données projet'!$E$14+1,1))-AVERAGE(OFFSET($H$3,0,0,'Données projet'!$E$14+1,1))</f>
        <v>349.56396446903</v>
      </c>
      <c r="DU32" s="59">
        <f t="shared" si="44"/>
        <v>270.64279448634522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21.407140756702979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21.407140756702979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16.614999999999998</v>
      </c>
      <c r="EJ32" s="12">
        <f>IF('Données projet'!$A$192&gt;35,EJ31+EI32-ER31,IF(A32&lt;'Données projet'!$A$192,$EG$205^A32,IF(A32='Données projet'!$A$192,'Données projet'!$B$192,EJ31+EI32-ER31)))</f>
        <v>150.88</v>
      </c>
      <c r="EK32" s="17">
        <f>EJ32*VLOOKUP('Données projet'!$B$15,Paramètres!$A$1:$I$89,3,0)*VLOOKUP('Données projet'!$B$15,Paramètres!$A$1:$I$89,5,0)</f>
        <v>90.22623999999999</v>
      </c>
      <c r="EL32" s="13">
        <f t="shared" si="45"/>
        <v>24.619780658757083</v>
      </c>
      <c r="EM32" s="20">
        <f t="shared" si="19"/>
        <v>200.02348598066854</v>
      </c>
      <c r="EN32" s="59">
        <f t="shared" si="20"/>
        <v>433.79490347475155</v>
      </c>
      <c r="EO32" s="59">
        <f ca="1">AVERAGE(OFFSET($EN$3,0,0,'Données projet'!$E$15+1,1))-AVERAGE(OFFSET($H$3,0,0,'Données projet'!$E$15+1,1))</f>
        <v>375.89365709113105</v>
      </c>
      <c r="EP32" s="59">
        <f t="shared" si="46"/>
        <v>279.39056561403834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2.9270832564806581</v>
      </c>
      <c r="EW32" s="21">
        <f>EXP(-LN(2)/25)*EW31+(1-EXP(-LN(2)/25))/(LN(2)/25)*Calculateur!ER32*Calculateur!ET32*VLOOKUP('Données projet'!$B$15,Paramètres!$A$1:$I$89,3,0)*0.475*44/12</f>
        <v>22.461748957050116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25.388832213530772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>
        <f>VLOOKUP(A32,'Données projet'!$A$217:$I$237,2,0)</f>
        <v>241.61</v>
      </c>
      <c r="FC32" s="12">
        <f>VLOOKUP(A32,'Données projet'!$A$217:$I$237,9,0)</f>
        <v>18.613333333333333</v>
      </c>
      <c r="FD32" s="12">
        <f t="array" ref="FD32">INDEX(FC:FC,MIN(IF(ISNUMBER(FC32:FC228),ROW(FC32:FC228),"")))</f>
        <v>18.613333333333333</v>
      </c>
      <c r="FE32" s="12">
        <f>IF('Données projet'!$A$218&gt;35,FE31+FD32-FM31,IF(A32&lt;'Données projet'!$A$218,$FB$205^A32,IF(A32='Données projet'!$A$218,'Données projet'!$B$218,FE31+FD32-FM31)))</f>
        <v>241.61000000000007</v>
      </c>
      <c r="FF32" s="17">
        <f>FE32*VLOOKUP('Données projet'!$B$16,Paramètres!$A$1:$I$89,3,0)*VLOOKUP('Données projet'!$B$16,Paramètres!$A$1:$I$89,5,0)</f>
        <v>144.48278000000005</v>
      </c>
      <c r="FG32" s="13">
        <f t="shared" si="47"/>
        <v>37.322056105193219</v>
      </c>
      <c r="FH32" s="20">
        <f t="shared" si="22"/>
        <v>316.6434228832116</v>
      </c>
      <c r="FI32" s="59">
        <f t="shared" si="23"/>
        <v>550.41484037729469</v>
      </c>
      <c r="FJ32" s="59">
        <f ca="1">AVERAGE(OFFSET($FI$3,0,0,'Données projet'!$E$16+1,1))-AVERAGE(OFFSET($H$3,0,0,'Données projet'!$E$16+1,1))</f>
        <v>319.29539841078537</v>
      </c>
      <c r="FK32" s="59">
        <f t="shared" si="48"/>
        <v>327.26871144121412</v>
      </c>
      <c r="FL32" s="15">
        <f>IF(ISNA(VLOOKUP(A32,'Données projet'!$A$217:$I$237,3,0)),0,VLOOKUP(A32,'Données projet'!$A$217:$I$237,3,0))</f>
        <v>3</v>
      </c>
      <c r="FM32" s="15">
        <f>IF(ISNA(VLOOKUP(A32,'Données projet'!$A$217:$I$237,4,0)),0,VLOOKUP(A32,'Données projet'!$A$217:$I$237,4,0))</f>
        <v>54.64</v>
      </c>
      <c r="FN32" s="16">
        <f>IF(ISNA(VLOOKUP(A32,'Données projet'!$A$217:$I$237,5,0)),0%,VLOOKUP(A32,'Données projet'!$A$217:$I$237,5,0)*VLOOKUP('Données projet'!$B$16,Paramètres!$A$1:$I$89,7,0))</f>
        <v>4.5000000000000005E-2</v>
      </c>
      <c r="FO32" s="16">
        <f>IF(ISNA(VLOOKUP(A32,'Données projet'!$A$217:$I$237,6,0)),0%,VLOOKUP(A32,'Données projet'!$A$217:$I$237,6,0)*VLOOKUP('Données projet'!$B$16,Paramètres!$A$1:$I$89,7,0))</f>
        <v>0.36000000000000004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3.7811112867125427</v>
      </c>
      <c r="FR32" s="21">
        <f>EXP(-LN(2)/25)*FR31+(1-EXP(-LN(2)/25))/(LN(2)/25)*Calculateur!FM32*Calculateur!FO32*VLOOKUP('Données projet'!$B$16,Paramètres!$A$1:$I$89,3,0)*0.475*44/12</f>
        <v>39.843953246524457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43.625064533237001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28.810000000000002</v>
      </c>
      <c r="FZ32" s="12">
        <f>IF('Données projet'!$A$244&gt;35,FZ31+FY32-GH31,IF(A32&lt;'Données projet'!$A$244,$FW$205^A32,IF(A32='Données projet'!$A$244,'Données projet'!$B$244,FZ31+FY32-GH31)))</f>
        <v>381.75000000000006</v>
      </c>
      <c r="GA32" s="17">
        <f>FZ32*VLOOKUP('Données projet'!$B$17,Paramètres!$A$1:$I$89,3,0)*VLOOKUP('Données projet'!$B$17,Paramètres!$A$1:$I$89,5,0)</f>
        <v>168.73350000000002</v>
      </c>
      <c r="GB32" s="13">
        <f t="shared" si="49"/>
        <v>42.806246384447611</v>
      </c>
      <c r="GC32" s="20">
        <f t="shared" si="25"/>
        <v>368.43172495291293</v>
      </c>
      <c r="GD32" s="59">
        <f t="shared" si="26"/>
        <v>602.20314244699603</v>
      </c>
      <c r="GE32" s="59">
        <f ca="1">AVERAGE(OFFSET($GD$3,0,0,'Données projet'!$E$17+1,1))-AVERAGE(OFFSET($H$3,0,0,'Données projet'!$E$17+1,1))</f>
        <v>342.89128067483233</v>
      </c>
      <c r="GF32" s="59">
        <f t="shared" si="50"/>
        <v>453.47615302202996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32.08647374606813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32.08647374606813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54.089174468083257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16.614999999999998</v>
      </c>
      <c r="GU32" s="12">
        <f>IF('Données projet'!$A$270&gt;35,GU31+GT32-HC31,IF(A32&lt;'Données projet'!$A$270,$GR$205^A32,IF(A32='Données projet'!$A$270,'Données projet'!$B$270,GU31+GT32-HC31)))</f>
        <v>150.88</v>
      </c>
      <c r="GV32" s="17">
        <f>GU32*VLOOKUP('Données projet'!$B$18,Paramètres!$A$1:$I$89,3,0)*VLOOKUP('Données projet'!$B$18,Paramètres!$A$1:$I$89,5,0)</f>
        <v>90.22623999999999</v>
      </c>
      <c r="GW32" s="13">
        <f t="shared" si="51"/>
        <v>24.619780658757083</v>
      </c>
      <c r="GX32" s="20">
        <f t="shared" si="28"/>
        <v>200.02348598066854</v>
      </c>
      <c r="GY32" s="59">
        <f t="shared" si="29"/>
        <v>433.79490347475155</v>
      </c>
      <c r="GZ32" s="59">
        <f ca="1">AVERAGE(OFFSET($GY$3,0,0,'Données projet'!$E$18+1,1))-AVERAGE(OFFSET($H$3,0,0,'Données projet'!$E$18+1,1))</f>
        <v>375.89365709113105</v>
      </c>
      <c r="HA32" s="59">
        <f t="shared" si="52"/>
        <v>279.39056561403834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2.9270832564806581</v>
      </c>
      <c r="HH32" s="21">
        <f>EXP(-LN(2)/25)*HH31+(1-EXP(-LN(2)/25))/(LN(2)/25)*Calculateur!HC32*Calculateur!HE32*VLOOKUP('Données projet'!$B$18,Paramètres!$A$1:$I$89,3,0)*0.475*44/12</f>
        <v>22.461748957050116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25.388832213530772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178.09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105.51260571428575</v>
      </c>
      <c r="P33" s="13">
        <f t="shared" si="33"/>
        <v>28.271170326518615</v>
      </c>
      <c r="Q33" s="20">
        <f t="shared" si="2"/>
        <v>233.00674327106756</v>
      </c>
      <c r="R33" s="59">
        <f t="shared" si="0"/>
        <v>469.01244624361289</v>
      </c>
      <c r="S33" s="59">
        <f ca="1">AVERAGE(OFFSET($R$3,0,0,'Données projet'!$E$9+1,1))-AVERAGE(OFFSET($H$3,0,0,'Données projet'!$E$9+1,1))</f>
        <v>631.31712308065664</v>
      </c>
      <c r="T33" s="59">
        <f t="shared" si="34"/>
        <v>290.92244624361285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3.8113157894736847</v>
      </c>
      <c r="AI33" s="13">
        <f>IF('Données projet'!$A$62&gt;35,AI32+AH33-AQ32,IF(A33&lt;'Données projet'!$A$62,$AF$205^A33,IF(A33='Données projet'!$A$62,'Données projet'!$B$62,AI32+AH33-AQ32)))</f>
        <v>114.33947368421047</v>
      </c>
      <c r="AJ33" s="13">
        <f>AI33*VLOOKUP('Données projet'!$B$10,Paramètres!$A$1:$I$89,3,0)*VLOOKUP('Données projet'!$B$10,Paramètres!$A$1:$I$89,5,0)</f>
        <v>96.319572631578922</v>
      </c>
      <c r="AK33" s="13">
        <f t="shared" si="35"/>
        <v>26.083282106869351</v>
      </c>
      <c r="AL33" s="20">
        <f t="shared" si="4"/>
        <v>213.18497200279739</v>
      </c>
      <c r="AM33" s="59">
        <f t="shared" si="5"/>
        <v>449.19067497534274</v>
      </c>
      <c r="AN33" s="59">
        <f ca="1">AVERAGE(OFFSET($AM$3,0,0,'Données projet'!$E$10+1,1))-AVERAGE(OFFSET($H$3,0,0,'Données projet'!$E$10+1,1))</f>
        <v>401.19166052471473</v>
      </c>
      <c r="AO33" s="59">
        <f t="shared" si="36"/>
        <v>271.10067497534271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118.24688571428577</v>
      </c>
      <c r="BF33" s="13">
        <f t="shared" si="37"/>
        <v>31.265764612722538</v>
      </c>
      <c r="BG33" s="20">
        <f t="shared" si="7"/>
        <v>260.40119931953944</v>
      </c>
      <c r="BH33" s="59">
        <f t="shared" si="8"/>
        <v>496.40690229208474</v>
      </c>
      <c r="BI33" s="59">
        <f ca="1">AVERAGE(OFFSET($BH$3,0,0,'Données projet'!$E$11+1,1))-AVERAGE(OFFSET($H$3,0,0,'Données projet'!$E$11+1,1))</f>
        <v>695.93700574708214</v>
      </c>
      <c r="BJ33" s="59">
        <f t="shared" si="38"/>
        <v>318.31690229208471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137</v>
      </c>
      <c r="BW33" s="12">
        <f>VLOOKUP(A33,'Données projet'!$A$113:$I$133,9,0)</f>
        <v>7.8</v>
      </c>
      <c r="BX33" s="12">
        <f t="array" ref="BX33">INDEX(BW:BW,MIN(IF(ISNUMBER(BW33:BW229),ROW(BW33:BW229),"")))</f>
        <v>7.8</v>
      </c>
      <c r="BY33" s="12">
        <f>IF('Données projet'!$A$114&gt;35,BY32+BX33-CG32,IF(A33&lt;'Données projet'!$A$114,$BV$205^A33,IF(A33='Données projet'!$A$114,'Données projet'!$B$114,BY32+BX33-CG32)))</f>
        <v>137.00000000000003</v>
      </c>
      <c r="BZ33" s="13">
        <f>BY33*VLOOKUP('Données projet'!$B$12,Paramètres!$A$1:$I$89,3,0)*VLOOKUP('Données projet'!$B$12,Paramètres!$A$1:$I$89,5,0)</f>
        <v>89.762400000000028</v>
      </c>
      <c r="CA33" s="13">
        <f t="shared" si="39"/>
        <v>24.507912782090678</v>
      </c>
      <c r="CB33" s="20">
        <f t="shared" si="10"/>
        <v>199.02079476214132</v>
      </c>
      <c r="CC33" s="59">
        <f t="shared" si="11"/>
        <v>435.02649773468664</v>
      </c>
      <c r="CD33" s="59">
        <f ca="1">AVERAGE(OFFSET($CC$3,0,0,'Données projet'!$E$12+1,1))-AVERAGE(OFFSET($H$3,0,0,'Données projet'!$E$12+1,1))</f>
        <v>260.25859566735949</v>
      </c>
      <c r="CE33" s="59">
        <f t="shared" si="40"/>
        <v>256.93649773468667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137</v>
      </c>
      <c r="CR33" s="12">
        <f>VLOOKUP(A33,'Données projet'!$A$139:$I$159,9,0)</f>
        <v>7.8</v>
      </c>
      <c r="CS33" s="12">
        <f t="array" ref="CS33">INDEX(CR:CR,MIN(IF(ISNUMBER(CR33:CR229),ROW(CR33:CR229),"")))</f>
        <v>7.8</v>
      </c>
      <c r="CT33" s="12">
        <f>IF('Données projet'!$A$140&gt;35,CT32+CS33-DB32,IF(A33&lt;'Données projet'!$A$140,$CQ$205^A33,IF(A33='Données projet'!$A$140,'Données projet'!$B$140,CT32+CS33-DB32)))</f>
        <v>137.00000000000003</v>
      </c>
      <c r="CU33" s="17">
        <f>CT33*VLOOKUP('Données projet'!$B$13,Paramètres!$A$1:$I$89,3,0)*VLOOKUP('Données projet'!$B$13,Paramètres!$A$1:$I$89,5,0)</f>
        <v>89.762400000000028</v>
      </c>
      <c r="CV33" s="13">
        <f t="shared" si="41"/>
        <v>24.507912782090678</v>
      </c>
      <c r="CW33" s="20">
        <f t="shared" si="13"/>
        <v>199.02079476214132</v>
      </c>
      <c r="CX33" s="59">
        <f t="shared" si="14"/>
        <v>435.02649773468664</v>
      </c>
      <c r="CY33" s="59">
        <f ca="1">AVERAGE(OFFSET($CX$3,0,0,'Données projet'!$E$13+1,1))-AVERAGE(OFFSET($H$3,0,0,'Données projet'!$E$13+1,1))</f>
        <v>260.25859566735949</v>
      </c>
      <c r="CZ33" s="59">
        <f t="shared" si="42"/>
        <v>256.93649773468667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20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12.273333333333335</v>
      </c>
      <c r="DO33" s="12">
        <f>IF('Données projet'!$A$166&gt;35,DO32+DN33-DW32,IF(A33&lt;'Données projet'!$A$166,$DL$205^A33,IF(A33='Données projet'!$A$166,'Données projet'!$B$166,DO32+DN33-DW32)))</f>
        <v>168.02</v>
      </c>
      <c r="DP33" s="17">
        <f>DO33*VLOOKUP('Données projet'!$B$14,Paramètres!$A$1:$I$89,3,0)*VLOOKUP('Données projet'!$B$14,Paramètres!$A$1:$I$89,5,0)</f>
        <v>96.107440000000011</v>
      </c>
      <c r="DQ33" s="13">
        <f t="shared" si="43"/>
        <v>26.032516850028632</v>
      </c>
      <c r="DR33" s="20">
        <f t="shared" si="16"/>
        <v>212.72709151379988</v>
      </c>
      <c r="DS33" s="59">
        <f t="shared" si="17"/>
        <v>448.7327944863452</v>
      </c>
      <c r="DT33" s="59">
        <f ca="1">AVERAGE(OFFSET($DS$3,0,0,'Données projet'!$E$14+1,1))-AVERAGE(OFFSET($H$3,0,0,'Données projet'!$E$14+1,1))</f>
        <v>349.56396446903</v>
      </c>
      <c r="DU33" s="59">
        <f t="shared" si="44"/>
        <v>270.64279448634522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20.821761366958331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20.821761366958331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16.614999999999998</v>
      </c>
      <c r="EJ33" s="12">
        <f>IF('Données projet'!$A$192&gt;35,EJ32+EI33-ER32,IF(A33&lt;'Données projet'!$A$192,$EG$205^A33,IF(A33='Données projet'!$A$192,'Données projet'!$B$192,EJ32+EI33-ER32)))</f>
        <v>167.495</v>
      </c>
      <c r="EK33" s="17">
        <f>EJ33*VLOOKUP('Données projet'!$B$15,Paramètres!$A$1:$I$89,3,0)*VLOOKUP('Données projet'!$B$15,Paramètres!$A$1:$I$89,5,0)</f>
        <v>100.16201000000001</v>
      </c>
      <c r="EL33" s="13">
        <f t="shared" si="45"/>
        <v>27.000590559708886</v>
      </c>
      <c r="EM33" s="20">
        <f t="shared" si="19"/>
        <v>221.47486264149299</v>
      </c>
      <c r="EN33" s="59">
        <f t="shared" si="20"/>
        <v>457.48056561403831</v>
      </c>
      <c r="EO33" s="59">
        <f ca="1">AVERAGE(OFFSET($EN$3,0,0,'Données projet'!$E$15+1,1))-AVERAGE(OFFSET($H$3,0,0,'Données projet'!$E$15+1,1))</f>
        <v>375.89365709113105</v>
      </c>
      <c r="EP33" s="59">
        <f t="shared" si="46"/>
        <v>279.39056561403834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2.8696849391655705</v>
      </c>
      <c r="EW33" s="21">
        <f>EXP(-LN(2)/25)*EW32+(1-EXP(-LN(2)/25))/(LN(2)/25)*Calculateur!ER33*Calculateur!ET33*VLOOKUP('Données projet'!$B$15,Paramètres!$A$1:$I$89,3,0)*0.475*44/12</f>
        <v>21.847531250607538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24.717216189773108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17.737142857142853</v>
      </c>
      <c r="FE33" s="12">
        <f>IF('Données projet'!$A$218&gt;35,FE32+FD33-FM32,IF(A33&lt;'Données projet'!$A$218,$FB$205^A33,IF(A33='Données projet'!$A$218,'Données projet'!$B$218,FE32+FD33-FM32)))</f>
        <v>204.70714285714291</v>
      </c>
      <c r="FF33" s="17">
        <f>FE33*VLOOKUP('Données projet'!$B$16,Paramètres!$A$1:$I$89,3,0)*VLOOKUP('Données projet'!$B$16,Paramètres!$A$1:$I$89,5,0)</f>
        <v>122.41487142857147</v>
      </c>
      <c r="FG33" s="13">
        <f t="shared" si="47"/>
        <v>32.237573625209684</v>
      </c>
      <c r="FH33" s="20">
        <f t="shared" si="22"/>
        <v>269.35300846866886</v>
      </c>
      <c r="FI33" s="59">
        <f t="shared" si="23"/>
        <v>505.35871144121415</v>
      </c>
      <c r="FJ33" s="59">
        <f ca="1">AVERAGE(OFFSET($FI$3,0,0,'Données projet'!$E$16+1,1))-AVERAGE(OFFSET($H$3,0,0,'Données projet'!$E$16+1,1))</f>
        <v>319.29539841078537</v>
      </c>
      <c r="FK33" s="59">
        <f t="shared" si="48"/>
        <v>327.26871144121412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3.7069660006302714</v>
      </c>
      <c r="FR33" s="21">
        <f>EXP(-LN(2)/25)*FR32+(1-EXP(-LN(2)/25))/(LN(2)/25)*Calculateur!FM33*Calculateur!FO33*VLOOKUP('Données projet'!$B$16,Paramètres!$A$1:$I$89,3,0)*0.475*44/12</f>
        <v>38.75441824969581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42.461384250326084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410.56</v>
      </c>
      <c r="FX33" s="12">
        <f>VLOOKUP(A33,'Données projet'!$A$243:$I$263,9,0)</f>
        <v>28.810000000000002</v>
      </c>
      <c r="FY33" s="12">
        <f t="array" ref="FY33">INDEX(FX:FX,MIN(IF(ISNUMBER(FX33:FX229),ROW(FX33:FX229),"")))</f>
        <v>28.810000000000002</v>
      </c>
      <c r="FZ33" s="12">
        <f>IF('Données projet'!$A$244&gt;35,FZ32+FY33-GH32,IF(A33&lt;'Données projet'!$A$244,$FW$205^A33,IF(A33='Données projet'!$A$244,'Données projet'!$B$244,FZ32+FY33-GH32)))</f>
        <v>410.56000000000006</v>
      </c>
      <c r="GA33" s="17">
        <f>FZ33*VLOOKUP('Données projet'!$B$17,Paramètres!$A$1:$I$89,3,0)*VLOOKUP('Données projet'!$B$17,Paramètres!$A$1:$I$89,5,0)</f>
        <v>181.46752000000004</v>
      </c>
      <c r="GB33" s="13">
        <f t="shared" si="49"/>
        <v>45.648527875302193</v>
      </c>
      <c r="GC33" s="20">
        <f t="shared" si="25"/>
        <v>395.5604500494847</v>
      </c>
      <c r="GD33" s="59">
        <f t="shared" si="26"/>
        <v>631.56615302202999</v>
      </c>
      <c r="GE33" s="59">
        <f ca="1">AVERAGE(OFFSET($GD$3,0,0,'Données projet'!$E$17+1,1))-AVERAGE(OFFSET($H$3,0,0,'Données projet'!$E$17+1,1))</f>
        <v>342.89128067483233</v>
      </c>
      <c r="GF33" s="59">
        <f t="shared" si="50"/>
        <v>453.47615302202996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80.97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0.55000000000000004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57.218093889652266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57.218093889652266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54.365191719785081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16.614999999999998</v>
      </c>
      <c r="GU33" s="12">
        <f>IF('Données projet'!$A$270&gt;35,GU32+GT33-HC32,IF(A33&lt;'Données projet'!$A$270,$GR$205^A33,IF(A33='Données projet'!$A$270,'Données projet'!$B$270,GU32+GT33-HC32)))</f>
        <v>167.495</v>
      </c>
      <c r="GV33" s="17">
        <f>GU33*VLOOKUP('Données projet'!$B$18,Paramètres!$A$1:$I$89,3,0)*VLOOKUP('Données projet'!$B$18,Paramètres!$A$1:$I$89,5,0)</f>
        <v>100.16201000000001</v>
      </c>
      <c r="GW33" s="13">
        <f t="shared" si="51"/>
        <v>27.000590559708886</v>
      </c>
      <c r="GX33" s="20">
        <f t="shared" si="28"/>
        <v>221.47486264149299</v>
      </c>
      <c r="GY33" s="59">
        <f t="shared" si="29"/>
        <v>457.48056561403831</v>
      </c>
      <c r="GZ33" s="59">
        <f ca="1">AVERAGE(OFFSET($GY$3,0,0,'Données projet'!$E$18+1,1))-AVERAGE(OFFSET($H$3,0,0,'Données projet'!$E$18+1,1))</f>
        <v>375.89365709113105</v>
      </c>
      <c r="HA33" s="59">
        <f t="shared" si="52"/>
        <v>279.39056561403834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2.8696849391655705</v>
      </c>
      <c r="HH33" s="21">
        <f>EXP(-LN(2)/25)*HH32+(1-EXP(-LN(2)/25))/(LN(2)/25)*Calculateur!HC33*Calculateur!HE33*VLOOKUP('Données projet'!$B$18,Paramètres!$A$1:$I$89,3,0)*0.475*44/12</f>
        <v>21.847531250607538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24.717216189773108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178.09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109.02969257142863</v>
      </c>
      <c r="P34" s="13">
        <f t="shared" si="33"/>
        <v>29.102254822181546</v>
      </c>
      <c r="Q34" s="20">
        <f t="shared" si="2"/>
        <v>240.57980837720436</v>
      </c>
      <c r="R34" s="59">
        <f t="shared" si="0"/>
        <v>477.58001757112834</v>
      </c>
      <c r="S34" s="59">
        <f ca="1">AVERAGE(OFFSET($R$3,0,0,'Données projet'!$E$9+1,1))-AVERAGE(OFFSET($H$3,0,0,'Données projet'!$E$9+1,1))</f>
        <v>631.31712308065664</v>
      </c>
      <c r="T34" s="59">
        <f t="shared" si="34"/>
        <v>290.92244624361285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3.8113157894736847</v>
      </c>
      <c r="AI34" s="13">
        <f>IF('Données projet'!$A$62&gt;35,AI33+AH34-AQ33,IF(A34&lt;'Données projet'!$A$62,$AF$205^A34,IF(A34='Données projet'!$A$62,'Données projet'!$B$62,AI33+AH34-AQ33)))</f>
        <v>118.15078947368416</v>
      </c>
      <c r="AJ34" s="13">
        <f>AI34*VLOOKUP('Données projet'!$B$10,Paramètres!$A$1:$I$89,3,0)*VLOOKUP('Données projet'!$B$10,Paramètres!$A$1:$I$89,5,0)</f>
        <v>99.53022505263155</v>
      </c>
      <c r="AK34" s="13">
        <f t="shared" si="35"/>
        <v>26.850049492324516</v>
      </c>
      <c r="AL34" s="20">
        <f t="shared" si="4"/>
        <v>220.11231149913181</v>
      </c>
      <c r="AM34" s="59">
        <f t="shared" si="5"/>
        <v>457.11252069305579</v>
      </c>
      <c r="AN34" s="59">
        <f ca="1">AVERAGE(OFFSET($AM$3,0,0,'Données projet'!$E$10+1,1))-AVERAGE(OFFSET($H$3,0,0,'Données projet'!$E$10+1,1))</f>
        <v>401.19166052471473</v>
      </c>
      <c r="AO34" s="59">
        <f t="shared" si="36"/>
        <v>271.10067497534271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122.18844857142862</v>
      </c>
      <c r="BF34" s="13">
        <f t="shared" si="37"/>
        <v>32.184880868419519</v>
      </c>
      <c r="BG34" s="20">
        <f t="shared" si="7"/>
        <v>268.86688210773553</v>
      </c>
      <c r="BH34" s="59">
        <f t="shared" si="8"/>
        <v>505.86709130165957</v>
      </c>
      <c r="BI34" s="59">
        <f ca="1">AVERAGE(OFFSET($BH$3,0,0,'Données projet'!$E$11+1,1))-AVERAGE(OFFSET($H$3,0,0,'Données projet'!$E$11+1,1))</f>
        <v>695.93700574708214</v>
      </c>
      <c r="BJ34" s="59">
        <f t="shared" si="38"/>
        <v>318.31690229208471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124.20000000000002</v>
      </c>
      <c r="BZ34" s="13">
        <f>BY34*VLOOKUP('Données projet'!$B$12,Paramètres!$A$1:$I$89,3,0)*VLOOKUP('Données projet'!$B$12,Paramètres!$A$1:$I$89,5,0)</f>
        <v>81.375840000000011</v>
      </c>
      <c r="CA34" s="13">
        <f t="shared" si="39"/>
        <v>22.473249586041131</v>
      </c>
      <c r="CB34" s="20">
        <f t="shared" si="10"/>
        <v>180.87049769568833</v>
      </c>
      <c r="CC34" s="59">
        <f t="shared" si="11"/>
        <v>417.87070688961234</v>
      </c>
      <c r="CD34" s="59">
        <f ca="1">AVERAGE(OFFSET($CC$3,0,0,'Données projet'!$E$12+1,1))-AVERAGE(OFFSET($H$3,0,0,'Données projet'!$E$12+1,1))</f>
        <v>260.25859566735949</v>
      </c>
      <c r="CE34" s="59">
        <f t="shared" si="40"/>
        <v>256.93649773468667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7.2</v>
      </c>
      <c r="CT34" s="12">
        <f>IF('Données projet'!$A$140&gt;35,CT33+CS34-DB33,IF(A34&lt;'Données projet'!$A$140,$CQ$205^A34,IF(A34='Données projet'!$A$140,'Données projet'!$B$140,CT33+CS34-DB33)))</f>
        <v>124.20000000000002</v>
      </c>
      <c r="CU34" s="17">
        <f>CT34*VLOOKUP('Données projet'!$B$13,Paramètres!$A$1:$I$89,3,0)*VLOOKUP('Données projet'!$B$13,Paramètres!$A$1:$I$89,5,0)</f>
        <v>81.375840000000011</v>
      </c>
      <c r="CV34" s="13">
        <f t="shared" si="41"/>
        <v>22.473249586041131</v>
      </c>
      <c r="CW34" s="20">
        <f t="shared" si="13"/>
        <v>180.87049769568833</v>
      </c>
      <c r="CX34" s="59">
        <f t="shared" si="14"/>
        <v>417.87070688961234</v>
      </c>
      <c r="CY34" s="59">
        <f ca="1">AVERAGE(OFFSET($CX$3,0,0,'Données projet'!$E$13+1,1))-AVERAGE(OFFSET($H$3,0,0,'Données projet'!$E$13+1,1))</f>
        <v>260.25859566735949</v>
      </c>
      <c r="CZ34" s="59">
        <f t="shared" si="42"/>
        <v>256.93649773468667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12.273333333333335</v>
      </c>
      <c r="DO34" s="12">
        <f>IF('Données projet'!$A$166&gt;35,DO33+DN34-DW33,IF(A34&lt;'Données projet'!$A$166,$DL$205^A34,IF(A34='Données projet'!$A$166,'Données projet'!$B$166,DO33+DN34-DW33)))</f>
        <v>180.29333333333335</v>
      </c>
      <c r="DP34" s="17">
        <f>DO34*VLOOKUP('Données projet'!$B$14,Paramètres!$A$1:$I$89,3,0)*VLOOKUP('Données projet'!$B$14,Paramètres!$A$1:$I$89,5,0)</f>
        <v>103.12778666666668</v>
      </c>
      <c r="DQ34" s="13">
        <f t="shared" si="43"/>
        <v>27.705808668961833</v>
      </c>
      <c r="DR34" s="20">
        <f t="shared" si="16"/>
        <v>227.86851187621963</v>
      </c>
      <c r="DS34" s="59">
        <f t="shared" si="17"/>
        <v>464.86872107014364</v>
      </c>
      <c r="DT34" s="59">
        <f ca="1">AVERAGE(OFFSET($DS$3,0,0,'Données projet'!$E$14+1,1))-AVERAGE(OFFSET($H$3,0,0,'Données projet'!$E$14+1,1))</f>
        <v>349.56396446903</v>
      </c>
      <c r="DU34" s="59">
        <f t="shared" si="44"/>
        <v>270.64279448634522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20.252389207410015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20.252389207410015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16.614999999999998</v>
      </c>
      <c r="EJ34" s="12">
        <f>IF('Données projet'!$A$192&gt;35,EJ33+EI34-ER33,IF(A34&lt;'Données projet'!$A$192,$EG$205^A34,IF(A34='Données projet'!$A$192,'Données projet'!$B$192,EJ33+EI34-ER33)))</f>
        <v>184.11</v>
      </c>
      <c r="EK34" s="17">
        <f>EJ34*VLOOKUP('Données projet'!$B$15,Paramètres!$A$1:$I$89,3,0)*VLOOKUP('Données projet'!$B$15,Paramètres!$A$1:$I$89,5,0)</f>
        <v>110.09778000000001</v>
      </c>
      <c r="EL34" s="13">
        <f t="shared" si="45"/>
        <v>29.354021111763256</v>
      </c>
      <c r="EM34" s="20">
        <f t="shared" si="19"/>
        <v>242.87855360298769</v>
      </c>
      <c r="EN34" s="59">
        <f t="shared" si="20"/>
        <v>479.8787627969117</v>
      </c>
      <c r="EO34" s="59">
        <f ca="1">AVERAGE(OFFSET($EN$3,0,0,'Données projet'!$E$15+1,1))-AVERAGE(OFFSET($H$3,0,0,'Données projet'!$E$15+1,1))</f>
        <v>375.89365709113105</v>
      </c>
      <c r="EP34" s="59">
        <f t="shared" si="46"/>
        <v>279.39056561403834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2.8134121678435156</v>
      </c>
      <c r="EW34" s="21">
        <f>EXP(-LN(2)/25)*EW33+(1-EXP(-LN(2)/25))/(LN(2)/25)*Calculateur!ER34*Calculateur!ET34*VLOOKUP('Données projet'!$B$15,Paramètres!$A$1:$I$89,3,0)*0.475*44/12</f>
        <v>21.25010935964794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24.063521527491456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17.737142857142853</v>
      </c>
      <c r="FE34" s="12">
        <f>IF('Données projet'!$A$218&gt;35,FE33+FD34-FM33,IF(A34&lt;'Données projet'!$A$218,$FB$205^A34,IF(A34='Données projet'!$A$218,'Données projet'!$B$218,FE33+FD34-FM33)))</f>
        <v>222.44428571428577</v>
      </c>
      <c r="FF34" s="17">
        <f>FE34*VLOOKUP('Données projet'!$B$16,Paramètres!$A$1:$I$89,3,0)*VLOOKUP('Données projet'!$B$16,Paramètres!$A$1:$I$89,5,0)</f>
        <v>133.02168285714291</v>
      </c>
      <c r="FG34" s="13">
        <f t="shared" si="47"/>
        <v>34.693645048951552</v>
      </c>
      <c r="FH34" s="20">
        <f t="shared" si="22"/>
        <v>292.10419610311448</v>
      </c>
      <c r="FI34" s="59">
        <f t="shared" si="23"/>
        <v>529.10440529703851</v>
      </c>
      <c r="FJ34" s="59">
        <f ca="1">AVERAGE(OFFSET($FI$3,0,0,'Données projet'!$E$16+1,1))-AVERAGE(OFFSET($H$3,0,0,'Données projet'!$E$16+1,1))</f>
        <v>319.29539841078537</v>
      </c>
      <c r="FK34" s="59">
        <f t="shared" si="48"/>
        <v>327.26871144121412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3.6342746583839145</v>
      </c>
      <c r="FR34" s="21">
        <f>EXP(-LN(2)/25)*FR33+(1-EXP(-LN(2)/25))/(LN(2)/25)*Calculateur!FM34*Calculateur!FO34*VLOOKUP('Données projet'!$B$16,Paramètres!$A$1:$I$89,3,0)*0.475*44/12</f>
        <v>37.694676644651594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41.32895130303551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28.636666666666667</v>
      </c>
      <c r="FZ34" s="12">
        <f>IF('Données projet'!$A$244&gt;35,FZ33+FY34-GH33,IF(A34&lt;'Données projet'!$A$244,$FW$205^A34,IF(A34='Données projet'!$A$244,'Données projet'!$B$244,FZ33+FY34-GH33)))</f>
        <v>358.22666666666669</v>
      </c>
      <c r="GA34" s="17">
        <f>FZ34*VLOOKUP('Données projet'!$B$17,Paramètres!$A$1:$I$89,3,0)*VLOOKUP('Données projet'!$B$17,Paramètres!$A$1:$I$89,5,0)</f>
        <v>158.33618666666669</v>
      </c>
      <c r="GB34" s="13">
        <f t="shared" si="49"/>
        <v>40.467009658698856</v>
      </c>
      <c r="GC34" s="20">
        <f t="shared" si="25"/>
        <v>346.24890026667828</v>
      </c>
      <c r="GD34" s="59">
        <f t="shared" si="26"/>
        <v>583.24910946060231</v>
      </c>
      <c r="GE34" s="59">
        <f ca="1">AVERAGE(OFFSET($GD$3,0,0,'Données projet'!$E$17+1,1))-AVERAGE(OFFSET($H$3,0,0,'Données projet'!$E$17+1,1))</f>
        <v>342.89128067483233</v>
      </c>
      <c r="GF34" s="59">
        <f t="shared" si="50"/>
        <v>453.47615302202996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55.65346210327094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55.65346210327094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54.636420689252006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16.614999999999998</v>
      </c>
      <c r="GU34" s="12">
        <f>IF('Données projet'!$A$270&gt;35,GU33+GT34-HC33,IF(A34&lt;'Données projet'!$A$270,$GR$205^A34,IF(A34='Données projet'!$A$270,'Données projet'!$B$270,GU33+GT34-HC33)))</f>
        <v>184.11</v>
      </c>
      <c r="GV34" s="17">
        <f>GU34*VLOOKUP('Données projet'!$B$18,Paramètres!$A$1:$I$89,3,0)*VLOOKUP('Données projet'!$B$18,Paramètres!$A$1:$I$89,5,0)</f>
        <v>110.09778000000001</v>
      </c>
      <c r="GW34" s="13">
        <f t="shared" si="51"/>
        <v>29.354021111763256</v>
      </c>
      <c r="GX34" s="20">
        <f t="shared" si="28"/>
        <v>242.87855360298769</v>
      </c>
      <c r="GY34" s="59">
        <f t="shared" si="29"/>
        <v>479.8787627969117</v>
      </c>
      <c r="GZ34" s="59">
        <f ca="1">AVERAGE(OFFSET($GY$3,0,0,'Données projet'!$E$18+1,1))-AVERAGE(OFFSET($H$3,0,0,'Données projet'!$E$18+1,1))</f>
        <v>375.89365709113105</v>
      </c>
      <c r="HA34" s="59">
        <f t="shared" si="52"/>
        <v>279.39056561403834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2.8134121678435156</v>
      </c>
      <c r="HH34" s="21">
        <f>EXP(-LN(2)/25)*HH33+(1-EXP(-LN(2)/25))/(LN(2)/25)*Calculateur!HC34*Calculateur!HE34*VLOOKUP('Données projet'!$B$18,Paramètres!$A$1:$I$89,3,0)*0.475*44/12</f>
        <v>21.25010935964794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24.063521527491456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178.09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112.54677942857147</v>
      </c>
      <c r="P35" s="13">
        <f t="shared" si="33"/>
        <v>29.930224010130704</v>
      </c>
      <c r="Q35" s="20">
        <f t="shared" ref="Q35:Q66" si="53">(O35+P35)*0.475*44/12</f>
        <v>248.14744765573963</v>
      </c>
      <c r="R35" s="59">
        <f t="shared" si="0"/>
        <v>486.12491061148432</v>
      </c>
      <c r="S35" s="59">
        <f ca="1">AVERAGE(OFFSET($R$3,0,0,'Données projet'!$E$9+1,1))-AVERAGE(OFFSET($H$3,0,0,'Données projet'!$E$9+1,1))</f>
        <v>631.31712308065664</v>
      </c>
      <c r="T35" s="59">
        <f t="shared" si="34"/>
        <v>290.92244624361285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3.8113157894736847</v>
      </c>
      <c r="AI35" s="13">
        <f>IF('Données projet'!$A$62&gt;35,AI34+AH35-AQ34,IF(A35&lt;'Données projet'!$A$62,$AF$205^A35,IF(A35='Données projet'!$A$62,'Données projet'!$B$62,AI34+AH35-AQ34)))</f>
        <v>121.96210526315784</v>
      </c>
      <c r="AJ35" s="13">
        <f>AI35*VLOOKUP('Données projet'!$B$10,Paramètres!$A$1:$I$89,3,0)*VLOOKUP('Données projet'!$B$10,Paramètres!$A$1:$I$89,5,0)</f>
        <v>102.74087747368418</v>
      </c>
      <c r="AK35" s="13">
        <f t="shared" si="35"/>
        <v>27.613942661784687</v>
      </c>
      <c r="AL35" s="20">
        <f t="shared" si="4"/>
        <v>227.03464506927492</v>
      </c>
      <c r="AM35" s="59">
        <f t="shared" si="5"/>
        <v>465.01210802501964</v>
      </c>
      <c r="AN35" s="59">
        <f ca="1">AVERAGE(OFFSET($AM$3,0,0,'Données projet'!$E$10+1,1))-AVERAGE(OFFSET($H$3,0,0,'Données projet'!$E$10+1,1))</f>
        <v>401.19166052471473</v>
      </c>
      <c r="AO35" s="59">
        <f t="shared" si="36"/>
        <v>271.10067497534271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126.13001142857149</v>
      </c>
      <c r="BF35" s="13">
        <f t="shared" si="37"/>
        <v>33.100551830676153</v>
      </c>
      <c r="BG35" s="20">
        <f t="shared" si="7"/>
        <v>277.32656434318966</v>
      </c>
      <c r="BH35" s="59">
        <f t="shared" si="8"/>
        <v>515.30402729893433</v>
      </c>
      <c r="BI35" s="59">
        <f ca="1">AVERAGE(OFFSET($BH$3,0,0,'Données projet'!$E$11+1,1))-AVERAGE(OFFSET($H$3,0,0,'Données projet'!$E$11+1,1))</f>
        <v>695.93700574708214</v>
      </c>
      <c r="BJ35" s="59">
        <f t="shared" si="38"/>
        <v>318.31690229208471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131.4</v>
      </c>
      <c r="BZ35" s="13">
        <f>BY35*VLOOKUP('Données projet'!$B$12,Paramètres!$A$1:$I$89,3,0)*VLOOKUP('Données projet'!$B$12,Paramètres!$A$1:$I$89,5,0)</f>
        <v>86.093280000000007</v>
      </c>
      <c r="CA35" s="13">
        <f t="shared" si="39"/>
        <v>23.620598504835936</v>
      </c>
      <c r="CB35" s="20">
        <f t="shared" si="10"/>
        <v>191.08500506258926</v>
      </c>
      <c r="CC35" s="59">
        <f t="shared" si="11"/>
        <v>429.06246801833396</v>
      </c>
      <c r="CD35" s="59">
        <f ca="1">AVERAGE(OFFSET($CC$3,0,0,'Données projet'!$E$12+1,1))-AVERAGE(OFFSET($H$3,0,0,'Données projet'!$E$12+1,1))</f>
        <v>260.25859566735949</v>
      </c>
      <c r="CE35" s="59">
        <f t="shared" si="40"/>
        <v>256.93649773468667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7.2</v>
      </c>
      <c r="CT35" s="12">
        <f>IF('Données projet'!$A$140&gt;35,CT34+CS35-DB34,IF(A35&lt;'Données projet'!$A$140,$CQ$205^A35,IF(A35='Données projet'!$A$140,'Données projet'!$B$140,CT34+CS35-DB34)))</f>
        <v>131.4</v>
      </c>
      <c r="CU35" s="17">
        <f>CT35*VLOOKUP('Données projet'!$B$13,Paramètres!$A$1:$I$89,3,0)*VLOOKUP('Données projet'!$B$13,Paramètres!$A$1:$I$89,5,0)</f>
        <v>86.093280000000007</v>
      </c>
      <c r="CV35" s="13">
        <f t="shared" si="41"/>
        <v>23.620598504835936</v>
      </c>
      <c r="CW35" s="20">
        <f t="shared" si="13"/>
        <v>191.08500506258926</v>
      </c>
      <c r="CX35" s="59">
        <f t="shared" si="14"/>
        <v>429.06246801833396</v>
      </c>
      <c r="CY35" s="59">
        <f ca="1">AVERAGE(OFFSET($CX$3,0,0,'Données projet'!$E$13+1,1))-AVERAGE(OFFSET($H$3,0,0,'Données projet'!$E$13+1,1))</f>
        <v>260.25859566735949</v>
      </c>
      <c r="CZ35" s="59">
        <f t="shared" si="42"/>
        <v>256.93649773468667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12.273333333333335</v>
      </c>
      <c r="DO35" s="12">
        <f>IF('Données projet'!$A$166&gt;35,DO34+DN35-DW34,IF(A35&lt;'Données projet'!$A$166,$DL$205^A35,IF(A35='Données projet'!$A$166,'Données projet'!$B$166,DO34+DN35-DW34)))</f>
        <v>192.56666666666669</v>
      </c>
      <c r="DP35" s="17">
        <f>DO35*VLOOKUP('Données projet'!$B$14,Paramètres!$A$1:$I$89,3,0)*VLOOKUP('Données projet'!$B$14,Paramètres!$A$1:$I$89,5,0)</f>
        <v>110.14813333333335</v>
      </c>
      <c r="DQ35" s="13">
        <f t="shared" si="43"/>
        <v>29.365883207229874</v>
      </c>
      <c r="DR35" s="20">
        <f t="shared" si="16"/>
        <v>242.98691214148096</v>
      </c>
      <c r="DS35" s="59">
        <f t="shared" si="17"/>
        <v>480.96437509722568</v>
      </c>
      <c r="DT35" s="59">
        <f ca="1">AVERAGE(OFFSET($DS$3,0,0,'Données projet'!$E$14+1,1))-AVERAGE(OFFSET($H$3,0,0,'Données projet'!$E$14+1,1))</f>
        <v>349.56396446903</v>
      </c>
      <c r="DU35" s="59">
        <f t="shared" si="44"/>
        <v>270.64279448634522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19.698586559506527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19.698586559506527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16.614999999999998</v>
      </c>
      <c r="EJ35" s="12">
        <f>IF('Données projet'!$A$192&gt;35,EJ34+EI35-ER34,IF(A35&lt;'Données projet'!$A$192,$EG$205^A35,IF(A35='Données projet'!$A$192,'Données projet'!$B$192,EJ34+EI35-ER34)))</f>
        <v>200.72500000000002</v>
      </c>
      <c r="EK35" s="17">
        <f>EJ35*VLOOKUP('Données projet'!$B$15,Paramètres!$A$1:$I$89,3,0)*VLOOKUP('Données projet'!$B$15,Paramètres!$A$1:$I$89,5,0)</f>
        <v>120.03355000000002</v>
      </c>
      <c r="EL35" s="13">
        <f t="shared" si="45"/>
        <v>31.68282415335652</v>
      </c>
      <c r="EM35" s="20">
        <f t="shared" si="19"/>
        <v>264.23935165042923</v>
      </c>
      <c r="EN35" s="59">
        <f t="shared" si="20"/>
        <v>502.2168146061739</v>
      </c>
      <c r="EO35" s="59">
        <f ca="1">AVERAGE(OFFSET($EN$3,0,0,'Données projet'!$E$15+1,1))-AVERAGE(OFFSET($H$3,0,0,'Données projet'!$E$15+1,1))</f>
        <v>375.89365709113105</v>
      </c>
      <c r="EP35" s="59">
        <f t="shared" si="46"/>
        <v>279.39056561403834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2.7582428712440845</v>
      </c>
      <c r="EW35" s="21">
        <f>EXP(-LN(2)/25)*EW34+(1-EXP(-LN(2)/25))/(LN(2)/25)*Calculateur!ER35*Calculateur!ET35*VLOOKUP('Données projet'!$B$15,Paramètres!$A$1:$I$89,3,0)*0.475*44/12</f>
        <v>20.669024001713684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23.42726687295777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17.737142857142853</v>
      </c>
      <c r="FE35" s="12">
        <f>IF('Données projet'!$A$218&gt;35,FE34+FD35-FM34,IF(A35&lt;'Données projet'!$A$218,$FB$205^A35,IF(A35='Données projet'!$A$218,'Données projet'!$B$218,FE34+FD35-FM34)))</f>
        <v>240.18142857142863</v>
      </c>
      <c r="FF35" s="17">
        <f>FE35*VLOOKUP('Données projet'!$B$16,Paramètres!$A$1:$I$89,3,0)*VLOOKUP('Données projet'!$B$16,Paramètres!$A$1:$I$89,5,0)</f>
        <v>143.62849428571434</v>
      </c>
      <c r="FG35" s="13">
        <f t="shared" si="47"/>
        <v>37.127000660847131</v>
      </c>
      <c r="FH35" s="20">
        <f t="shared" si="22"/>
        <v>314.81582036526123</v>
      </c>
      <c r="FI35" s="59">
        <f t="shared" si="23"/>
        <v>552.7932833210059</v>
      </c>
      <c r="FJ35" s="59">
        <f ca="1">AVERAGE(OFFSET($FI$3,0,0,'Données projet'!$E$16+1,1))-AVERAGE(OFFSET($H$3,0,0,'Données projet'!$E$16+1,1))</f>
        <v>319.29539841078537</v>
      </c>
      <c r="FK35" s="59">
        <f t="shared" si="48"/>
        <v>327.26871144121412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3.5630087490216678</v>
      </c>
      <c r="FR35" s="21">
        <f>EXP(-LN(2)/25)*FR34+(1-EXP(-LN(2)/25))/(LN(2)/25)*Calculateur!FM35*Calculateur!FO35*VLOOKUP('Données projet'!$B$16,Paramètres!$A$1:$I$89,3,0)*0.475*44/12</f>
        <v>36.663913729526705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40.226922478548374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28.636666666666667</v>
      </c>
      <c r="FZ35" s="12">
        <f>IF('Données projet'!$A$244&gt;35,FZ34+FY35-GH34,IF(A35&lt;'Données projet'!$A$244,$FW$205^A35,IF(A35='Données projet'!$A$244,'Données projet'!$B$244,FZ34+FY35-GH34)))</f>
        <v>386.86333333333334</v>
      </c>
      <c r="GA35" s="17">
        <f>FZ35*VLOOKUP('Données projet'!$B$17,Paramètres!$A$1:$I$89,3,0)*VLOOKUP('Données projet'!$B$17,Paramètres!$A$1:$I$89,5,0)</f>
        <v>170.99359333333334</v>
      </c>
      <c r="GB35" s="13">
        <f t="shared" si="49"/>
        <v>43.312479907238945</v>
      </c>
      <c r="GC35" s="20">
        <f t="shared" si="25"/>
        <v>373.24974422733004</v>
      </c>
      <c r="GD35" s="59">
        <f t="shared" si="26"/>
        <v>611.22720718307471</v>
      </c>
      <c r="GE35" s="59">
        <f ca="1">AVERAGE(OFFSET($GD$3,0,0,'Données projet'!$E$17+1,1))-AVERAGE(OFFSET($H$3,0,0,'Données projet'!$E$17+1,1))</f>
        <v>342.89128067483233</v>
      </c>
      <c r="GF35" s="59">
        <f t="shared" si="50"/>
        <v>453.47615302202996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54.131615255368622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54.131615255368622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54.902944442475828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16.614999999999998</v>
      </c>
      <c r="GU35" s="12">
        <f>IF('Données projet'!$A$270&gt;35,GU34+GT35-HC34,IF(A35&lt;'Données projet'!$A$270,$GR$205^A35,IF(A35='Données projet'!$A$270,'Données projet'!$B$270,GU34+GT35-HC34)))</f>
        <v>200.72500000000002</v>
      </c>
      <c r="GV35" s="17">
        <f>GU35*VLOOKUP('Données projet'!$B$18,Paramètres!$A$1:$I$89,3,0)*VLOOKUP('Données projet'!$B$18,Paramètres!$A$1:$I$89,5,0)</f>
        <v>120.03355000000002</v>
      </c>
      <c r="GW35" s="13">
        <f t="shared" si="51"/>
        <v>31.68282415335652</v>
      </c>
      <c r="GX35" s="20">
        <f t="shared" si="28"/>
        <v>264.23935165042923</v>
      </c>
      <c r="GY35" s="59">
        <f t="shared" si="29"/>
        <v>502.2168146061739</v>
      </c>
      <c r="GZ35" s="59">
        <f ca="1">AVERAGE(OFFSET($GY$3,0,0,'Données projet'!$E$18+1,1))-AVERAGE(OFFSET($H$3,0,0,'Données projet'!$E$18+1,1))</f>
        <v>375.89365709113105</v>
      </c>
      <c r="HA35" s="59">
        <f t="shared" si="52"/>
        <v>279.39056561403834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2.7582428712440845</v>
      </c>
      <c r="HH35" s="21">
        <f>EXP(-LN(2)/25)*HH34+(1-EXP(-LN(2)/25))/(LN(2)/25)*Calculateur!HC35*Calculateur!HE35*VLOOKUP('Données projet'!$B$18,Paramètres!$A$1:$I$89,3,0)*0.475*44/12</f>
        <v>20.669024001713684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23.42726687295777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178.09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116.06386628571434</v>
      </c>
      <c r="P36" s="13">
        <f t="shared" si="33"/>
        <v>30.755186414072718</v>
      </c>
      <c r="Q36" s="20">
        <f t="shared" si="53"/>
        <v>255.70985011879577</v>
      </c>
      <c r="R36" s="59">
        <f t="shared" si="0"/>
        <v>494.6476136684056</v>
      </c>
      <c r="S36" s="59">
        <f ca="1">AVERAGE(OFFSET($R$3,0,0,'Données projet'!$E$9+1,1))-AVERAGE(OFFSET($H$3,0,0,'Données projet'!$E$9+1,1))</f>
        <v>631.31712308065664</v>
      </c>
      <c r="T36" s="59">
        <f t="shared" si="34"/>
        <v>290.92244624361285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3.8113157894736847</v>
      </c>
      <c r="AI36" s="13">
        <f>IF('Données projet'!$A$62&gt;35,AI35+AH36-AQ35,IF(A36&lt;'Données projet'!$A$62,$AF$205^A36,IF(A36='Données projet'!$A$62,'Données projet'!$B$62,AI35+AH36-AQ35)))</f>
        <v>125.77342105263152</v>
      </c>
      <c r="AJ36" s="13">
        <f>AI36*VLOOKUP('Données projet'!$B$10,Paramètres!$A$1:$I$89,3,0)*VLOOKUP('Données projet'!$B$10,Paramètres!$A$1:$I$89,5,0)</f>
        <v>105.95152989473681</v>
      </c>
      <c r="AK36" s="13">
        <f t="shared" si="35"/>
        <v>28.375061740374683</v>
      </c>
      <c r="AL36" s="20">
        <f t="shared" si="4"/>
        <v>233.95214709781916</v>
      </c>
      <c r="AM36" s="59">
        <f t="shared" si="5"/>
        <v>472.88991064742902</v>
      </c>
      <c r="AN36" s="59">
        <f ca="1">AVERAGE(OFFSET($AM$3,0,0,'Données projet'!$E$10+1,1))-AVERAGE(OFFSET($H$3,0,0,'Données projet'!$E$10+1,1))</f>
        <v>401.19166052471473</v>
      </c>
      <c r="AO36" s="59">
        <f t="shared" si="36"/>
        <v>271.10067497534271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130.07157428571435</v>
      </c>
      <c r="BF36" s="13">
        <f t="shared" si="37"/>
        <v>34.012897518459816</v>
      </c>
      <c r="BG36" s="20">
        <f t="shared" si="7"/>
        <v>285.78045505893664</v>
      </c>
      <c r="BH36" s="59">
        <f t="shared" si="8"/>
        <v>524.71821860854652</v>
      </c>
      <c r="BI36" s="59">
        <f ca="1">AVERAGE(OFFSET($BH$3,0,0,'Données projet'!$E$11+1,1))-AVERAGE(OFFSET($H$3,0,0,'Données projet'!$E$11+1,1))</f>
        <v>695.93700574708214</v>
      </c>
      <c r="BJ36" s="59">
        <f t="shared" si="38"/>
        <v>318.31690229208471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138.6</v>
      </c>
      <c r="BZ36" s="13">
        <f>BY36*VLOOKUP('Données projet'!$B$12,Paramètres!$A$1:$I$89,3,0)*VLOOKUP('Données projet'!$B$12,Paramètres!$A$1:$I$89,5,0)</f>
        <v>90.810720000000003</v>
      </c>
      <c r="CA36" s="13">
        <f t="shared" si="39"/>
        <v>24.760648970178448</v>
      </c>
      <c r="CB36" s="20">
        <f t="shared" si="10"/>
        <v>201.28680095639413</v>
      </c>
      <c r="CC36" s="59">
        <f t="shared" si="11"/>
        <v>440.22456450600396</v>
      </c>
      <c r="CD36" s="59">
        <f ca="1">AVERAGE(OFFSET($CC$3,0,0,'Données projet'!$E$12+1,1))-AVERAGE(OFFSET($H$3,0,0,'Données projet'!$E$12+1,1))</f>
        <v>260.25859566735949</v>
      </c>
      <c r="CE36" s="59">
        <f t="shared" si="40"/>
        <v>256.93649773468667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7.2</v>
      </c>
      <c r="CT36" s="12">
        <f>IF('Données projet'!$A$140&gt;35,CT35+CS36-DB35,IF(A36&lt;'Données projet'!$A$140,$CQ$205^A36,IF(A36='Données projet'!$A$140,'Données projet'!$B$140,CT35+CS36-DB35)))</f>
        <v>138.6</v>
      </c>
      <c r="CU36" s="17">
        <f>CT36*VLOOKUP('Données projet'!$B$13,Paramètres!$A$1:$I$89,3,0)*VLOOKUP('Données projet'!$B$13,Paramètres!$A$1:$I$89,5,0)</f>
        <v>90.810720000000003</v>
      </c>
      <c r="CV36" s="13">
        <f t="shared" si="41"/>
        <v>24.760648970178448</v>
      </c>
      <c r="CW36" s="20">
        <f t="shared" si="13"/>
        <v>201.28680095639413</v>
      </c>
      <c r="CX36" s="59">
        <f t="shared" si="14"/>
        <v>440.22456450600396</v>
      </c>
      <c r="CY36" s="59">
        <f ca="1">AVERAGE(OFFSET($CX$3,0,0,'Données projet'!$E$13+1,1))-AVERAGE(OFFSET($H$3,0,0,'Données projet'!$E$13+1,1))</f>
        <v>260.25859566735949</v>
      </c>
      <c r="CZ36" s="59">
        <f t="shared" si="42"/>
        <v>256.93649773468667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>
        <f>VLOOKUP(A36,'Données projet'!$A$165:$I$185,2,0)</f>
        <v>204.84</v>
      </c>
      <c r="DM36" s="12">
        <f>VLOOKUP(A36,'Données projet'!$A$165:$I$185,9,0)</f>
        <v>12.273333333333335</v>
      </c>
      <c r="DN36" s="12">
        <f t="array" ref="DN36">INDEX(DM:DM,MIN(IF(ISNUMBER(DM36:DM232),ROW(DM36:DM232),"")))</f>
        <v>12.273333333333335</v>
      </c>
      <c r="DO36" s="12">
        <f>IF('Données projet'!$A$166&gt;35,DO35+DN36-DW35,IF(A36&lt;'Données projet'!$A$166,$DL$205^A36,IF(A36='Données projet'!$A$166,'Données projet'!$B$166,DO35+DN36-DW35)))</f>
        <v>204.84000000000003</v>
      </c>
      <c r="DP36" s="17">
        <f>DO36*VLOOKUP('Données projet'!$B$14,Paramètres!$A$1:$I$89,3,0)*VLOOKUP('Données projet'!$B$14,Paramètres!$A$1:$I$89,5,0)</f>
        <v>117.16848000000002</v>
      </c>
      <c r="DQ36" s="13">
        <f t="shared" si="43"/>
        <v>31.013678761982071</v>
      </c>
      <c r="DR36" s="20">
        <f t="shared" si="16"/>
        <v>258.08392651045216</v>
      </c>
      <c r="DS36" s="59">
        <f t="shared" si="17"/>
        <v>497.02169006006204</v>
      </c>
      <c r="DT36" s="59">
        <f ca="1">AVERAGE(OFFSET($DS$3,0,0,'Données projet'!$E$14+1,1))-AVERAGE(OFFSET($H$3,0,0,'Données projet'!$E$14+1,1))</f>
        <v>349.56396446903</v>
      </c>
      <c r="DU36" s="59">
        <f t="shared" si="44"/>
        <v>270.64279448634522</v>
      </c>
      <c r="DV36" s="15">
        <f>IF(ISNA(VLOOKUP(A36,'Données projet'!$A$165:$I$185,3,0)),0,VLOOKUP(A36,'Données projet'!$A$165:$I$185,3,0))</f>
        <v>2</v>
      </c>
      <c r="DW36" s="15">
        <f>IF(ISNA(VLOOKUP(A36,'Données projet'!$A$165:$I$185,4,0)),0,VLOOKUP(A36,'Données projet'!$A$165:$I$185,4,0))</f>
        <v>49.17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0.45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35.88329577323065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35.88329577323065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>
        <f>VLOOKUP(A36,'Données projet'!$A$191:$I$211,2,0)</f>
        <v>217.34</v>
      </c>
      <c r="EH36" s="12">
        <f>VLOOKUP(A36,'Données projet'!$A$191:$I$211,9,0)</f>
        <v>16.614999999999998</v>
      </c>
      <c r="EI36" s="12">
        <f t="array" ref="EI36">INDEX(EH:EH,MIN(IF(ISNUMBER(EH36:EH232),ROW(EH36:EH232),"")))</f>
        <v>16.614999999999998</v>
      </c>
      <c r="EJ36" s="12">
        <f>IF('Données projet'!$A$192&gt;35,EJ35+EI36-ER35,IF(A36&lt;'Données projet'!$A$192,$EG$205^A36,IF(A36='Données projet'!$A$192,'Données projet'!$B$192,EJ35+EI36-ER35)))</f>
        <v>217.34000000000003</v>
      </c>
      <c r="EK36" s="17">
        <f>EJ36*VLOOKUP('Données projet'!$B$15,Paramètres!$A$1:$I$89,3,0)*VLOOKUP('Données projet'!$B$15,Paramètres!$A$1:$I$89,5,0)</f>
        <v>129.96932000000001</v>
      </c>
      <c r="EL36" s="13">
        <f t="shared" si="45"/>
        <v>33.989269987755954</v>
      </c>
      <c r="EM36" s="20">
        <f t="shared" si="19"/>
        <v>285.56121089534162</v>
      </c>
      <c r="EN36" s="59">
        <f t="shared" si="20"/>
        <v>524.4989744449515</v>
      </c>
      <c r="EO36" s="59">
        <f ca="1">AVERAGE(OFFSET($EN$3,0,0,'Données projet'!$E$15+1,1))-AVERAGE(OFFSET($H$3,0,0,'Données projet'!$E$15+1,1))</f>
        <v>375.89365709113105</v>
      </c>
      <c r="EP36" s="59">
        <f t="shared" si="46"/>
        <v>279.39056561403834</v>
      </c>
      <c r="EQ36" s="15">
        <f>IF(ISNA(VLOOKUP(A36,'Données projet'!$A$191:$I$211,3,0)),0,VLOOKUP(A36,'Données projet'!$A$191:$I$211,3,0))</f>
        <v>3</v>
      </c>
      <c r="ER36" s="15">
        <f>IF(ISNA(VLOOKUP(A36,'Données projet'!$A$191:$I$211,4,0)),0,VLOOKUP(A36,'Données projet'!$A$191:$I$211,4,0))</f>
        <v>50.41</v>
      </c>
      <c r="ES36" s="16">
        <f>IF(ISNA(VLOOKUP(A36,'Données projet'!$A$191:$I$211,5,0)),0%,VLOOKUP(A36,'Données projet'!$A$191:$I$211,5,0)*VLOOKUP('Données projet'!$B$15,Paramètres!$A$1:$I$89,7,0))</f>
        <v>0.13500000000000001</v>
      </c>
      <c r="ET36" s="16">
        <f>IF(ISNA(VLOOKUP(A36,'Données projet'!$A$191:$I$211,6,0)),0%,VLOOKUP(A36,'Données projet'!$A$191:$I$211,6,0)*VLOOKUP('Données projet'!$B$15,Paramètres!$A$1:$I$89,7,0))</f>
        <v>0.22500000000000001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8.1027411901626536</v>
      </c>
      <c r="EW36" s="21">
        <f>EXP(-LN(2)/25)*EW35+(1-EXP(-LN(2)/25))/(LN(2)/25)*Calculateur!ER36*Calculateur!ET36*VLOOKUP('Données projet'!$B$15,Paramètres!$A$1:$I$89,3,0)*0.475*44/12</f>
        <v>29.066044270160475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37.168785460323129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17.737142857142853</v>
      </c>
      <c r="FE36" s="12">
        <f>IF('Données projet'!$A$218&gt;35,FE35+FD36-FM35,IF(A36&lt;'Données projet'!$A$218,$FB$205^A36,IF(A36='Données projet'!$A$218,'Données projet'!$B$218,FE35+FD36-FM35)))</f>
        <v>257.91857142857145</v>
      </c>
      <c r="FF36" s="17">
        <f>FE36*VLOOKUP('Données projet'!$B$16,Paramètres!$A$1:$I$89,3,0)*VLOOKUP('Données projet'!$B$16,Paramètres!$A$1:$I$89,5,0)</f>
        <v>154.23530571428574</v>
      </c>
      <c r="FG36" s="13">
        <f t="shared" si="47"/>
        <v>39.539508761330566</v>
      </c>
      <c r="FH36" s="20">
        <f t="shared" si="22"/>
        <v>337.49113521169841</v>
      </c>
      <c r="FI36" s="59">
        <f t="shared" si="23"/>
        <v>576.42889876130823</v>
      </c>
      <c r="FJ36" s="59">
        <f ca="1">AVERAGE(OFFSET($FI$3,0,0,'Données projet'!$E$16+1,1))-AVERAGE(OFFSET($H$3,0,0,'Données projet'!$E$16+1,1))</f>
        <v>319.29539841078537</v>
      </c>
      <c r="FK36" s="59">
        <f t="shared" si="48"/>
        <v>327.26871144121412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3.4931403206741019</v>
      </c>
      <c r="FR36" s="21">
        <f>EXP(-LN(2)/25)*FR35+(1-EXP(-LN(2)/25))/(LN(2)/25)*Calculateur!FM36*Calculateur!FO36*VLOOKUP('Données projet'!$B$16,Paramètres!$A$1:$I$89,3,0)*0.475*44/12</f>
        <v>35.661337080521371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39.154477401195471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28.636666666666667</v>
      </c>
      <c r="FZ36" s="12">
        <f>IF('Données projet'!$A$244&gt;35,FZ35+FY36-GH35,IF(A36&lt;'Données projet'!$A$244,$FW$205^A36,IF(A36='Données projet'!$A$244,'Données projet'!$B$244,FZ35+FY36-GH35)))</f>
        <v>415.5</v>
      </c>
      <c r="GA36" s="17">
        <f>FZ36*VLOOKUP('Données projet'!$B$17,Paramètres!$A$1:$I$89,3,0)*VLOOKUP('Données projet'!$B$17,Paramètres!$A$1:$I$89,5,0)</f>
        <v>183.65100000000001</v>
      </c>
      <c r="GB36" s="13">
        <f t="shared" si="49"/>
        <v>46.133514673271662</v>
      </c>
      <c r="GC36" s="20">
        <f t="shared" si="25"/>
        <v>400.20802972261481</v>
      </c>
      <c r="GD36" s="59">
        <f t="shared" si="26"/>
        <v>639.14579327222464</v>
      </c>
      <c r="GE36" s="59">
        <f ca="1">AVERAGE(OFFSET($GD$3,0,0,'Données projet'!$E$17+1,1))-AVERAGE(OFFSET($H$3,0,0,'Données projet'!$E$17+1,1))</f>
        <v>342.89128067483233</v>
      </c>
      <c r="GF36" s="59">
        <f t="shared" si="50"/>
        <v>453.47615302202996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52.651383389552642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52.651383389552642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55.164844604439047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>
        <f>VLOOKUP(A36,'Données projet'!$A$269:$I$289,2,0)</f>
        <v>217.34</v>
      </c>
      <c r="GS36" s="12">
        <f>VLOOKUP(A36,'Données projet'!$A$269:$I$289,9,0)</f>
        <v>16.614999999999998</v>
      </c>
      <c r="GT36" s="12">
        <f t="array" ref="GT36">INDEX(GS:GS,MIN(IF(ISNUMBER(GS36:GS232),ROW(GS36:GS232),"")))</f>
        <v>16.614999999999998</v>
      </c>
      <c r="GU36" s="12">
        <f>IF('Données projet'!$A$270&gt;35,GU35+GT36-HC35,IF(A36&lt;'Données projet'!$A$270,$GR$205^A36,IF(A36='Données projet'!$A$270,'Données projet'!$B$270,GU35+GT36-HC35)))</f>
        <v>217.34000000000003</v>
      </c>
      <c r="GV36" s="17">
        <f>GU36*VLOOKUP('Données projet'!$B$18,Paramètres!$A$1:$I$89,3,0)*VLOOKUP('Données projet'!$B$18,Paramètres!$A$1:$I$89,5,0)</f>
        <v>129.96932000000001</v>
      </c>
      <c r="GW36" s="13">
        <f t="shared" si="51"/>
        <v>33.989269987755954</v>
      </c>
      <c r="GX36" s="20">
        <f t="shared" si="28"/>
        <v>285.56121089534162</v>
      </c>
      <c r="GY36" s="59">
        <f t="shared" si="29"/>
        <v>524.4989744449515</v>
      </c>
      <c r="GZ36" s="59">
        <f ca="1">AVERAGE(OFFSET($GY$3,0,0,'Données projet'!$E$18+1,1))-AVERAGE(OFFSET($H$3,0,0,'Données projet'!$E$18+1,1))</f>
        <v>375.89365709113105</v>
      </c>
      <c r="HA36" s="59">
        <f t="shared" si="52"/>
        <v>279.39056561403834</v>
      </c>
      <c r="HB36" s="15">
        <f>IF(ISNA(VLOOKUP(A36,'Données projet'!$A$269:$I$289,3,0)),0,VLOOKUP(A36,'Données projet'!$A$269:$I$289,3,0))</f>
        <v>3</v>
      </c>
      <c r="HC36" s="15">
        <f>IF(ISNA(VLOOKUP(A36,'Données projet'!$A$269:$I$289,4,0)),0,VLOOKUP(A36,'Données projet'!$A$269:$I$289,4,0))</f>
        <v>50.41</v>
      </c>
      <c r="HD36" s="16">
        <f>IF(ISNA(VLOOKUP(A36,'Données projet'!$A$269:$I$289,5,0)),0%,VLOOKUP(A36,'Données projet'!$A$269:$I$289,5,0)*VLOOKUP('Données projet'!$B$18,Paramètres!$A$1:$I$89,7,0))</f>
        <v>0.13500000000000001</v>
      </c>
      <c r="HE36" s="16">
        <f>IF(ISNA(VLOOKUP(A36,'Données projet'!$A$269:$I$289,6,0)),0%,VLOOKUP(A36,'Données projet'!$A$269:$I$289,6,0)*VLOOKUP('Données projet'!$B$18,Paramètres!$A$1:$I$89,7,0))</f>
        <v>0.22500000000000001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8.1027411901626536</v>
      </c>
      <c r="HH36" s="21">
        <f>EXP(-LN(2)/25)*HH35+(1-EXP(-LN(2)/25))/(LN(2)/25)*Calculateur!HC36*Calculateur!HE36*VLOOKUP('Données projet'!$B$18,Paramètres!$A$1:$I$89,3,0)*0.475*44/12</f>
        <v>29.066044270160475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37.168785460323129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178.09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119.58095314285718</v>
      </c>
      <c r="P37" s="13">
        <f t="shared" si="33"/>
        <v>31.577243606763055</v>
      </c>
      <c r="Q37" s="20">
        <f t="shared" si="53"/>
        <v>263.26719267225525</v>
      </c>
      <c r="R37" s="59">
        <f t="shared" si="0"/>
        <v>503.14859774733725</v>
      </c>
      <c r="S37" s="59">
        <f ca="1">AVERAGE(OFFSET($R$3,0,0,'Données projet'!$E$9+1,1))-AVERAGE(OFFSET($H$3,0,0,'Données projet'!$E$9+1,1))</f>
        <v>631.31712308065664</v>
      </c>
      <c r="T37" s="59">
        <f t="shared" si="34"/>
        <v>290.92244624361285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3.8113157894736847</v>
      </c>
      <c r="AI37" s="13">
        <f>IF('Données projet'!$A$62&gt;35,AI36+AH37-AQ36,IF(A37&lt;'Données projet'!$A$62,$AF$205^A37,IF(A37='Données projet'!$A$62,'Données projet'!$B$62,AI36+AH37-AQ36)))</f>
        <v>129.5847368421052</v>
      </c>
      <c r="AJ37" s="13">
        <f>AI37*VLOOKUP('Données projet'!$B$10,Paramètres!$A$1:$I$89,3,0)*VLOOKUP('Données projet'!$B$10,Paramètres!$A$1:$I$89,5,0)</f>
        <v>109.16218231578944</v>
      </c>
      <c r="AK37" s="13">
        <f t="shared" si="35"/>
        <v>29.133500440197817</v>
      </c>
      <c r="AL37" s="20">
        <f t="shared" si="4"/>
        <v>240.86498080001115</v>
      </c>
      <c r="AM37" s="59">
        <f t="shared" si="5"/>
        <v>480.7463858750931</v>
      </c>
      <c r="AN37" s="59">
        <f ca="1">AVERAGE(OFFSET($AM$3,0,0,'Données projet'!$E$10+1,1))-AVERAGE(OFFSET($H$3,0,0,'Données projet'!$E$10+1,1))</f>
        <v>401.19166052471473</v>
      </c>
      <c r="AO37" s="59">
        <f t="shared" si="36"/>
        <v>271.10067497534271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134.0131371428572</v>
      </c>
      <c r="BF37" s="13">
        <f t="shared" si="37"/>
        <v>34.92203026351433</v>
      </c>
      <c r="BG37" s="20">
        <f t="shared" si="7"/>
        <v>294.2287498994304</v>
      </c>
      <c r="BH37" s="59">
        <f t="shared" si="8"/>
        <v>534.1101549745124</v>
      </c>
      <c r="BI37" s="59">
        <f ca="1">AVERAGE(OFFSET($BH$3,0,0,'Données projet'!$E$11+1,1))-AVERAGE(OFFSET($H$3,0,0,'Données projet'!$E$11+1,1))</f>
        <v>695.93700574708214</v>
      </c>
      <c r="BJ37" s="59">
        <f t="shared" si="38"/>
        <v>318.31690229208471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145.79999999999998</v>
      </c>
      <c r="BZ37" s="13">
        <f>BY37*VLOOKUP('Données projet'!$B$12,Paramètres!$A$1:$I$89,3,0)*VLOOKUP('Données projet'!$B$12,Paramètres!$A$1:$I$89,5,0)</f>
        <v>95.528159999999986</v>
      </c>
      <c r="CA37" s="13">
        <f t="shared" si="39"/>
        <v>25.893823366813653</v>
      </c>
      <c r="CB37" s="20">
        <f t="shared" si="10"/>
        <v>211.47662103053372</v>
      </c>
      <c r="CC37" s="59">
        <f t="shared" si="11"/>
        <v>451.35802610561569</v>
      </c>
      <c r="CD37" s="59">
        <f ca="1">AVERAGE(OFFSET($CC$3,0,0,'Données projet'!$E$12+1,1))-AVERAGE(OFFSET($H$3,0,0,'Données projet'!$E$12+1,1))</f>
        <v>260.25859566735949</v>
      </c>
      <c r="CE37" s="59">
        <f t="shared" si="40"/>
        <v>256.93649773468667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7.2</v>
      </c>
      <c r="CT37" s="12">
        <f>IF('Données projet'!$A$140&gt;35,CT36+CS37-DB36,IF(A37&lt;'Données projet'!$A$140,$CQ$205^A37,IF(A37='Données projet'!$A$140,'Données projet'!$B$140,CT36+CS37-DB36)))</f>
        <v>145.79999999999998</v>
      </c>
      <c r="CU37" s="17">
        <f>CT37*VLOOKUP('Données projet'!$B$13,Paramètres!$A$1:$I$89,3,0)*VLOOKUP('Données projet'!$B$13,Paramètres!$A$1:$I$89,5,0)</f>
        <v>95.528159999999986</v>
      </c>
      <c r="CV37" s="13">
        <f t="shared" si="41"/>
        <v>25.893823366813653</v>
      </c>
      <c r="CW37" s="20">
        <f t="shared" si="13"/>
        <v>211.47662103053372</v>
      </c>
      <c r="CX37" s="59">
        <f t="shared" si="14"/>
        <v>451.35802610561569</v>
      </c>
      <c r="CY37" s="59">
        <f ca="1">AVERAGE(OFFSET($CX$3,0,0,'Données projet'!$E$13+1,1))-AVERAGE(OFFSET($H$3,0,0,'Données projet'!$E$13+1,1))</f>
        <v>260.25859566735949</v>
      </c>
      <c r="CZ37" s="59">
        <f t="shared" si="42"/>
        <v>256.93649773468667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11.178571428571425</v>
      </c>
      <c r="DO37" s="12">
        <f>IF('Données projet'!$A$166&gt;35,DO36+DN37-DW36,IF(A37&lt;'Données projet'!$A$166,$DL$205^A37,IF(A37='Données projet'!$A$166,'Données projet'!$B$166,DO36+DN37-DW36)))</f>
        <v>166.84857142857146</v>
      </c>
      <c r="DP37" s="17">
        <f>DO37*VLOOKUP('Données projet'!$B$14,Paramètres!$A$1:$I$89,3,0)*VLOOKUP('Données projet'!$B$14,Paramètres!$A$1:$I$89,5,0)</f>
        <v>95.437382857142879</v>
      </c>
      <c r="DQ37" s="13">
        <f t="shared" si="43"/>
        <v>25.872080289413347</v>
      </c>
      <c r="DR37" s="20">
        <f t="shared" si="16"/>
        <v>211.2806483135854</v>
      </c>
      <c r="DS37" s="59">
        <f t="shared" si="17"/>
        <v>451.16205338866735</v>
      </c>
      <c r="DT37" s="59">
        <f ca="1">AVERAGE(OFFSET($DS$3,0,0,'Données projet'!$E$14+1,1))-AVERAGE(OFFSET($H$3,0,0,'Données projet'!$E$14+1,1))</f>
        <v>349.56396446903</v>
      </c>
      <c r="DU37" s="59">
        <f t="shared" si="44"/>
        <v>270.64279448634522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34.902065163291148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34.902065163291148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16.701250000000002</v>
      </c>
      <c r="EJ37" s="12">
        <f>IF('Données projet'!$A$192&gt;35,EJ36+EI37-ER36,IF(A37&lt;'Données projet'!$A$192,$EG$205^A37,IF(A37='Données projet'!$A$192,'Données projet'!$B$192,EJ36+EI37-ER36)))</f>
        <v>183.63125000000005</v>
      </c>
      <c r="EK37" s="17">
        <f>EJ37*VLOOKUP('Données projet'!$B$15,Paramètres!$A$1:$I$89,3,0)*VLOOKUP('Données projet'!$B$15,Paramètres!$A$1:$I$89,5,0)</f>
        <v>109.81148750000004</v>
      </c>
      <c r="EL37" s="13">
        <f t="shared" si="45"/>
        <v>29.286565124423376</v>
      </c>
      <c r="EM37" s="20">
        <f t="shared" si="19"/>
        <v>242.26244165420408</v>
      </c>
      <c r="EN37" s="59">
        <f t="shared" si="20"/>
        <v>482.14384672928605</v>
      </c>
      <c r="EO37" s="59">
        <f ca="1">AVERAGE(OFFSET($EN$3,0,0,'Données projet'!$E$15+1,1))-AVERAGE(OFFSET($H$3,0,0,'Données projet'!$E$15+1,1))</f>
        <v>375.89365709113105</v>
      </c>
      <c r="EP37" s="59">
        <f t="shared" si="46"/>
        <v>279.39056561403834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7.9438513776076896</v>
      </c>
      <c r="EW37" s="21">
        <f>EXP(-LN(2)/25)*EW36+(1-EXP(-LN(2)/25))/(LN(2)/25)*Calculateur!ER37*Calculateur!ET37*VLOOKUP('Données projet'!$B$15,Paramètres!$A$1:$I$89,3,0)*0.475*44/12</f>
        <v>28.271231761076098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36.215083138683788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17.737142857142853</v>
      </c>
      <c r="FE37" s="12">
        <f>IF('Données projet'!$A$218&gt;35,FE36+FD37-FM36,IF(A37&lt;'Données projet'!$A$218,$FB$205^A37,IF(A37='Données projet'!$A$218,'Données projet'!$B$218,FE36+FD37-FM36)))</f>
        <v>275.65571428571428</v>
      </c>
      <c r="FF37" s="17">
        <f>FE37*VLOOKUP('Données projet'!$B$16,Paramètres!$A$1:$I$89,3,0)*VLOOKUP('Données projet'!$B$16,Paramètres!$A$1:$I$89,5,0)</f>
        <v>164.84211714285715</v>
      </c>
      <c r="FG37" s="13">
        <f t="shared" si="47"/>
        <v>41.932766136496305</v>
      </c>
      <c r="FH37" s="20">
        <f t="shared" si="22"/>
        <v>360.13292171154058</v>
      </c>
      <c r="FI37" s="59">
        <f t="shared" si="23"/>
        <v>600.01432678662252</v>
      </c>
      <c r="FJ37" s="59">
        <f ca="1">AVERAGE(OFFSET($FI$3,0,0,'Données projet'!$E$16+1,1))-AVERAGE(OFFSET($H$3,0,0,'Données projet'!$E$16+1,1))</f>
        <v>319.29539841078537</v>
      </c>
      <c r="FK37" s="59">
        <f t="shared" si="48"/>
        <v>327.26871144121412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3.4246419695908985</v>
      </c>
      <c r="FR37" s="21">
        <f>EXP(-LN(2)/25)*FR36+(1-EXP(-LN(2)/25))/(LN(2)/25)*Calculateur!FM37*Calculateur!FO37*VLOOKUP('Données projet'!$B$16,Paramètres!$A$1:$I$89,3,0)*0.475*44/12</f>
        <v>34.686175942706299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38.1108179122972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28.636666666666667</v>
      </c>
      <c r="FZ37" s="12">
        <f>IF('Données projet'!$A$244&gt;35,FZ36+FY37-GH36,IF(A37&lt;'Données projet'!$A$244,$FW$205^A37,IF(A37='Données projet'!$A$244,'Données projet'!$B$244,FZ36+FY37-GH36)))</f>
        <v>444.13666666666666</v>
      </c>
      <c r="GA37" s="17">
        <f>FZ37*VLOOKUP('Données projet'!$B$17,Paramètres!$A$1:$I$89,3,0)*VLOOKUP('Données projet'!$B$17,Paramètres!$A$1:$I$89,5,0)</f>
        <v>196.30840666666668</v>
      </c>
      <c r="GB37" s="13">
        <f t="shared" si="49"/>
        <v>48.931989656002457</v>
      </c>
      <c r="GC37" s="20">
        <f t="shared" si="25"/>
        <v>427.12702359531545</v>
      </c>
      <c r="GD37" s="59">
        <f t="shared" si="26"/>
        <v>667.00842867039739</v>
      </c>
      <c r="GE37" s="59">
        <f ca="1">AVERAGE(OFFSET($GD$3,0,0,'Données projet'!$E$17+1,1))-AVERAGE(OFFSET($H$3,0,0,'Données projet'!$E$17+1,1))</f>
        <v>342.89128067483233</v>
      </c>
      <c r="GF37" s="59">
        <f t="shared" si="50"/>
        <v>453.47615302202996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51.211628541949409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51.211628541949409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55.422201384113258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16.701250000000002</v>
      </c>
      <c r="GU37" s="12">
        <f>IF('Données projet'!$A$270&gt;35,GU36+GT37-HC36,IF(A37&lt;'Données projet'!$A$270,$GR$205^A37,IF(A37='Données projet'!$A$270,'Données projet'!$B$270,GU36+GT37-HC36)))</f>
        <v>183.63125000000005</v>
      </c>
      <c r="GV37" s="17">
        <f>GU37*VLOOKUP('Données projet'!$B$18,Paramètres!$A$1:$I$89,3,0)*VLOOKUP('Données projet'!$B$18,Paramètres!$A$1:$I$89,5,0)</f>
        <v>109.81148750000004</v>
      </c>
      <c r="GW37" s="13">
        <f t="shared" si="51"/>
        <v>29.286565124423376</v>
      </c>
      <c r="GX37" s="20">
        <f t="shared" si="28"/>
        <v>242.26244165420408</v>
      </c>
      <c r="GY37" s="59">
        <f t="shared" si="29"/>
        <v>482.14384672928605</v>
      </c>
      <c r="GZ37" s="59">
        <f ca="1">AVERAGE(OFFSET($GY$3,0,0,'Données projet'!$E$18+1,1))-AVERAGE(OFFSET($H$3,0,0,'Données projet'!$E$18+1,1))</f>
        <v>375.89365709113105</v>
      </c>
      <c r="HA37" s="59">
        <f t="shared" si="52"/>
        <v>279.39056561403834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7.9438513776076896</v>
      </c>
      <c r="HH37" s="21">
        <f>EXP(-LN(2)/25)*HH36+(1-EXP(-LN(2)/25))/(LN(2)/25)*Calculateur!HC37*Calculateur!HE37*VLOOKUP('Données projet'!$B$18,Paramètres!$A$1:$I$89,3,0)*0.475*44/12</f>
        <v>28.271231761076098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36.215083138683788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178.09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123.09804000000005</v>
      </c>
      <c r="P38" s="13">
        <f t="shared" si="33"/>
        <v>32.396490846405321</v>
      </c>
      <c r="Q38" s="20">
        <f t="shared" si="53"/>
        <v>270.81964122415599</v>
      </c>
      <c r="R38" s="59">
        <f t="shared" si="0"/>
        <v>511.62831775390947</v>
      </c>
      <c r="S38" s="59">
        <f ca="1">AVERAGE(OFFSET($R$3,0,0,'Données projet'!$E$9+1,1))-AVERAGE(OFFSET($H$3,0,0,'Données projet'!$E$9+1,1))</f>
        <v>631.31712308065664</v>
      </c>
      <c r="T38" s="59">
        <f t="shared" si="34"/>
        <v>290.92244624361285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3.8113157894736847</v>
      </c>
      <c r="AI38" s="13">
        <f>IF('Données projet'!$A$62&gt;35,AI37+AH38-AQ37,IF(A38&lt;'Données projet'!$A$62,$AF$205^A38,IF(A38='Données projet'!$A$62,'Données projet'!$B$62,AI37+AH38-AQ37)))</f>
        <v>133.3960526315789</v>
      </c>
      <c r="AJ38" s="13">
        <f>AI38*VLOOKUP('Données projet'!$B$10,Paramètres!$A$1:$I$89,3,0)*VLOOKUP('Données projet'!$B$10,Paramètres!$A$1:$I$89,5,0)</f>
        <v>112.37283473684207</v>
      </c>
      <c r="AK38" s="13">
        <f t="shared" si="35"/>
        <v>29.889346647484818</v>
      </c>
      <c r="AL38" s="20">
        <f t="shared" si="4"/>
        <v>247.77329924436927</v>
      </c>
      <c r="AM38" s="59">
        <f t="shared" si="5"/>
        <v>488.58197577412272</v>
      </c>
      <c r="AN38" s="59">
        <f ca="1">AVERAGE(OFFSET($AM$3,0,0,'Données projet'!$E$10+1,1))-AVERAGE(OFFSET($H$3,0,0,'Données projet'!$E$10+1,1))</f>
        <v>401.19166052471473</v>
      </c>
      <c r="AO38" s="59">
        <f t="shared" si="36"/>
        <v>271.10067497534271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137.95470000000009</v>
      </c>
      <c r="BF38" s="13">
        <f t="shared" si="37"/>
        <v>35.828055414169384</v>
      </c>
      <c r="BG38" s="20">
        <f t="shared" si="7"/>
        <v>302.67163234634512</v>
      </c>
      <c r="BH38" s="59">
        <f t="shared" si="8"/>
        <v>543.48030887609866</v>
      </c>
      <c r="BI38" s="59">
        <f ca="1">AVERAGE(OFFSET($BH$3,0,0,'Données projet'!$E$11+1,1))-AVERAGE(OFFSET($H$3,0,0,'Données projet'!$E$11+1,1))</f>
        <v>695.93700574708214</v>
      </c>
      <c r="BJ38" s="59">
        <f t="shared" si="38"/>
        <v>318.31690229208471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153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152.99999999999997</v>
      </c>
      <c r="BZ38" s="13">
        <f>BY38*VLOOKUP('Données projet'!$B$12,Paramètres!$A$1:$I$89,3,0)*VLOOKUP('Données projet'!$B$12,Paramètres!$A$1:$I$89,5,0)</f>
        <v>100.2456</v>
      </c>
      <c r="CA38" s="13">
        <f t="shared" si="39"/>
        <v>27.020500005754936</v>
      </c>
      <c r="CB38" s="20">
        <f t="shared" si="10"/>
        <v>221.65512417668984</v>
      </c>
      <c r="CC38" s="59">
        <f t="shared" si="11"/>
        <v>462.46380070644329</v>
      </c>
      <c r="CD38" s="59">
        <f ca="1">AVERAGE(OFFSET($CC$3,0,0,'Données projet'!$E$12+1,1))-AVERAGE(OFFSET($H$3,0,0,'Données projet'!$E$12+1,1))</f>
        <v>260.25859566735949</v>
      </c>
      <c r="CE38" s="59">
        <f t="shared" si="40"/>
        <v>256.93649773468667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153</v>
      </c>
      <c r="CR38" s="12">
        <f>VLOOKUP(A38,'Données projet'!$A$139:$I$159,9,0)</f>
        <v>7.2</v>
      </c>
      <c r="CS38" s="12">
        <f t="array" ref="CS38">INDEX(CR:CR,MIN(IF(ISNUMBER(CR38:CR234),ROW(CR38:CR234),"")))</f>
        <v>7.2</v>
      </c>
      <c r="CT38" s="12">
        <f>IF('Données projet'!$A$140&gt;35,CT37+CS38-DB37,IF(A38&lt;'Données projet'!$A$140,$CQ$205^A38,IF(A38='Données projet'!$A$140,'Données projet'!$B$140,CT37+CS38-DB37)))</f>
        <v>152.99999999999997</v>
      </c>
      <c r="CU38" s="17">
        <f>CT38*VLOOKUP('Données projet'!$B$13,Paramètres!$A$1:$I$89,3,0)*VLOOKUP('Données projet'!$B$13,Paramètres!$A$1:$I$89,5,0)</f>
        <v>100.2456</v>
      </c>
      <c r="CV38" s="13">
        <f t="shared" si="41"/>
        <v>27.020500005754936</v>
      </c>
      <c r="CW38" s="20">
        <f t="shared" si="13"/>
        <v>221.65512417668984</v>
      </c>
      <c r="CX38" s="59">
        <f t="shared" si="14"/>
        <v>462.46380070644329</v>
      </c>
      <c r="CY38" s="59">
        <f ca="1">AVERAGE(OFFSET($CX$3,0,0,'Données projet'!$E$13+1,1))-AVERAGE(OFFSET($H$3,0,0,'Données projet'!$E$13+1,1))</f>
        <v>260.25859566735949</v>
      </c>
      <c r="CZ38" s="59">
        <f t="shared" si="42"/>
        <v>256.93649773468667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11.178571428571425</v>
      </c>
      <c r="DO38" s="12">
        <f>IF('Données projet'!$A$166&gt;35,DO37+DN38-DW37,IF(A38&lt;'Données projet'!$A$166,$DL$205^A38,IF(A38='Données projet'!$A$166,'Données projet'!$B$166,DO37+DN38-DW37)))</f>
        <v>178.02714285714288</v>
      </c>
      <c r="DP38" s="17">
        <f>DO38*VLOOKUP('Données projet'!$B$14,Paramètres!$A$1:$I$89,3,0)*VLOOKUP('Données projet'!$B$14,Paramètres!$A$1:$I$89,5,0)</f>
        <v>101.83152571428573</v>
      </c>
      <c r="DQ38" s="13">
        <f t="shared" si="43"/>
        <v>27.397871322150653</v>
      </c>
      <c r="DR38" s="20">
        <f t="shared" si="16"/>
        <v>225.07453317179332</v>
      </c>
      <c r="DS38" s="59">
        <f t="shared" si="17"/>
        <v>465.88320970154678</v>
      </c>
      <c r="DT38" s="59">
        <f ca="1">AVERAGE(OFFSET($DS$3,0,0,'Données projet'!$E$14+1,1))-AVERAGE(OFFSET($H$3,0,0,'Données projet'!$E$14+1,1))</f>
        <v>349.56396446903</v>
      </c>
      <c r="DU38" s="59">
        <f t="shared" si="44"/>
        <v>270.64279448634522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33.947666355981113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33.947666355981113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16.701250000000002</v>
      </c>
      <c r="EJ38" s="12">
        <f>IF('Données projet'!$A$192&gt;35,EJ37+EI38-ER37,IF(A38&lt;'Données projet'!$A$192,$EG$205^A38,IF(A38='Données projet'!$A$192,'Données projet'!$B$192,EJ37+EI38-ER37)))</f>
        <v>200.33250000000004</v>
      </c>
      <c r="EK38" s="17">
        <f>EJ38*VLOOKUP('Données projet'!$B$15,Paramètres!$A$1:$I$89,3,0)*VLOOKUP('Données projet'!$B$15,Paramètres!$A$1:$I$89,5,0)</f>
        <v>119.79883500000003</v>
      </c>
      <c r="EL38" s="13">
        <f t="shared" si="45"/>
        <v>31.628076280921128</v>
      </c>
      <c r="EM38" s="20">
        <f t="shared" si="19"/>
        <v>263.73520381427102</v>
      </c>
      <c r="EN38" s="59">
        <f t="shared" si="20"/>
        <v>504.5438803440245</v>
      </c>
      <c r="EO38" s="59">
        <f ca="1">AVERAGE(OFFSET($EN$3,0,0,'Données projet'!$E$15+1,1))-AVERAGE(OFFSET($H$3,0,0,'Données projet'!$E$15+1,1))</f>
        <v>375.89365709113105</v>
      </c>
      <c r="EP38" s="59">
        <f t="shared" si="46"/>
        <v>279.39056561403834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7.7880772973637127</v>
      </c>
      <c r="EW38" s="21">
        <f>EXP(-LN(2)/25)*EW37+(1-EXP(-LN(2)/25))/(LN(2)/25)*Calculateur!ER38*Calculateur!ET38*VLOOKUP('Données projet'!$B$15,Paramètres!$A$1:$I$89,3,0)*0.475*44/12</f>
        <v>27.498153441850008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35.286230739213721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17.737142857142853</v>
      </c>
      <c r="FE38" s="12">
        <f>IF('Données projet'!$A$218&gt;35,FE37+FD38-FM37,IF(A38&lt;'Données projet'!$A$218,$FB$205^A38,IF(A38='Données projet'!$A$218,'Données projet'!$B$218,FE37+FD38-FM37)))</f>
        <v>293.39285714285711</v>
      </c>
      <c r="FF38" s="17">
        <f>FE38*VLOOKUP('Données projet'!$B$16,Paramètres!$A$1:$I$89,3,0)*VLOOKUP('Données projet'!$B$16,Paramètres!$A$1:$I$89,5,0)</f>
        <v>175.44892857142858</v>
      </c>
      <c r="FG38" s="13">
        <f t="shared" si="47"/>
        <v>44.308152462369684</v>
      </c>
      <c r="FH38" s="20">
        <f t="shared" si="22"/>
        <v>382.7435828005319</v>
      </c>
      <c r="FI38" s="59">
        <f t="shared" si="23"/>
        <v>623.55225933028532</v>
      </c>
      <c r="FJ38" s="59">
        <f ca="1">AVERAGE(OFFSET($FI$3,0,0,'Données projet'!$E$16+1,1))-AVERAGE(OFFSET($H$3,0,0,'Données projet'!$E$16+1,1))</f>
        <v>319.29539841078537</v>
      </c>
      <c r="FK38" s="59">
        <f t="shared" si="48"/>
        <v>327.26871144121412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3.3574868293925682</v>
      </c>
      <c r="FR38" s="21">
        <f>EXP(-LN(2)/25)*FR37+(1-EXP(-LN(2)/25))/(LN(2)/25)*Calculateur!FM38*Calculateur!FO38*VLOOKUP('Données projet'!$B$16,Paramètres!$A$1:$I$89,3,0)*0.475*44/12</f>
        <v>33.737680637486278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37.095167466878848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28.636666666666667</v>
      </c>
      <c r="FZ38" s="12">
        <f>IF('Données projet'!$A$244&gt;35,FZ37+FY38-GH37,IF(A38&lt;'Données projet'!$A$244,$FW$205^A38,IF(A38='Données projet'!$A$244,'Données projet'!$B$244,FZ37+FY38-GH37)))</f>
        <v>472.77333333333331</v>
      </c>
      <c r="GA38" s="17">
        <f>FZ38*VLOOKUP('Données projet'!$B$17,Paramètres!$A$1:$I$89,3,0)*VLOOKUP('Données projet'!$B$17,Paramètres!$A$1:$I$89,5,0)</f>
        <v>208.96581333333333</v>
      </c>
      <c r="GB38" s="13">
        <f t="shared" si="49"/>
        <v>51.709524998517026</v>
      </c>
      <c r="GC38" s="20">
        <f t="shared" si="25"/>
        <v>454.00954759463934</v>
      </c>
      <c r="GD38" s="59">
        <f t="shared" si="26"/>
        <v>694.81822412439283</v>
      </c>
      <c r="GE38" s="59">
        <f ca="1">AVERAGE(OFFSET($GD$3,0,0,'Données projet'!$E$17+1,1))-AVERAGE(OFFSET($H$3,0,0,'Données projet'!$E$17+1,1))</f>
        <v>342.89128067483233</v>
      </c>
      <c r="GF38" s="59">
        <f t="shared" si="50"/>
        <v>453.47615302202996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49.811243866367306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49.811243866367306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55.675093599023683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16.701250000000002</v>
      </c>
      <c r="GU38" s="12">
        <f>IF('Données projet'!$A$270&gt;35,GU37+GT38-HC37,IF(A38&lt;'Données projet'!$A$270,$GR$205^A38,IF(A38='Données projet'!$A$270,'Données projet'!$B$270,GU37+GT38-HC37)))</f>
        <v>200.33250000000004</v>
      </c>
      <c r="GV38" s="17">
        <f>GU38*VLOOKUP('Données projet'!$B$18,Paramètres!$A$1:$I$89,3,0)*VLOOKUP('Données projet'!$B$18,Paramètres!$A$1:$I$89,5,0)</f>
        <v>119.79883500000003</v>
      </c>
      <c r="GW38" s="13">
        <f t="shared" si="51"/>
        <v>31.628076280921128</v>
      </c>
      <c r="GX38" s="20">
        <f t="shared" si="28"/>
        <v>263.73520381427102</v>
      </c>
      <c r="GY38" s="59">
        <f t="shared" si="29"/>
        <v>504.5438803440245</v>
      </c>
      <c r="GZ38" s="59">
        <f ca="1">AVERAGE(OFFSET($GY$3,0,0,'Données projet'!$E$18+1,1))-AVERAGE(OFFSET($H$3,0,0,'Données projet'!$E$18+1,1))</f>
        <v>375.89365709113105</v>
      </c>
      <c r="HA38" s="59">
        <f t="shared" si="52"/>
        <v>279.39056561403834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7.7880772973637127</v>
      </c>
      <c r="HH38" s="21">
        <f>EXP(-LN(2)/25)*HH37+(1-EXP(-LN(2)/25))/(LN(2)/25)*Calculateur!HC38*Calculateur!HE38*VLOOKUP('Données projet'!$B$18,Paramètres!$A$1:$I$89,3,0)*0.475*44/12</f>
        <v>27.498153441850008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35.286230739213721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178.09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126.61512685714293</v>
      </c>
      <c r="P39" s="13">
        <f t="shared" si="33"/>
        <v>33.213017638275041</v>
      </c>
      <c r="Q39" s="20">
        <f t="shared" si="53"/>
        <v>278.36735166285297</v>
      </c>
      <c r="R39" s="59">
        <f t="shared" si="0"/>
        <v>520.08721356060789</v>
      </c>
      <c r="S39" s="59">
        <f ca="1">AVERAGE(OFFSET($R$3,0,0,'Données projet'!$E$9+1,1))-AVERAGE(OFFSET($H$3,0,0,'Données projet'!$E$9+1,1))</f>
        <v>631.31712308065664</v>
      </c>
      <c r="T39" s="59">
        <f t="shared" si="34"/>
        <v>290.92244624361285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3.8113157894736847</v>
      </c>
      <c r="AI39" s="13">
        <f>IF('Données projet'!$A$62&gt;35,AI38+AH39-AQ38,IF(A39&lt;'Données projet'!$A$62,$AF$205^A39,IF(A39='Données projet'!$A$62,'Données projet'!$B$62,AI38+AH39-AQ38)))</f>
        <v>137.20736842105259</v>
      </c>
      <c r="AJ39" s="13">
        <f>AI39*VLOOKUP('Données projet'!$B$10,Paramètres!$A$1:$I$89,3,0)*VLOOKUP('Données projet'!$B$10,Paramètres!$A$1:$I$89,5,0)</f>
        <v>115.58348715789471</v>
      </c>
      <c r="AK39" s="13">
        <f t="shared" si="35"/>
        <v>30.642682940753755</v>
      </c>
      <c r="AL39" s="20">
        <f t="shared" si="4"/>
        <v>254.677246255146</v>
      </c>
      <c r="AM39" s="59">
        <f t="shared" si="5"/>
        <v>496.39710815290096</v>
      </c>
      <c r="AN39" s="59">
        <f ca="1">AVERAGE(OFFSET($AM$3,0,0,'Données projet'!$E$10+1,1))-AVERAGE(OFFSET($H$3,0,0,'Données projet'!$E$10+1,1))</f>
        <v>401.19166052471473</v>
      </c>
      <c r="AO39" s="59">
        <f t="shared" si="36"/>
        <v>271.10067497534271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141.89626285714294</v>
      </c>
      <c r="BF39" s="13">
        <f t="shared" si="37"/>
        <v>36.73107195645354</v>
      </c>
      <c r="BG39" s="20">
        <f t="shared" si="7"/>
        <v>311.10927480034724</v>
      </c>
      <c r="BH39" s="59">
        <f t="shared" si="8"/>
        <v>552.82913669810216</v>
      </c>
      <c r="BI39" s="59">
        <f ca="1">AVERAGE(OFFSET($BH$3,0,0,'Données projet'!$E$11+1,1))-AVERAGE(OFFSET($H$3,0,0,'Données projet'!$E$11+1,1))</f>
        <v>695.93700574708214</v>
      </c>
      <c r="BJ39" s="59">
        <f t="shared" si="38"/>
        <v>318.31690229208471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138.99999999999997</v>
      </c>
      <c r="BZ39" s="13">
        <f>BY39*VLOOKUP('Données projet'!$B$12,Paramètres!$A$1:$I$89,3,0)*VLOOKUP('Données projet'!$B$12,Paramètres!$A$1:$I$89,5,0)</f>
        <v>91.072799999999987</v>
      </c>
      <c r="CA39" s="13">
        <f t="shared" si="39"/>
        <v>24.823779817332358</v>
      </c>
      <c r="CB39" s="20">
        <f t="shared" si="10"/>
        <v>201.85320984852046</v>
      </c>
      <c r="CC39" s="59">
        <f t="shared" si="11"/>
        <v>443.57307174627545</v>
      </c>
      <c r="CD39" s="59">
        <f ca="1">AVERAGE(OFFSET($CC$3,0,0,'Données projet'!$E$12+1,1))-AVERAGE(OFFSET($H$3,0,0,'Données projet'!$E$12+1,1))</f>
        <v>260.25859566735949</v>
      </c>
      <c r="CE39" s="59">
        <f t="shared" si="40"/>
        <v>256.93649773468667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</v>
      </c>
      <c r="CT39" s="12">
        <f>IF('Données projet'!$A$140&gt;35,CT38+CS39-DB38,IF(A39&lt;'Données projet'!$A$140,$CQ$205^A39,IF(A39='Données projet'!$A$140,'Données projet'!$B$140,CT38+CS39-DB38)))</f>
        <v>138.99999999999997</v>
      </c>
      <c r="CU39" s="17">
        <f>CT39*VLOOKUP('Données projet'!$B$13,Paramètres!$A$1:$I$89,3,0)*VLOOKUP('Données projet'!$B$13,Paramètres!$A$1:$I$89,5,0)</f>
        <v>91.072799999999987</v>
      </c>
      <c r="CV39" s="13">
        <f t="shared" si="41"/>
        <v>24.823779817332358</v>
      </c>
      <c r="CW39" s="20">
        <f t="shared" si="13"/>
        <v>201.85320984852046</v>
      </c>
      <c r="CX39" s="59">
        <f t="shared" si="14"/>
        <v>443.57307174627545</v>
      </c>
      <c r="CY39" s="59">
        <f ca="1">AVERAGE(OFFSET($CX$3,0,0,'Données projet'!$E$13+1,1))-AVERAGE(OFFSET($H$3,0,0,'Données projet'!$E$13+1,1))</f>
        <v>260.25859566735949</v>
      </c>
      <c r="CZ39" s="59">
        <f t="shared" si="42"/>
        <v>256.93649773468667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11.178571428571425</v>
      </c>
      <c r="DO39" s="12">
        <f>IF('Données projet'!$A$166&gt;35,DO38+DN39-DW38,IF(A39&lt;'Données projet'!$A$166,$DL$205^A39,IF(A39='Données projet'!$A$166,'Données projet'!$B$166,DO38+DN39-DW38)))</f>
        <v>189.20571428571429</v>
      </c>
      <c r="DP39" s="17">
        <f>DO39*VLOOKUP('Données projet'!$B$14,Paramètres!$A$1:$I$89,3,0)*VLOOKUP('Données projet'!$B$14,Paramètres!$A$1:$I$89,5,0)</f>
        <v>108.22566857142859</v>
      </c>
      <c r="DQ39" s="13">
        <f t="shared" si="43"/>
        <v>28.912543418022352</v>
      </c>
      <c r="DR39" s="20">
        <f t="shared" si="16"/>
        <v>238.84905254829377</v>
      </c>
      <c r="DS39" s="59">
        <f t="shared" si="17"/>
        <v>480.56891444604872</v>
      </c>
      <c r="DT39" s="59">
        <f ca="1">AVERAGE(OFFSET($DS$3,0,0,'Données projet'!$E$14+1,1))-AVERAGE(OFFSET($H$3,0,0,'Données projet'!$E$14+1,1))</f>
        <v>349.56396446903</v>
      </c>
      <c r="DU39" s="59">
        <f t="shared" si="44"/>
        <v>270.64279448634522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33.019365634246626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33.019365634246626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16.701250000000002</v>
      </c>
      <c r="EJ39" s="12">
        <f>IF('Données projet'!$A$192&gt;35,EJ38+EI39-ER38,IF(A39&lt;'Données projet'!$A$192,$EG$205^A39,IF(A39='Données projet'!$A$192,'Données projet'!$B$192,EJ38+EI39-ER38)))</f>
        <v>217.03375000000005</v>
      </c>
      <c r="EK39" s="17">
        <f>EJ39*VLOOKUP('Données projet'!$B$15,Paramètres!$A$1:$I$89,3,0)*VLOOKUP('Données projet'!$B$15,Paramètres!$A$1:$I$89,5,0)</f>
        <v>129.78618250000005</v>
      </c>
      <c r="EL39" s="13">
        <f t="shared" si="45"/>
        <v>33.946947653586037</v>
      </c>
      <c r="EM39" s="20">
        <f t="shared" si="19"/>
        <v>285.1685350174958</v>
      </c>
      <c r="EN39" s="59">
        <f t="shared" si="20"/>
        <v>526.88839691525072</v>
      </c>
      <c r="EO39" s="59">
        <f ca="1">AVERAGE(OFFSET($EN$3,0,0,'Données projet'!$E$15+1,1))-AVERAGE(OFFSET($H$3,0,0,'Données projet'!$E$15+1,1))</f>
        <v>375.89365709113105</v>
      </c>
      <c r="EP39" s="59">
        <f t="shared" si="46"/>
        <v>279.39056561403834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7.6353578518205127</v>
      </c>
      <c r="EW39" s="21">
        <f>EXP(-LN(2)/25)*EW38+(1-EXP(-LN(2)/25))/(LN(2)/25)*Calculateur!ER39*Calculateur!ET39*VLOOKUP('Données projet'!$B$15,Paramètres!$A$1:$I$89,3,0)*0.475*44/12</f>
        <v>26.746214989917579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34.381572841738091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>
        <f>VLOOKUP(A39,'Données projet'!$A$217:$I$237,2,0)</f>
        <v>311.13</v>
      </c>
      <c r="FC39" s="12">
        <f>VLOOKUP(A39,'Données projet'!$A$217:$I$237,9,0)</f>
        <v>17.737142857142853</v>
      </c>
      <c r="FD39" s="12">
        <f t="array" ref="FD39">INDEX(FC:FC,MIN(IF(ISNUMBER(FC39:FC235),ROW(FC39:FC235),"")))</f>
        <v>17.737142857142853</v>
      </c>
      <c r="FE39" s="12">
        <f>IF('Données projet'!$A$218&gt;35,FE38+FD39-FM38,IF(A39&lt;'Données projet'!$A$218,$FB$205^A39,IF(A39='Données projet'!$A$218,'Données projet'!$B$218,FE38+FD39-FM38)))</f>
        <v>311.12999999999994</v>
      </c>
      <c r="FF39" s="17">
        <f>FE39*VLOOKUP('Données projet'!$B$16,Paramètres!$A$1:$I$89,3,0)*VLOOKUP('Données projet'!$B$16,Paramètres!$A$1:$I$89,5,0)</f>
        <v>186.05573999999996</v>
      </c>
      <c r="FG39" s="13">
        <f t="shared" si="47"/>
        <v>46.66687117215772</v>
      </c>
      <c r="FH39" s="20">
        <f t="shared" si="22"/>
        <v>405.32521445817457</v>
      </c>
      <c r="FI39" s="59">
        <f t="shared" si="23"/>
        <v>647.0450763559295</v>
      </c>
      <c r="FJ39" s="59">
        <f ca="1">AVERAGE(OFFSET($FI$3,0,0,'Données projet'!$E$16+1,1))-AVERAGE(OFFSET($H$3,0,0,'Données projet'!$E$16+1,1))</f>
        <v>319.29539841078537</v>
      </c>
      <c r="FK39" s="59">
        <f t="shared" si="48"/>
        <v>327.26871144121412</v>
      </c>
      <c r="FL39" s="15">
        <f>IF(ISNA(VLOOKUP(A39,'Données projet'!$A$217:$I$237,3,0)),0,VLOOKUP(A39,'Données projet'!$A$217:$I$237,3,0))</f>
        <v>4</v>
      </c>
      <c r="FM39" s="15">
        <f>IF(ISNA(VLOOKUP(A39,'Données projet'!$A$217:$I$237,4,0)),0,VLOOKUP(A39,'Données projet'!$A$217:$I$237,4,0))</f>
        <v>76.069999999999993</v>
      </c>
      <c r="FN39" s="16">
        <f>IF(ISNA(VLOOKUP(A39,'Données projet'!$A$217:$I$237,5,0)),0%,VLOOKUP(A39,'Données projet'!$A$217:$I$237,5,0)*VLOOKUP('Données projet'!$B$16,Paramètres!$A$1:$I$89,7,0))</f>
        <v>0.13500000000000001</v>
      </c>
      <c r="FO39" s="16">
        <f>IF(ISNA(VLOOKUP(A39,'Données projet'!$A$217:$I$237,6,0)),0%,VLOOKUP(A39,'Données projet'!$A$217:$I$237,6,0)*VLOOKUP('Données projet'!$B$16,Paramètres!$A$1:$I$89,7,0))</f>
        <v>0.22500000000000001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11.438254793987262</v>
      </c>
      <c r="FR39" s="21">
        <f>EXP(-LN(2)/25)*FR38+(1-EXP(-LN(2)/25))/(LN(2)/25)*Calculateur!FM39*Calculateur!FO39*VLOOKUP('Données projet'!$B$16,Paramètres!$A$1:$I$89,3,0)*0.475*44/12</f>
        <v>46.339338553954832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57.777593347942094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>
        <f>VLOOKUP(A39,'Données projet'!$A$243:$I$263,2,0)</f>
        <v>501.41</v>
      </c>
      <c r="FX39" s="12">
        <f>VLOOKUP(A39,'Données projet'!$A$243:$I$263,9,0)</f>
        <v>28.636666666666667</v>
      </c>
      <c r="FY39" s="12">
        <f t="array" ref="FY39">INDEX(FX:FX,MIN(IF(ISNUMBER(FX39:FX235),ROW(FX39:FX235),"")))</f>
        <v>28.636666666666667</v>
      </c>
      <c r="FZ39" s="12">
        <f>IF('Données projet'!$A$244&gt;35,FZ38+FY39-GH38,IF(A39&lt;'Données projet'!$A$244,$FW$205^A39,IF(A39='Données projet'!$A$244,'Données projet'!$B$244,FZ38+FY39-GH38)))</f>
        <v>501.40999999999997</v>
      </c>
      <c r="GA39" s="17">
        <f>FZ39*VLOOKUP('Données projet'!$B$17,Paramètres!$A$1:$I$89,3,0)*VLOOKUP('Données projet'!$B$17,Paramètres!$A$1:$I$89,5,0)</f>
        <v>221.62322</v>
      </c>
      <c r="GB39" s="13">
        <f t="shared" si="49"/>
        <v>54.467533484647333</v>
      </c>
      <c r="GC39" s="20">
        <f t="shared" si="25"/>
        <v>480.85806231909402</v>
      </c>
      <c r="GD39" s="59">
        <f t="shared" si="26"/>
        <v>722.57792421684894</v>
      </c>
      <c r="GE39" s="59">
        <f ca="1">AVERAGE(OFFSET($GD$3,0,0,'Données projet'!$E$17+1,1))-AVERAGE(OFFSET($H$3,0,0,'Données projet'!$E$17+1,1))</f>
        <v>342.89128067483233</v>
      </c>
      <c r="GF39" s="59">
        <f t="shared" si="50"/>
        <v>453.47615302202996</v>
      </c>
      <c r="GG39" s="15">
        <f>IF(ISNA(VLOOKUP(A39,'Données projet'!$A$243:$I$263,3,0)),0,VLOOKUP(A39,'Données projet'!$A$243:$I$263,3,0))</f>
        <v>4</v>
      </c>
      <c r="GH39" s="15">
        <f>IF(ISNA(VLOOKUP(A39,'Données projet'!$A$243:$I$263,4,0)),0,VLOOKUP(A39,'Données projet'!$A$243:$I$263,4,0))</f>
        <v>85.88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0.55000000000000004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76.035359921834043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76.035359921834043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55.923598699387711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16.701250000000002</v>
      </c>
      <c r="GU39" s="12">
        <f>IF('Données projet'!$A$270&gt;35,GU38+GT39-HC38,IF(A39&lt;'Données projet'!$A$270,$GR$205^A39,IF(A39='Données projet'!$A$270,'Données projet'!$B$270,GU38+GT39-HC38)))</f>
        <v>217.03375000000005</v>
      </c>
      <c r="GV39" s="17">
        <f>GU39*VLOOKUP('Données projet'!$B$18,Paramètres!$A$1:$I$89,3,0)*VLOOKUP('Données projet'!$B$18,Paramètres!$A$1:$I$89,5,0)</f>
        <v>129.78618250000005</v>
      </c>
      <c r="GW39" s="13">
        <f t="shared" si="51"/>
        <v>33.946947653586037</v>
      </c>
      <c r="GX39" s="20">
        <f t="shared" si="28"/>
        <v>285.1685350174958</v>
      </c>
      <c r="GY39" s="59">
        <f t="shared" si="29"/>
        <v>526.88839691525072</v>
      </c>
      <c r="GZ39" s="59">
        <f ca="1">AVERAGE(OFFSET($GY$3,0,0,'Données projet'!$E$18+1,1))-AVERAGE(OFFSET($H$3,0,0,'Données projet'!$E$18+1,1))</f>
        <v>375.89365709113105</v>
      </c>
      <c r="HA39" s="59">
        <f t="shared" si="52"/>
        <v>279.39056561403834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7.6353578518205127</v>
      </c>
      <c r="HH39" s="21">
        <f>EXP(-LN(2)/25)*HH38+(1-EXP(-LN(2)/25))/(LN(2)/25)*Calculateur!HC39*Calculateur!HE39*VLOOKUP('Données projet'!$B$18,Paramètres!$A$1:$I$89,3,0)*0.475*44/12</f>
        <v>26.746214989917579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34.381572841738091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178.09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130.13221371428577</v>
      </c>
      <c r="P40" s="13">
        <f t="shared" si="33"/>
        <v>34.026908232186209</v>
      </c>
      <c r="Q40" s="20">
        <f t="shared" si="53"/>
        <v>285.91047072343866</v>
      </c>
      <c r="R40" s="59">
        <f t="shared" si="0"/>
        <v>528.5257109601655</v>
      </c>
      <c r="S40" s="59">
        <f ca="1">AVERAGE(OFFSET($R$3,0,0,'Données projet'!$E$9+1,1))-AVERAGE(OFFSET($H$3,0,0,'Données projet'!$E$9+1,1))</f>
        <v>631.31712308065664</v>
      </c>
      <c r="T40" s="59">
        <f t="shared" si="34"/>
        <v>290.92244624361285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3.8113157894736847</v>
      </c>
      <c r="AI40" s="13">
        <f>IF('Données projet'!$A$62&gt;35,AI39+AH40-AQ39,IF(A40&lt;'Données projet'!$A$62,$AF$205^A40,IF(A40='Données projet'!$A$62,'Données projet'!$B$62,AI39+AH40-AQ39)))</f>
        <v>141.01868421052629</v>
      </c>
      <c r="AJ40" s="13">
        <f>AI40*VLOOKUP('Données projet'!$B$10,Paramètres!$A$1:$I$89,3,0)*VLOOKUP('Données projet'!$B$10,Paramètres!$A$1:$I$89,5,0)</f>
        <v>118.79413957894737</v>
      </c>
      <c r="AK40" s="13">
        <f t="shared" si="35"/>
        <v>31.393587049778187</v>
      </c>
      <c r="AL40" s="20">
        <f t="shared" si="4"/>
        <v>261.57695721169699</v>
      </c>
      <c r="AM40" s="59">
        <f t="shared" si="5"/>
        <v>504.19219744842383</v>
      </c>
      <c r="AN40" s="59">
        <f ca="1">AVERAGE(OFFSET($AM$3,0,0,'Données projet'!$E$10+1,1))-AVERAGE(OFFSET($H$3,0,0,'Données projet'!$E$10+1,1))</f>
        <v>401.19166052471473</v>
      </c>
      <c r="AO40" s="59">
        <f t="shared" si="36"/>
        <v>271.10067497534271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145.8378257142858</v>
      </c>
      <c r="BF40" s="13">
        <f t="shared" si="37"/>
        <v>37.631173064254732</v>
      </c>
      <c r="BG40" s="20">
        <f t="shared" si="7"/>
        <v>319.5418395392914</v>
      </c>
      <c r="BH40" s="59">
        <f t="shared" si="8"/>
        <v>562.15707977601824</v>
      </c>
      <c r="BI40" s="59">
        <f ca="1">AVERAGE(OFFSET($BH$3,0,0,'Données projet'!$E$11+1,1))-AVERAGE(OFFSET($H$3,0,0,'Données projet'!$E$11+1,1))</f>
        <v>695.93700574708214</v>
      </c>
      <c r="BJ40" s="59">
        <f t="shared" si="38"/>
        <v>318.31690229208471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145.99999999999997</v>
      </c>
      <c r="BZ40" s="13">
        <f>BY40*VLOOKUP('Données projet'!$B$12,Paramètres!$A$1:$I$89,3,0)*VLOOKUP('Données projet'!$B$12,Paramètres!$A$1:$I$89,5,0)</f>
        <v>95.659199999999984</v>
      </c>
      <c r="CA40" s="13">
        <f t="shared" si="39"/>
        <v>25.92520602338745</v>
      </c>
      <c r="CB40" s="20">
        <f t="shared" si="10"/>
        <v>211.75950715739978</v>
      </c>
      <c r="CC40" s="59">
        <f t="shared" si="11"/>
        <v>454.37474739412659</v>
      </c>
      <c r="CD40" s="59">
        <f ca="1">AVERAGE(OFFSET($CC$3,0,0,'Données projet'!$E$12+1,1))-AVERAGE(OFFSET($H$3,0,0,'Données projet'!$E$12+1,1))</f>
        <v>260.25859566735949</v>
      </c>
      <c r="CE40" s="59">
        <f t="shared" si="40"/>
        <v>256.93649773468667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</v>
      </c>
      <c r="CT40" s="12">
        <f>IF('Données projet'!$A$140&gt;35,CT39+CS40-DB39,IF(A40&lt;'Données projet'!$A$140,$CQ$205^A40,IF(A40='Données projet'!$A$140,'Données projet'!$B$140,CT39+CS40-DB39)))</f>
        <v>145.99999999999997</v>
      </c>
      <c r="CU40" s="17">
        <f>CT40*VLOOKUP('Données projet'!$B$13,Paramètres!$A$1:$I$89,3,0)*VLOOKUP('Données projet'!$B$13,Paramètres!$A$1:$I$89,5,0)</f>
        <v>95.659199999999984</v>
      </c>
      <c r="CV40" s="13">
        <f t="shared" si="41"/>
        <v>25.92520602338745</v>
      </c>
      <c r="CW40" s="20">
        <f t="shared" si="13"/>
        <v>211.75950715739978</v>
      </c>
      <c r="CX40" s="59">
        <f t="shared" si="14"/>
        <v>454.37474739412659</v>
      </c>
      <c r="CY40" s="59">
        <f ca="1">AVERAGE(OFFSET($CX$3,0,0,'Données projet'!$E$13+1,1))-AVERAGE(OFFSET($H$3,0,0,'Données projet'!$E$13+1,1))</f>
        <v>260.25859566735949</v>
      </c>
      <c r="CZ40" s="59">
        <f t="shared" si="42"/>
        <v>256.93649773468667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11.178571428571425</v>
      </c>
      <c r="DO40" s="12">
        <f>IF('Données projet'!$A$166&gt;35,DO39+DN40-DW39,IF(A40&lt;'Données projet'!$A$166,$DL$205^A40,IF(A40='Données projet'!$A$166,'Données projet'!$B$166,DO39+DN40-DW39)))</f>
        <v>200.38428571428571</v>
      </c>
      <c r="DP40" s="17">
        <f>DO40*VLOOKUP('Données projet'!$B$14,Paramètres!$A$1:$I$89,3,0)*VLOOKUP('Données projet'!$B$14,Paramètres!$A$1:$I$89,5,0)</f>
        <v>114.61981142857144</v>
      </c>
      <c r="DQ40" s="13">
        <f t="shared" si="43"/>
        <v>30.416828327359092</v>
      </c>
      <c r="DR40" s="20">
        <f t="shared" si="16"/>
        <v>252.60548090824568</v>
      </c>
      <c r="DS40" s="59">
        <f t="shared" si="17"/>
        <v>495.22072114497246</v>
      </c>
      <c r="DT40" s="59">
        <f ca="1">AVERAGE(OFFSET($DS$3,0,0,'Données projet'!$E$14+1,1))-AVERAGE(OFFSET($H$3,0,0,'Données projet'!$E$14+1,1))</f>
        <v>349.56396446903</v>
      </c>
      <c r="DU40" s="59">
        <f t="shared" si="44"/>
        <v>270.64279448634522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32.116449344565183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32.116449344565183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16.701250000000002</v>
      </c>
      <c r="EJ40" s="12">
        <f>IF('Données projet'!$A$192&gt;35,EJ39+EI40-ER39,IF(A40&lt;'Données projet'!$A$192,$EG$205^A40,IF(A40='Données projet'!$A$192,'Données projet'!$B$192,EJ39+EI40-ER39)))</f>
        <v>233.73500000000007</v>
      </c>
      <c r="EK40" s="17">
        <f>EJ40*VLOOKUP('Données projet'!$B$15,Paramètres!$A$1:$I$89,3,0)*VLOOKUP('Données projet'!$B$15,Paramètres!$A$1:$I$89,5,0)</f>
        <v>139.77353000000005</v>
      </c>
      <c r="EL40" s="13">
        <f t="shared" si="45"/>
        <v>36.245119510821418</v>
      </c>
      <c r="EM40" s="20">
        <f t="shared" si="19"/>
        <v>306.56581456468069</v>
      </c>
      <c r="EN40" s="59">
        <f t="shared" si="20"/>
        <v>549.18105480140753</v>
      </c>
      <c r="EO40" s="59">
        <f ca="1">AVERAGE(OFFSET($EN$3,0,0,'Données projet'!$E$15+1,1))-AVERAGE(OFFSET($H$3,0,0,'Données projet'!$E$15+1,1))</f>
        <v>375.89365709113105</v>
      </c>
      <c r="EP40" s="59">
        <f t="shared" si="46"/>
        <v>279.39056561403834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7.485633141454751</v>
      </c>
      <c r="EW40" s="21">
        <f>EXP(-LN(2)/25)*EW39+(1-EXP(-LN(2)/25))/(LN(2)/25)*Calculateur!ER40*Calculateur!ET40*VLOOKUP('Données projet'!$B$15,Paramètres!$A$1:$I$89,3,0)*0.475*44/12</f>
        <v>26.014838334495966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33.500471475950718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16.536250000000003</v>
      </c>
      <c r="FE40" s="12">
        <f>IF('Données projet'!$A$218&gt;35,FE39+FD40-FM39,IF(A40&lt;'Données projet'!$A$218,$FB$205^A40,IF(A40='Données projet'!$A$218,'Données projet'!$B$218,FE39+FD40-FM39)))</f>
        <v>251.59624999999994</v>
      </c>
      <c r="FF40" s="17">
        <f>FE40*VLOOKUP('Données projet'!$B$16,Paramètres!$A$1:$I$89,3,0)*VLOOKUP('Données projet'!$B$16,Paramètres!$A$1:$I$89,5,0)</f>
        <v>150.45455749999999</v>
      </c>
      <c r="FG40" s="13">
        <f t="shared" si="47"/>
        <v>38.681867245543785</v>
      </c>
      <c r="FH40" s="20">
        <f t="shared" si="22"/>
        <v>329.4126064318221</v>
      </c>
      <c r="FI40" s="59">
        <f t="shared" si="23"/>
        <v>572.02784666854893</v>
      </c>
      <c r="FJ40" s="59">
        <f ca="1">AVERAGE(OFFSET($FI$3,0,0,'Données projet'!$E$16+1,1))-AVERAGE(OFFSET($H$3,0,0,'Données projet'!$E$16+1,1))</f>
        <v>319.29539841078537</v>
      </c>
      <c r="FK40" s="59">
        <f t="shared" si="48"/>
        <v>327.26871144121412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11.213957594123709</v>
      </c>
      <c r="FR40" s="21">
        <f>EXP(-LN(2)/25)*FR39+(1-EXP(-LN(2)/25))/(LN(2)/25)*Calculateur!FM40*Calculateur!FO40*VLOOKUP('Données projet'!$B$16,Paramètres!$A$1:$I$89,3,0)*0.475*44/12</f>
        <v>45.072186904317036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56.286144498440748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28.059999999999992</v>
      </c>
      <c r="FZ40" s="12">
        <f>IF('Données projet'!$A$244&gt;35,FZ39+FY40-GH39,IF(A40&lt;'Données projet'!$A$244,$FW$205^A40,IF(A40='Données projet'!$A$244,'Données projet'!$B$244,FZ39+FY40-GH39)))</f>
        <v>443.58999999999992</v>
      </c>
      <c r="GA40" s="17">
        <f>FZ40*VLOOKUP('Données projet'!$B$17,Paramètres!$A$1:$I$89,3,0)*VLOOKUP('Données projet'!$B$17,Paramètres!$A$1:$I$89,5,0)</f>
        <v>196.06677999999999</v>
      </c>
      <c r="GB40" s="13">
        <f t="shared" si="49"/>
        <v>48.878768332407262</v>
      </c>
      <c r="GC40" s="20">
        <f t="shared" si="25"/>
        <v>426.61349667894268</v>
      </c>
      <c r="GD40" s="59">
        <f t="shared" si="26"/>
        <v>669.22873691566951</v>
      </c>
      <c r="GE40" s="59">
        <f ca="1">AVERAGE(OFFSET($GD$3,0,0,'Données projet'!$E$17+1,1))-AVERAGE(OFFSET($H$3,0,0,'Données projet'!$E$17+1,1))</f>
        <v>342.89128067483233</v>
      </c>
      <c r="GF40" s="59">
        <f t="shared" si="50"/>
        <v>453.47615302202996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73.956169006245688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73.956169006245688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56.167792791834586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16.701250000000002</v>
      </c>
      <c r="GU40" s="12">
        <f>IF('Données projet'!$A$270&gt;35,GU39+GT40-HC39,IF(A40&lt;'Données projet'!$A$270,$GR$205^A40,IF(A40='Données projet'!$A$270,'Données projet'!$B$270,GU39+GT40-HC39)))</f>
        <v>233.73500000000007</v>
      </c>
      <c r="GV40" s="17">
        <f>GU40*VLOOKUP('Données projet'!$B$18,Paramètres!$A$1:$I$89,3,0)*VLOOKUP('Données projet'!$B$18,Paramètres!$A$1:$I$89,5,0)</f>
        <v>139.77353000000005</v>
      </c>
      <c r="GW40" s="13">
        <f t="shared" si="51"/>
        <v>36.245119510821418</v>
      </c>
      <c r="GX40" s="20">
        <f t="shared" si="28"/>
        <v>306.56581456468069</v>
      </c>
      <c r="GY40" s="59">
        <f t="shared" si="29"/>
        <v>549.18105480140753</v>
      </c>
      <c r="GZ40" s="59">
        <f ca="1">AVERAGE(OFFSET($GY$3,0,0,'Données projet'!$E$18+1,1))-AVERAGE(OFFSET($H$3,0,0,'Données projet'!$E$18+1,1))</f>
        <v>375.89365709113105</v>
      </c>
      <c r="HA40" s="59">
        <f t="shared" si="52"/>
        <v>279.39056561403834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7.485633141454751</v>
      </c>
      <c r="HH40" s="21">
        <f>EXP(-LN(2)/25)*HH39+(1-EXP(-LN(2)/25))/(LN(2)/25)*Calculateur!HC40*Calculateur!HE40*VLOOKUP('Données projet'!$B$18,Paramètres!$A$1:$I$89,3,0)*0.475*44/12</f>
        <v>26.014838334495966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33.500471475950718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178.09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133.64930057142865</v>
      </c>
      <c r="P41" s="13">
        <f t="shared" si="33"/>
        <v>34.8382420646657</v>
      </c>
      <c r="Q41" s="20">
        <f t="shared" si="53"/>
        <v>293.44913675786432</v>
      </c>
      <c r="R41" s="59">
        <f t="shared" si="0"/>
        <v>536.94422252114805</v>
      </c>
      <c r="S41" s="59">
        <f ca="1">AVERAGE(OFFSET($R$3,0,0,'Données projet'!$E$9+1,1))-AVERAGE(OFFSET($H$3,0,0,'Données projet'!$E$9+1,1))</f>
        <v>631.31712308065664</v>
      </c>
      <c r="T41" s="59">
        <f t="shared" si="34"/>
        <v>290.92244624361285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144.83000000000001</v>
      </c>
      <c r="AG41" s="12">
        <f>VLOOKUP(A41,'Données projet'!$A$61:$I$81,9,0)</f>
        <v>3.8113157894736847</v>
      </c>
      <c r="AH41" s="12">
        <f t="array" ref="AH41">INDEX(AG:AG,MIN(IF(ISNUMBER(AG41:AG237),ROW(AG41:AG237),"")))</f>
        <v>3.8113157894736847</v>
      </c>
      <c r="AI41" s="13">
        <f>IF('Données projet'!$A$62&gt;35,AI40+AH41-AQ40,IF(A41&lt;'Données projet'!$A$62,$AF$205^A41,IF(A41='Données projet'!$A$62,'Données projet'!$B$62,AI40+AH41-AQ40)))</f>
        <v>144.82999999999998</v>
      </c>
      <c r="AJ41" s="13">
        <f>AI41*VLOOKUP('Données projet'!$B$10,Paramètres!$A$1:$I$89,3,0)*VLOOKUP('Données projet'!$B$10,Paramètres!$A$1:$I$89,5,0)</f>
        <v>122.00479199999999</v>
      </c>
      <c r="AK41" s="13">
        <f t="shared" si="35"/>
        <v>32.142132263541754</v>
      </c>
      <c r="AL41" s="20">
        <f t="shared" si="4"/>
        <v>268.47255975900185</v>
      </c>
      <c r="AM41" s="59">
        <f t="shared" si="5"/>
        <v>511.96764552228552</v>
      </c>
      <c r="AN41" s="59">
        <f ca="1">AVERAGE(OFFSET($AM$3,0,0,'Données projet'!$E$10+1,1))-AVERAGE(OFFSET($H$3,0,0,'Données projet'!$E$10+1,1))</f>
        <v>401.19166052471473</v>
      </c>
      <c r="AO41" s="59">
        <f t="shared" si="36"/>
        <v>271.10067497534271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69.08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149.77938857142865</v>
      </c>
      <c r="BF41" s="13">
        <f t="shared" si="37"/>
        <v>38.528446588331214</v>
      </c>
      <c r="BG41" s="20">
        <f t="shared" si="7"/>
        <v>327.96947956991511</v>
      </c>
      <c r="BH41" s="59">
        <f t="shared" si="8"/>
        <v>571.46456533319883</v>
      </c>
      <c r="BI41" s="59">
        <f ca="1">AVERAGE(OFFSET($BH$3,0,0,'Données projet'!$E$11+1,1))-AVERAGE(OFFSET($H$3,0,0,'Données projet'!$E$11+1,1))</f>
        <v>695.93700574708214</v>
      </c>
      <c r="BJ41" s="59">
        <f t="shared" si="38"/>
        <v>318.31690229208471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152.99999999999997</v>
      </c>
      <c r="BZ41" s="13">
        <f>BY41*VLOOKUP('Données projet'!$B$12,Paramètres!$A$1:$I$89,3,0)*VLOOKUP('Données projet'!$B$12,Paramètres!$A$1:$I$89,5,0)</f>
        <v>100.2456</v>
      </c>
      <c r="CA41" s="13">
        <f t="shared" si="39"/>
        <v>27.020500005754936</v>
      </c>
      <c r="CB41" s="20">
        <f t="shared" si="10"/>
        <v>221.65512417668984</v>
      </c>
      <c r="CC41" s="59">
        <f t="shared" si="11"/>
        <v>465.15020993997348</v>
      </c>
      <c r="CD41" s="59">
        <f ca="1">AVERAGE(OFFSET($CC$3,0,0,'Données projet'!$E$12+1,1))-AVERAGE(OFFSET($H$3,0,0,'Données projet'!$E$12+1,1))</f>
        <v>260.25859566735949</v>
      </c>
      <c r="CE41" s="59">
        <f t="shared" si="40"/>
        <v>256.93649773468667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</v>
      </c>
      <c r="CT41" s="12">
        <f>IF('Données projet'!$A$140&gt;35,CT40+CS41-DB40,IF(A41&lt;'Données projet'!$A$140,$CQ$205^A41,IF(A41='Données projet'!$A$140,'Données projet'!$B$140,CT40+CS41-DB40)))</f>
        <v>152.99999999999997</v>
      </c>
      <c r="CU41" s="17">
        <f>CT41*VLOOKUP('Données projet'!$B$13,Paramètres!$A$1:$I$89,3,0)*VLOOKUP('Données projet'!$B$13,Paramètres!$A$1:$I$89,5,0)</f>
        <v>100.2456</v>
      </c>
      <c r="CV41" s="13">
        <f t="shared" si="41"/>
        <v>27.020500005754936</v>
      </c>
      <c r="CW41" s="20">
        <f t="shared" si="13"/>
        <v>221.65512417668984</v>
      </c>
      <c r="CX41" s="59">
        <f t="shared" si="14"/>
        <v>465.15020993997348</v>
      </c>
      <c r="CY41" s="59">
        <f ca="1">AVERAGE(OFFSET($CX$3,0,0,'Données projet'!$E$13+1,1))-AVERAGE(OFFSET($H$3,0,0,'Données projet'!$E$13+1,1))</f>
        <v>260.25859566735949</v>
      </c>
      <c r="CZ41" s="59">
        <f t="shared" si="42"/>
        <v>256.93649773468667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11.178571428571425</v>
      </c>
      <c r="DO41" s="12">
        <f>IF('Données projet'!$A$166&gt;35,DO40+DN41-DW40,IF(A41&lt;'Données projet'!$A$166,$DL$205^A41,IF(A41='Données projet'!$A$166,'Données projet'!$B$166,DO40+DN41-DW40)))</f>
        <v>211.56285714285713</v>
      </c>
      <c r="DP41" s="17">
        <f>DO41*VLOOKUP('Données projet'!$B$14,Paramètres!$A$1:$I$89,3,0)*VLOOKUP('Données projet'!$B$14,Paramètres!$A$1:$I$89,5,0)</f>
        <v>121.01395428571429</v>
      </c>
      <c r="DQ41" s="13">
        <f t="shared" si="43"/>
        <v>31.911371547021602</v>
      </c>
      <c r="DR41" s="20">
        <f t="shared" si="16"/>
        <v>266.34494249201498</v>
      </c>
      <c r="DS41" s="59">
        <f t="shared" si="17"/>
        <v>509.84002825529865</v>
      </c>
      <c r="DT41" s="59">
        <f ca="1">AVERAGE(OFFSET($DS$3,0,0,'Données projet'!$E$14+1,1))-AVERAGE(OFFSET($H$3,0,0,'Données projet'!$E$14+1,1))</f>
        <v>349.56396446903</v>
      </c>
      <c r="DU41" s="59">
        <f t="shared" si="44"/>
        <v>270.64279448634522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31.238223348307379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31.238223348307379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16.701250000000002</v>
      </c>
      <c r="EJ41" s="12">
        <f>IF('Données projet'!$A$192&gt;35,EJ40+EI41-ER40,IF(A41&lt;'Données projet'!$A$192,$EG$205^A41,IF(A41='Données projet'!$A$192,'Données projet'!$B$192,EJ40+EI41-ER40)))</f>
        <v>250.43625000000009</v>
      </c>
      <c r="EK41" s="17">
        <f>EJ41*VLOOKUP('Données projet'!$B$15,Paramètres!$A$1:$I$89,3,0)*VLOOKUP('Données projet'!$B$15,Paramètres!$A$1:$I$89,5,0)</f>
        <v>149.76087750000008</v>
      </c>
      <c r="EL41" s="13">
        <f t="shared" si="45"/>
        <v>38.524239129902824</v>
      </c>
      <c r="EM41" s="20">
        <f t="shared" si="19"/>
        <v>327.9299114637476</v>
      </c>
      <c r="EN41" s="59">
        <f t="shared" si="20"/>
        <v>571.42499722703133</v>
      </c>
      <c r="EO41" s="59">
        <f ca="1">AVERAGE(OFFSET($EN$3,0,0,'Données projet'!$E$15+1,1))-AVERAGE(OFFSET($H$3,0,0,'Données projet'!$E$15+1,1))</f>
        <v>375.89365709113105</v>
      </c>
      <c r="EP41" s="59">
        <f t="shared" si="46"/>
        <v>279.39056561403834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7.3388444413362057</v>
      </c>
      <c r="EW41" s="21">
        <f>EXP(-LN(2)/25)*EW40+(1-EXP(-LN(2)/25))/(LN(2)/25)*Calculateur!ER41*Calculateur!ET41*VLOOKUP('Données projet'!$B$15,Paramètres!$A$1:$I$89,3,0)*0.475*44/12</f>
        <v>25.303461212178284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32.642305653514491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16.536250000000003</v>
      </c>
      <c r="FE41" s="12">
        <f>IF('Données projet'!$A$218&gt;35,FE40+FD41-FM40,IF(A41&lt;'Données projet'!$A$218,$FB$205^A41,IF(A41='Données projet'!$A$218,'Données projet'!$B$218,FE40+FD41-FM40)))</f>
        <v>268.13249999999994</v>
      </c>
      <c r="FF41" s="17">
        <f>FE41*VLOOKUP('Données projet'!$B$16,Paramètres!$A$1:$I$89,3,0)*VLOOKUP('Données projet'!$B$16,Paramètres!$A$1:$I$89,5,0)</f>
        <v>160.34323499999996</v>
      </c>
      <c r="FG41" s="13">
        <f t="shared" si="47"/>
        <v>40.919923361013716</v>
      </c>
      <c r="FH41" s="20">
        <f t="shared" si="22"/>
        <v>350.53333414543209</v>
      </c>
      <c r="FI41" s="59">
        <f t="shared" si="23"/>
        <v>594.0284199087157</v>
      </c>
      <c r="FJ41" s="59">
        <f ca="1">AVERAGE(OFFSET($FI$3,0,0,'Données projet'!$E$16+1,1))-AVERAGE(OFFSET($H$3,0,0,'Données projet'!$E$16+1,1))</f>
        <v>319.29539841078537</v>
      </c>
      <c r="FK41" s="59">
        <f t="shared" si="48"/>
        <v>327.26871144121412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10.994058725541697</v>
      </c>
      <c r="FR41" s="21">
        <f>EXP(-LN(2)/25)*FR40+(1-EXP(-LN(2)/25))/(LN(2)/25)*Calculateur!FM41*Calculateur!FO41*VLOOKUP('Données projet'!$B$16,Paramètres!$A$1:$I$89,3,0)*0.475*44/12</f>
        <v>43.839685583175189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54.833744308716888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28.059999999999992</v>
      </c>
      <c r="FZ41" s="12">
        <f>IF('Données projet'!$A$244&gt;35,FZ40+FY41-GH40,IF(A41&lt;'Données projet'!$A$244,$FW$205^A41,IF(A41='Données projet'!$A$244,'Données projet'!$B$244,FZ40+FY41-GH40)))</f>
        <v>471.64999999999992</v>
      </c>
      <c r="GA41" s="17">
        <f>FZ41*VLOOKUP('Données projet'!$B$17,Paramètres!$A$1:$I$89,3,0)*VLOOKUP('Données projet'!$B$17,Paramètres!$A$1:$I$89,5,0)</f>
        <v>208.4693</v>
      </c>
      <c r="GB41" s="13">
        <f t="shared" si="49"/>
        <v>51.60094694910368</v>
      </c>
      <c r="GC41" s="20">
        <f t="shared" si="25"/>
        <v>452.9556801030223</v>
      </c>
      <c r="GD41" s="59">
        <f t="shared" si="26"/>
        <v>696.45076586630603</v>
      </c>
      <c r="GE41" s="59">
        <f ca="1">AVERAGE(OFFSET($GD$3,0,0,'Données projet'!$E$17+1,1))-AVERAGE(OFFSET($H$3,0,0,'Données projet'!$E$17+1,1))</f>
        <v>342.89128067483233</v>
      </c>
      <c r="GF41" s="59">
        <f t="shared" si="50"/>
        <v>453.47615302202996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71.933833675583998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71.933833675583998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56.407750662713724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16.701250000000002</v>
      </c>
      <c r="GU41" s="12">
        <f>IF('Données projet'!$A$270&gt;35,GU40+GT41-HC40,IF(A41&lt;'Données projet'!$A$270,$GR$205^A41,IF(A41='Données projet'!$A$270,'Données projet'!$B$270,GU40+GT41-HC40)))</f>
        <v>250.43625000000009</v>
      </c>
      <c r="GV41" s="17">
        <f>GU41*VLOOKUP('Données projet'!$B$18,Paramètres!$A$1:$I$89,3,0)*VLOOKUP('Données projet'!$B$18,Paramètres!$A$1:$I$89,5,0)</f>
        <v>149.76087750000008</v>
      </c>
      <c r="GW41" s="13">
        <f t="shared" si="51"/>
        <v>38.524239129902824</v>
      </c>
      <c r="GX41" s="20">
        <f t="shared" si="28"/>
        <v>327.9299114637476</v>
      </c>
      <c r="GY41" s="59">
        <f t="shared" si="29"/>
        <v>571.42499722703133</v>
      </c>
      <c r="GZ41" s="59">
        <f ca="1">AVERAGE(OFFSET($GY$3,0,0,'Données projet'!$E$18+1,1))-AVERAGE(OFFSET($H$3,0,0,'Données projet'!$E$18+1,1))</f>
        <v>375.89365709113105</v>
      </c>
      <c r="HA41" s="59">
        <f t="shared" si="52"/>
        <v>279.39056561403834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7.3388444413362057</v>
      </c>
      <c r="HH41" s="21">
        <f>EXP(-LN(2)/25)*HH40+(1-EXP(-LN(2)/25))/(LN(2)/25)*Calculateur!HC41*Calculateur!HE41*VLOOKUP('Données projet'!$B$18,Paramètres!$A$1:$I$89,3,0)*0.475*44/12</f>
        <v>25.303461212178284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32.642305653514491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178.09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137.16638742857151</v>
      </c>
      <c r="P42" s="13">
        <f t="shared" si="33"/>
        <v>35.647094153273272</v>
      </c>
      <c r="Q42" s="20">
        <f t="shared" si="53"/>
        <v>300.98348042171295</v>
      </c>
      <c r="R42" s="59">
        <f t="shared" si="0"/>
        <v>545.34314835870759</v>
      </c>
      <c r="S42" s="59">
        <f ca="1">AVERAGE(OFFSET($R$3,0,0,'Données projet'!$E$9+1,1))-AVERAGE(OFFSET($H$3,0,0,'Données projet'!$E$9+1,1))</f>
        <v>631.31712308065664</v>
      </c>
      <c r="T42" s="59">
        <f t="shared" si="34"/>
        <v>290.92244624361285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8.9585714285714282</v>
      </c>
      <c r="AI42" s="13">
        <f>IF('Données projet'!$A$62&gt;35,AI41+AH42-AQ41,IF(A42&lt;'Données projet'!$A$62,$AF$205^A42,IF(A42='Données projet'!$A$62,'Données projet'!$B$62,AI41+AH42-AQ41)))</f>
        <v>84.708571428571403</v>
      </c>
      <c r="AJ42" s="13">
        <f>AI42*VLOOKUP('Données projet'!$B$10,Paramètres!$A$1:$I$89,3,0)*VLOOKUP('Données projet'!$B$10,Paramètres!$A$1:$I$89,5,0)</f>
        <v>71.358500571428564</v>
      </c>
      <c r="AK42" s="13">
        <f t="shared" si="35"/>
        <v>20.010442816020877</v>
      </c>
      <c r="AL42" s="20">
        <f t="shared" si="4"/>
        <v>159.13424306647443</v>
      </c>
      <c r="AM42" s="59">
        <f t="shared" si="5"/>
        <v>403.49391100346907</v>
      </c>
      <c r="AN42" s="59">
        <f ca="1">AVERAGE(OFFSET($AM$3,0,0,'Données projet'!$E$10+1,1))-AVERAGE(OFFSET($H$3,0,0,'Données projet'!$E$10+1,1))</f>
        <v>401.19166052471473</v>
      </c>
      <c r="AO42" s="59">
        <f t="shared" si="36"/>
        <v>271.10067497534271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153.72095142857154</v>
      </c>
      <c r="BF42" s="13">
        <f t="shared" si="37"/>
        <v>39.422975492399672</v>
      </c>
      <c r="BG42" s="20">
        <f t="shared" si="7"/>
        <v>336.39233938735816</v>
      </c>
      <c r="BH42" s="59">
        <f t="shared" si="8"/>
        <v>580.7520073243528</v>
      </c>
      <c r="BI42" s="59">
        <f ca="1">AVERAGE(OFFSET($BH$3,0,0,'Données projet'!$E$11+1,1))-AVERAGE(OFFSET($H$3,0,0,'Données projet'!$E$11+1,1))</f>
        <v>695.93700574708214</v>
      </c>
      <c r="BJ42" s="59">
        <f t="shared" si="38"/>
        <v>318.31690229208471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159.99999999999997</v>
      </c>
      <c r="BZ42" s="13">
        <f>BY42*VLOOKUP('Données projet'!$B$12,Paramètres!$A$1:$I$89,3,0)*VLOOKUP('Données projet'!$B$12,Paramètres!$A$1:$I$89,5,0)</f>
        <v>104.83199999999998</v>
      </c>
      <c r="CA42" s="13">
        <f t="shared" si="39"/>
        <v>28.109974371137692</v>
      </c>
      <c r="CB42" s="20">
        <f t="shared" si="10"/>
        <v>231.54060536306474</v>
      </c>
      <c r="CC42" s="59">
        <f t="shared" si="11"/>
        <v>475.90027330005944</v>
      </c>
      <c r="CD42" s="59">
        <f ca="1">AVERAGE(OFFSET($CC$3,0,0,'Données projet'!$E$12+1,1))-AVERAGE(OFFSET($H$3,0,0,'Données projet'!$E$12+1,1))</f>
        <v>260.25859566735949</v>
      </c>
      <c r="CE42" s="59">
        <f t="shared" si="40"/>
        <v>256.93649773468667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</v>
      </c>
      <c r="CT42" s="12">
        <f>IF('Données projet'!$A$140&gt;35,CT41+CS42-DB41,IF(A42&lt;'Données projet'!$A$140,$CQ$205^A42,IF(A42='Données projet'!$A$140,'Données projet'!$B$140,CT41+CS42-DB41)))</f>
        <v>159.99999999999997</v>
      </c>
      <c r="CU42" s="17">
        <f>CT42*VLOOKUP('Données projet'!$B$13,Paramètres!$A$1:$I$89,3,0)*VLOOKUP('Données projet'!$B$13,Paramètres!$A$1:$I$89,5,0)</f>
        <v>104.83199999999998</v>
      </c>
      <c r="CV42" s="13">
        <f t="shared" si="41"/>
        <v>28.109974371137692</v>
      </c>
      <c r="CW42" s="20">
        <f t="shared" si="13"/>
        <v>231.54060536306474</v>
      </c>
      <c r="CX42" s="59">
        <f t="shared" si="14"/>
        <v>475.90027330005944</v>
      </c>
      <c r="CY42" s="59">
        <f ca="1">AVERAGE(OFFSET($CX$3,0,0,'Données projet'!$E$13+1,1))-AVERAGE(OFFSET($H$3,0,0,'Données projet'!$E$13+1,1))</f>
        <v>260.25859566735949</v>
      </c>
      <c r="CZ42" s="59">
        <f t="shared" si="42"/>
        <v>256.93649773468667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11.178571428571425</v>
      </c>
      <c r="DO42" s="12">
        <f>IF('Données projet'!$A$166&gt;35,DO41+DN42-DW41,IF(A42&lt;'Données projet'!$A$166,$DL$205^A42,IF(A42='Données projet'!$A$166,'Données projet'!$B$166,DO41+DN42-DW41)))</f>
        <v>222.74142857142854</v>
      </c>
      <c r="DP42" s="17">
        <f>DO42*VLOOKUP('Données projet'!$B$14,Paramètres!$A$1:$I$89,3,0)*VLOOKUP('Données projet'!$B$14,Paramètres!$A$1:$I$89,5,0)</f>
        <v>127.40809714285714</v>
      </c>
      <c r="DQ42" s="13">
        <f t="shared" si="43"/>
        <v>33.396746507604924</v>
      </c>
      <c r="DR42" s="20">
        <f t="shared" si="16"/>
        <v>280.06843602455473</v>
      </c>
      <c r="DS42" s="59">
        <f t="shared" si="17"/>
        <v>524.42810396154937</v>
      </c>
      <c r="DT42" s="59">
        <f ca="1">AVERAGE(OFFSET($DS$3,0,0,'Données projet'!$E$14+1,1))-AVERAGE(OFFSET($H$3,0,0,'Données projet'!$E$14+1,1))</f>
        <v>349.56396446903</v>
      </c>
      <c r="DU42" s="59">
        <f t="shared" si="44"/>
        <v>270.64279448634522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30.384012488101146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30.384012488101146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16.701250000000002</v>
      </c>
      <c r="EJ42" s="12">
        <f>IF('Données projet'!$A$192&gt;35,EJ41+EI42-ER41,IF(A42&lt;'Données projet'!$A$192,$EG$205^A42,IF(A42='Données projet'!$A$192,'Données projet'!$B$192,EJ41+EI42-ER41)))</f>
        <v>267.1375000000001</v>
      </c>
      <c r="EK42" s="17">
        <f>EJ42*VLOOKUP('Données projet'!$B$15,Paramètres!$A$1:$I$89,3,0)*VLOOKUP('Données projet'!$B$15,Paramètres!$A$1:$I$89,5,0)</f>
        <v>159.74822500000008</v>
      </c>
      <c r="EL42" s="13">
        <f t="shared" si="45"/>
        <v>40.785721648734771</v>
      </c>
      <c r="EM42" s="20">
        <f t="shared" si="19"/>
        <v>349.26329041321316</v>
      </c>
      <c r="EN42" s="59">
        <f t="shared" si="20"/>
        <v>593.6229583502078</v>
      </c>
      <c r="EO42" s="59">
        <f ca="1">AVERAGE(OFFSET($EN$3,0,0,'Données projet'!$E$15+1,1))-AVERAGE(OFFSET($H$3,0,0,'Données projet'!$E$15+1,1))</f>
        <v>375.89365709113105</v>
      </c>
      <c r="EP42" s="59">
        <f t="shared" si="46"/>
        <v>279.39056561403834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7.1949341780947185</v>
      </c>
      <c r="EW42" s="21">
        <f>EXP(-LN(2)/25)*EW41+(1-EXP(-LN(2)/25))/(LN(2)/25)*Calculateur!ER42*Calculateur!ET42*VLOOKUP('Données projet'!$B$15,Paramètres!$A$1:$I$89,3,0)*0.475*44/12</f>
        <v>24.611536734680076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31.806470912774795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16.536250000000003</v>
      </c>
      <c r="FE42" s="12">
        <f>IF('Données projet'!$A$218&gt;35,FE41+FD42-FM41,IF(A42&lt;'Données projet'!$A$218,$FB$205^A42,IF(A42='Données projet'!$A$218,'Données projet'!$B$218,FE41+FD42-FM41)))</f>
        <v>284.66874999999993</v>
      </c>
      <c r="FF42" s="17">
        <f>FE42*VLOOKUP('Données projet'!$B$16,Paramètres!$A$1:$I$89,3,0)*VLOOKUP('Données projet'!$B$16,Paramètres!$A$1:$I$89,5,0)</f>
        <v>170.23191249999999</v>
      </c>
      <c r="FG42" s="13">
        <f t="shared" si="47"/>
        <v>43.141960148805921</v>
      </c>
      <c r="FH42" s="20">
        <f t="shared" si="22"/>
        <v>371.62616153000363</v>
      </c>
      <c r="FI42" s="59">
        <f t="shared" si="23"/>
        <v>615.98582946699833</v>
      </c>
      <c r="FJ42" s="59">
        <f ca="1">AVERAGE(OFFSET($FI$3,0,0,'Données projet'!$E$16+1,1))-AVERAGE(OFFSET($H$3,0,0,'Données projet'!$E$16+1,1))</f>
        <v>319.29539841078537</v>
      </c>
      <c r="FK42" s="59">
        <f t="shared" si="48"/>
        <v>327.26871144121412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10.778471939647513</v>
      </c>
      <c r="FR42" s="21">
        <f>EXP(-LN(2)/25)*FR41+(1-EXP(-LN(2)/25))/(LN(2)/25)*Calculateur!FM42*Calculateur!FO42*VLOOKUP('Données projet'!$B$16,Paramètres!$A$1:$I$89,3,0)*0.475*44/12</f>
        <v>42.640887075474396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53.419359015121913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28.059999999999992</v>
      </c>
      <c r="FZ42" s="12">
        <f>IF('Données projet'!$A$244&gt;35,FZ41+FY42-GH41,IF(A42&lt;'Données projet'!$A$244,$FW$205^A42,IF(A42='Données projet'!$A$244,'Données projet'!$B$244,FZ41+FY42-GH41)))</f>
        <v>499.70999999999992</v>
      </c>
      <c r="GA42" s="17">
        <f>FZ42*VLOOKUP('Données projet'!$B$17,Paramètres!$A$1:$I$89,3,0)*VLOOKUP('Données projet'!$B$17,Paramètres!$A$1:$I$89,5,0)</f>
        <v>220.87182000000001</v>
      </c>
      <c r="GB42" s="13">
        <f t="shared" si="49"/>
        <v>54.304327852172058</v>
      </c>
      <c r="GC42" s="20">
        <f t="shared" si="25"/>
        <v>479.26512417586628</v>
      </c>
      <c r="GD42" s="59">
        <f t="shared" si="26"/>
        <v>723.62479211286097</v>
      </c>
      <c r="GE42" s="59">
        <f ca="1">AVERAGE(OFFSET($GD$3,0,0,'Données projet'!$E$17+1,1))-AVERAGE(OFFSET($H$3,0,0,'Données projet'!$E$17+1,1))</f>
        <v>342.89128067483233</v>
      </c>
      <c r="GF42" s="59">
        <f t="shared" si="50"/>
        <v>453.47615302202996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69.966799210889249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69.966799210889249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56.643545800998531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16.701250000000002</v>
      </c>
      <c r="GU42" s="12">
        <f>IF('Données projet'!$A$270&gt;35,GU41+GT42-HC41,IF(A42&lt;'Données projet'!$A$270,$GR$205^A42,IF(A42='Données projet'!$A$270,'Données projet'!$B$270,GU41+GT42-HC41)))</f>
        <v>267.1375000000001</v>
      </c>
      <c r="GV42" s="17">
        <f>GU42*VLOOKUP('Données projet'!$B$18,Paramètres!$A$1:$I$89,3,0)*VLOOKUP('Données projet'!$B$18,Paramètres!$A$1:$I$89,5,0)</f>
        <v>159.74822500000008</v>
      </c>
      <c r="GW42" s="13">
        <f t="shared" si="51"/>
        <v>40.785721648734771</v>
      </c>
      <c r="GX42" s="20">
        <f t="shared" si="28"/>
        <v>349.26329041321316</v>
      </c>
      <c r="GY42" s="59">
        <f t="shared" si="29"/>
        <v>593.6229583502078</v>
      </c>
      <c r="GZ42" s="59">
        <f ca="1">AVERAGE(OFFSET($GY$3,0,0,'Données projet'!$E$18+1,1))-AVERAGE(OFFSET($H$3,0,0,'Données projet'!$E$18+1,1))</f>
        <v>375.89365709113105</v>
      </c>
      <c r="HA42" s="59">
        <f t="shared" si="52"/>
        <v>279.39056561403834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7.1949341780947185</v>
      </c>
      <c r="HH42" s="21">
        <f>EXP(-LN(2)/25)*HH41+(1-EXP(-LN(2)/25))/(LN(2)/25)*Calculateur!HC42*Calculateur!HE42*VLOOKUP('Données projet'!$B$18,Paramètres!$A$1:$I$89,3,0)*0.475*44/12</f>
        <v>24.611536734680076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31.806470912774795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178.09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140.68347428571437</v>
      </c>
      <c r="P43" s="13">
        <f t="shared" si="33"/>
        <v>36.453535449340755</v>
      </c>
      <c r="Q43" s="20">
        <f t="shared" si="53"/>
        <v>308.51362528855435</v>
      </c>
      <c r="R43" s="59">
        <f t="shared" si="0"/>
        <v>553.72287683146214</v>
      </c>
      <c r="S43" s="59">
        <f ca="1">AVERAGE(OFFSET($R$3,0,0,'Données projet'!$E$9+1,1))-AVERAGE(OFFSET($H$3,0,0,'Données projet'!$E$9+1,1))</f>
        <v>631.31712308065664</v>
      </c>
      <c r="T43" s="59">
        <f t="shared" si="34"/>
        <v>290.92244624361285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8.9585714285714282</v>
      </c>
      <c r="AI43" s="13">
        <f>IF('Données projet'!$A$62&gt;35,AI42+AH43-AQ42,IF(A43&lt;'Données projet'!$A$62,$AF$205^A43,IF(A43='Données projet'!$A$62,'Données projet'!$B$62,AI42+AH43-AQ42)))</f>
        <v>93.667142857142835</v>
      </c>
      <c r="AJ43" s="13">
        <f>AI43*VLOOKUP('Données projet'!$B$10,Paramètres!$A$1:$I$89,3,0)*VLOOKUP('Données projet'!$B$10,Paramètres!$A$1:$I$89,5,0)</f>
        <v>78.905201142857138</v>
      </c>
      <c r="AK43" s="13">
        <f t="shared" si="35"/>
        <v>21.869285821611935</v>
      </c>
      <c r="AL43" s="20">
        <f t="shared" si="4"/>
        <v>175.51556479645032</v>
      </c>
      <c r="AM43" s="59">
        <f t="shared" si="5"/>
        <v>420.7248163393582</v>
      </c>
      <c r="AN43" s="59">
        <f ca="1">AVERAGE(OFFSET($AM$3,0,0,'Données projet'!$E$10+1,1))-AVERAGE(OFFSET($H$3,0,0,'Données projet'!$E$10+1,1))</f>
        <v>401.19166052471473</v>
      </c>
      <c r="AO43" s="59">
        <f t="shared" si="36"/>
        <v>271.10067497534271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157.66251428571439</v>
      </c>
      <c r="BF43" s="13">
        <f t="shared" si="37"/>
        <v>40.314838243237894</v>
      </c>
      <c r="BG43" s="20">
        <f t="shared" si="7"/>
        <v>344.81055565459184</v>
      </c>
      <c r="BH43" s="59">
        <f t="shared" si="8"/>
        <v>590.01980719749963</v>
      </c>
      <c r="BI43" s="59">
        <f ca="1">AVERAGE(OFFSET($BH$3,0,0,'Données projet'!$E$11+1,1))-AVERAGE(OFFSET($H$3,0,0,'Données projet'!$E$11+1,1))</f>
        <v>695.93700574708214</v>
      </c>
      <c r="BJ43" s="59">
        <f t="shared" si="38"/>
        <v>318.31690229208471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167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166.99999999999997</v>
      </c>
      <c r="BZ43" s="13">
        <f>BY43*VLOOKUP('Données projet'!$B$12,Paramètres!$A$1:$I$89,3,0)*VLOOKUP('Données projet'!$B$12,Paramètres!$A$1:$I$89,5,0)</f>
        <v>109.41839999999998</v>
      </c>
      <c r="CA43" s="13">
        <f t="shared" si="39"/>
        <v>29.193912826430967</v>
      </c>
      <c r="CB43" s="20">
        <f t="shared" si="10"/>
        <v>241.41644483936719</v>
      </c>
      <c r="CC43" s="59">
        <f t="shared" si="11"/>
        <v>486.62569638227501</v>
      </c>
      <c r="CD43" s="59">
        <f ca="1">AVERAGE(OFFSET($CC$3,0,0,'Données projet'!$E$12+1,1))-AVERAGE(OFFSET($H$3,0,0,'Données projet'!$E$12+1,1))</f>
        <v>260.25859566735949</v>
      </c>
      <c r="CE43" s="59">
        <f t="shared" si="40"/>
        <v>256.93649773468667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167</v>
      </c>
      <c r="CR43" s="12">
        <f>VLOOKUP(A43,'Données projet'!$A$139:$I$159,9,0)</f>
        <v>7</v>
      </c>
      <c r="CS43" s="12">
        <f t="array" ref="CS43">INDEX(CR:CR,MIN(IF(ISNUMBER(CR43:CR239),ROW(CR43:CR239),"")))</f>
        <v>7</v>
      </c>
      <c r="CT43" s="12">
        <f>IF('Données projet'!$A$140&gt;35,CT42+CS43-DB42,IF(A43&lt;'Données projet'!$A$140,$CQ$205^A43,IF(A43='Données projet'!$A$140,'Données projet'!$B$140,CT42+CS43-DB42)))</f>
        <v>166.99999999999997</v>
      </c>
      <c r="CU43" s="17">
        <f>CT43*VLOOKUP('Données projet'!$B$13,Paramètres!$A$1:$I$89,3,0)*VLOOKUP('Données projet'!$B$13,Paramètres!$A$1:$I$89,5,0)</f>
        <v>109.41839999999998</v>
      </c>
      <c r="CV43" s="13">
        <f t="shared" si="41"/>
        <v>29.193912826430967</v>
      </c>
      <c r="CW43" s="20">
        <f t="shared" si="13"/>
        <v>241.41644483936719</v>
      </c>
      <c r="CX43" s="59">
        <f t="shared" si="14"/>
        <v>486.62569638227501</v>
      </c>
      <c r="CY43" s="59">
        <f ca="1">AVERAGE(OFFSET($CX$3,0,0,'Données projet'!$E$13+1,1))-AVERAGE(OFFSET($H$3,0,0,'Données projet'!$E$13+1,1))</f>
        <v>260.25859566735949</v>
      </c>
      <c r="CZ43" s="59">
        <f t="shared" si="42"/>
        <v>256.93649773468667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22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233.92</v>
      </c>
      <c r="DM43" s="12">
        <f>VLOOKUP(A43,'Données projet'!$A$165:$I$185,9,0)</f>
        <v>11.178571428571425</v>
      </c>
      <c r="DN43" s="12">
        <f t="array" ref="DN43">INDEX(DM:DM,MIN(IF(ISNUMBER(DM43:DM239),ROW(DM43:DM239),"")))</f>
        <v>11.178571428571425</v>
      </c>
      <c r="DO43" s="12">
        <f>IF('Données projet'!$A$166&gt;35,DO42+DN43-DW42,IF(A43&lt;'Données projet'!$A$166,$DL$205^A43,IF(A43='Données projet'!$A$166,'Données projet'!$B$166,DO42+DN43-DW42)))</f>
        <v>233.91999999999996</v>
      </c>
      <c r="DP43" s="17">
        <f>DO43*VLOOKUP('Données projet'!$B$14,Paramètres!$A$1:$I$89,3,0)*VLOOKUP('Données projet'!$B$14,Paramètres!$A$1:$I$89,5,0)</f>
        <v>133.80223999999998</v>
      </c>
      <c r="DQ43" s="13">
        <f t="shared" si="43"/>
        <v>34.873465831672348</v>
      </c>
      <c r="DR43" s="20">
        <f t="shared" si="16"/>
        <v>293.77685432349591</v>
      </c>
      <c r="DS43" s="59">
        <f t="shared" si="17"/>
        <v>538.9861058664037</v>
      </c>
      <c r="DT43" s="59">
        <f ca="1">AVERAGE(OFFSET($DS$3,0,0,'Données projet'!$E$14+1,1))-AVERAGE(OFFSET($H$3,0,0,'Données projet'!$E$14+1,1))</f>
        <v>349.56396446903</v>
      </c>
      <c r="DU43" s="59">
        <f t="shared" si="44"/>
        <v>270.64279448634522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53.16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0.45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47.633580002650802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47.633580002650802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16.701250000000002</v>
      </c>
      <c r="EJ43" s="12">
        <f>IF('Données projet'!$A$192&gt;35,EJ42+EI43-ER42,IF(A43&lt;'Données projet'!$A$192,$EG$205^A43,IF(A43='Données projet'!$A$192,'Données projet'!$B$192,EJ42+EI43-ER42)))</f>
        <v>283.83875000000012</v>
      </c>
      <c r="EK43" s="17">
        <f>EJ43*VLOOKUP('Données projet'!$B$15,Paramètres!$A$1:$I$89,3,0)*VLOOKUP('Données projet'!$B$15,Paramètres!$A$1:$I$89,5,0)</f>
        <v>169.73557250000007</v>
      </c>
      <c r="EL43" s="13">
        <f t="shared" si="45"/>
        <v>43.030795257249402</v>
      </c>
      <c r="EM43" s="20">
        <f t="shared" si="19"/>
        <v>370.56809051054279</v>
      </c>
      <c r="EN43" s="59">
        <f t="shared" si="20"/>
        <v>615.77734205345064</v>
      </c>
      <c r="EO43" s="59">
        <f ca="1">AVERAGE(OFFSET($EN$3,0,0,'Données projet'!$E$15+1,1))-AVERAGE(OFFSET($H$3,0,0,'Données projet'!$E$15+1,1))</f>
        <v>375.89365709113105</v>
      </c>
      <c r="EP43" s="59">
        <f t="shared" si="46"/>
        <v>279.39056561403834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7.053845907338804</v>
      </c>
      <c r="EW43" s="21">
        <f>EXP(-LN(2)/25)*EW42+(1-EXP(-LN(2)/25))/(LN(2)/25)*Calculateur!ER43*Calculateur!ET43*VLOOKUP('Données projet'!$B$15,Paramètres!$A$1:$I$89,3,0)*0.475*44/12</f>
        <v>23.938532968405784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30.992378875744588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16.536250000000003</v>
      </c>
      <c r="FE43" s="12">
        <f>IF('Données projet'!$A$218&gt;35,FE42+FD43-FM42,IF(A43&lt;'Données projet'!$A$218,$FB$205^A43,IF(A43='Données projet'!$A$218,'Données projet'!$B$218,FE42+FD43-FM42)))</f>
        <v>301.20499999999993</v>
      </c>
      <c r="FF43" s="17">
        <f>FE43*VLOOKUP('Données projet'!$B$16,Paramètres!$A$1:$I$89,3,0)*VLOOKUP('Données projet'!$B$16,Paramètres!$A$1:$I$89,5,0)</f>
        <v>180.12058999999999</v>
      </c>
      <c r="FG43" s="13">
        <f t="shared" si="47"/>
        <v>45.349014174000445</v>
      </c>
      <c r="FH43" s="20">
        <f t="shared" si="22"/>
        <v>392.69289393638411</v>
      </c>
      <c r="FI43" s="59">
        <f t="shared" si="23"/>
        <v>637.9021454792919</v>
      </c>
      <c r="FJ43" s="59">
        <f ca="1">AVERAGE(OFFSET($FI$3,0,0,'Données projet'!$E$16+1,1))-AVERAGE(OFFSET($H$3,0,0,'Données projet'!$E$16+1,1))</f>
        <v>319.29539841078537</v>
      </c>
      <c r="FK43" s="59">
        <f t="shared" si="48"/>
        <v>327.26871144121412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10.567112679129758</v>
      </c>
      <c r="FR43" s="21">
        <f>EXP(-LN(2)/25)*FR42+(1-EXP(-LN(2)/25))/(LN(2)/25)*Calculateur!FM43*Calculateur!FO43*VLOOKUP('Données projet'!$B$16,Paramètres!$A$1:$I$89,3,0)*0.475*44/12</f>
        <v>41.474869776008752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52.041982455138509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28.059999999999992</v>
      </c>
      <c r="FZ43" s="12">
        <f>IF('Données projet'!$A$244&gt;35,FZ42+FY43-GH42,IF(A43&lt;'Données projet'!$A$244,$FW$205^A43,IF(A43='Données projet'!$A$244,'Données projet'!$B$244,FZ42+FY43-GH42)))</f>
        <v>527.76999999999987</v>
      </c>
      <c r="GA43" s="17">
        <f>FZ43*VLOOKUP('Données projet'!$B$17,Paramètres!$A$1:$I$89,3,0)*VLOOKUP('Données projet'!$B$17,Paramètres!$A$1:$I$89,5,0)</f>
        <v>233.27433999999997</v>
      </c>
      <c r="GB43" s="13">
        <f t="shared" si="49"/>
        <v>56.99008687328341</v>
      </c>
      <c r="GC43" s="20">
        <f t="shared" si="25"/>
        <v>505.54387680430187</v>
      </c>
      <c r="GD43" s="59">
        <f t="shared" si="26"/>
        <v>750.75312834720967</v>
      </c>
      <c r="GE43" s="59">
        <f ca="1">AVERAGE(OFFSET($GD$3,0,0,'Données projet'!$E$17+1,1))-AVERAGE(OFFSET($H$3,0,0,'Données projet'!$E$17+1,1))</f>
        <v>342.89128067483233</v>
      </c>
      <c r="GF43" s="59">
        <f t="shared" si="50"/>
        <v>453.47615302202996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68.053553407073423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68.053553407073423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56.875250420793051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16.701250000000002</v>
      </c>
      <c r="GU43" s="12">
        <f>IF('Données projet'!$A$270&gt;35,GU42+GT43-HC42,IF(A43&lt;'Données projet'!$A$270,$GR$205^A43,IF(A43='Données projet'!$A$270,'Données projet'!$B$270,GU42+GT43-HC42)))</f>
        <v>283.83875000000012</v>
      </c>
      <c r="GV43" s="17">
        <f>GU43*VLOOKUP('Données projet'!$B$18,Paramètres!$A$1:$I$89,3,0)*VLOOKUP('Données projet'!$B$18,Paramètres!$A$1:$I$89,5,0)</f>
        <v>169.73557250000007</v>
      </c>
      <c r="GW43" s="13">
        <f t="shared" si="51"/>
        <v>43.030795257249402</v>
      </c>
      <c r="GX43" s="20">
        <f t="shared" si="28"/>
        <v>370.56809051054279</v>
      </c>
      <c r="GY43" s="59">
        <f t="shared" si="29"/>
        <v>615.77734205345064</v>
      </c>
      <c r="GZ43" s="59">
        <f ca="1">AVERAGE(OFFSET($GY$3,0,0,'Données projet'!$E$18+1,1))-AVERAGE(OFFSET($H$3,0,0,'Données projet'!$E$18+1,1))</f>
        <v>375.89365709113105</v>
      </c>
      <c r="HA43" s="59">
        <f t="shared" si="52"/>
        <v>279.39056561403834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7.053845907338804</v>
      </c>
      <c r="HH43" s="21">
        <f>EXP(-LN(2)/25)*HH42+(1-EXP(-LN(2)/25))/(LN(2)/25)*Calculateur!HC43*Calculateur!HE43*VLOOKUP('Données projet'!$B$18,Paramètres!$A$1:$I$89,3,0)*0.475*44/12</f>
        <v>23.938532968405784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30.992378875744588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178.09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144.20056114285723</v>
      </c>
      <c r="P44" s="13">
        <f t="shared" si="33"/>
        <v>37.257633154444321</v>
      </c>
      <c r="Q44" s="20">
        <f t="shared" si="53"/>
        <v>316.03968840113345</v>
      </c>
      <c r="R44" s="59">
        <f t="shared" si="0"/>
        <v>562.08378517377628</v>
      </c>
      <c r="S44" s="59">
        <f ca="1">AVERAGE(OFFSET($R$3,0,0,'Données projet'!$E$9+1,1))-AVERAGE(OFFSET($H$3,0,0,'Données projet'!$E$9+1,1))</f>
        <v>631.31712308065664</v>
      </c>
      <c r="T44" s="59">
        <f t="shared" si="34"/>
        <v>290.92244624361285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8.9585714285714282</v>
      </c>
      <c r="AI44" s="13">
        <f>IF('Données projet'!$A$62&gt;35,AI43+AH44-AQ43,IF(A44&lt;'Données projet'!$A$62,$AF$205^A44,IF(A44='Données projet'!$A$62,'Données projet'!$B$62,AI43+AH44-AQ43)))</f>
        <v>102.62571428571427</v>
      </c>
      <c r="AJ44" s="13">
        <f>AI44*VLOOKUP('Données projet'!$B$10,Paramètres!$A$1:$I$89,3,0)*VLOOKUP('Données projet'!$B$10,Paramètres!$A$1:$I$89,5,0)</f>
        <v>86.451901714285711</v>
      </c>
      <c r="AK44" s="13">
        <f t="shared" si="35"/>
        <v>23.707516319057149</v>
      </c>
      <c r="AL44" s="20">
        <f t="shared" si="4"/>
        <v>191.86098640807214</v>
      </c>
      <c r="AM44" s="59">
        <f t="shared" si="5"/>
        <v>437.905083180715</v>
      </c>
      <c r="AN44" s="59">
        <f ca="1">AVERAGE(OFFSET($AM$3,0,0,'Données projet'!$E$10+1,1))-AVERAGE(OFFSET($H$3,0,0,'Données projet'!$E$10+1,1))</f>
        <v>401.19166052471473</v>
      </c>
      <c r="AO44" s="59">
        <f t="shared" si="36"/>
        <v>271.10067497534271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161.60407714285725</v>
      </c>
      <c r="BF44" s="13">
        <f t="shared" si="37"/>
        <v>41.204109160679089</v>
      </c>
      <c r="BG44" s="20">
        <f t="shared" si="7"/>
        <v>353.2242578119924</v>
      </c>
      <c r="BH44" s="59">
        <f t="shared" si="8"/>
        <v>599.26835458463529</v>
      </c>
      <c r="BI44" s="59">
        <f ca="1">AVERAGE(OFFSET($BH$3,0,0,'Données projet'!$E$11+1,1))-AVERAGE(OFFSET($H$3,0,0,'Données projet'!$E$11+1,1))</f>
        <v>695.93700574708214</v>
      </c>
      <c r="BJ44" s="59">
        <f t="shared" si="38"/>
        <v>318.31690229208471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151.39999999999998</v>
      </c>
      <c r="BZ44" s="13">
        <f>BY44*VLOOKUP('Données projet'!$B$12,Paramètres!$A$1:$I$89,3,0)*VLOOKUP('Données projet'!$B$12,Paramètres!$A$1:$I$89,5,0)</f>
        <v>99.197279999999978</v>
      </c>
      <c r="CA44" s="13">
        <f t="shared" si="39"/>
        <v>26.770670966897111</v>
      </c>
      <c r="CB44" s="20">
        <f t="shared" si="10"/>
        <v>219.39418126734574</v>
      </c>
      <c r="CC44" s="59">
        <f t="shared" si="11"/>
        <v>465.43827803998863</v>
      </c>
      <c r="CD44" s="59">
        <f ca="1">AVERAGE(OFFSET($CC$3,0,0,'Données projet'!$E$12+1,1))-AVERAGE(OFFSET($H$3,0,0,'Données projet'!$E$12+1,1))</f>
        <v>260.25859566735949</v>
      </c>
      <c r="CE44" s="59">
        <f t="shared" si="40"/>
        <v>256.93649773468667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151.39999999999998</v>
      </c>
      <c r="CU44" s="17">
        <f>CT44*VLOOKUP('Données projet'!$B$13,Paramètres!$A$1:$I$89,3,0)*VLOOKUP('Données projet'!$B$13,Paramètres!$A$1:$I$89,5,0)</f>
        <v>99.197279999999978</v>
      </c>
      <c r="CV44" s="13">
        <f t="shared" si="41"/>
        <v>26.770670966897111</v>
      </c>
      <c r="CW44" s="20">
        <f t="shared" si="13"/>
        <v>219.39418126734574</v>
      </c>
      <c r="CX44" s="59">
        <f t="shared" si="14"/>
        <v>465.43827803998863</v>
      </c>
      <c r="CY44" s="59">
        <f ca="1">AVERAGE(OFFSET($CX$3,0,0,'Données projet'!$E$13+1,1))-AVERAGE(OFFSET($H$3,0,0,'Données projet'!$E$13+1,1))</f>
        <v>260.25859566735949</v>
      </c>
      <c r="CZ44" s="59">
        <f t="shared" si="42"/>
        <v>256.93649773468667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9.8737500000000011</v>
      </c>
      <c r="DO44" s="12">
        <f>IF('Données projet'!$A$166&gt;35,DO43+DN44-DW43,IF(A44&lt;'Données projet'!$A$166,$DL$205^A44,IF(A44='Données projet'!$A$166,'Données projet'!$B$166,DO43+DN44-DW43)))</f>
        <v>190.63374999999996</v>
      </c>
      <c r="DP44" s="17">
        <f>DO44*VLOOKUP('Données projet'!$B$14,Paramètres!$A$1:$I$89,3,0)*VLOOKUP('Données projet'!$B$14,Paramètres!$A$1:$I$89,5,0)</f>
        <v>109.04250499999999</v>
      </c>
      <c r="DQ44" s="13">
        <f t="shared" si="43"/>
        <v>29.10527662447101</v>
      </c>
      <c r="DR44" s="20">
        <f t="shared" si="16"/>
        <v>240.60738632928701</v>
      </c>
      <c r="DS44" s="59">
        <f t="shared" si="17"/>
        <v>486.6514831019299</v>
      </c>
      <c r="DT44" s="59">
        <f ca="1">AVERAGE(OFFSET($DS$3,0,0,'Données projet'!$E$14+1,1))-AVERAGE(OFFSET($H$3,0,0,'Données projet'!$E$14+1,1))</f>
        <v>349.56396446903</v>
      </c>
      <c r="DU44" s="59">
        <f t="shared" si="44"/>
        <v>270.64279448634522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46.331037252537214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46.331037252537214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>
        <f>VLOOKUP(A44,'Données projet'!$A$191:$I$211,2,0)</f>
        <v>300.54000000000002</v>
      </c>
      <c r="EH44" s="12">
        <f>VLOOKUP(A44,'Données projet'!$A$191:$I$211,9,0)</f>
        <v>16.701250000000002</v>
      </c>
      <c r="EI44" s="12">
        <f t="array" ref="EI44">INDEX(EH:EH,MIN(IF(ISNUMBER(EH44:EH240),ROW(EH44:EH240),"")))</f>
        <v>16.701250000000002</v>
      </c>
      <c r="EJ44" s="12">
        <f>IF('Données projet'!$A$192&gt;35,EJ43+EI44-ER43,IF(A44&lt;'Données projet'!$A$192,$EG$205^A44,IF(A44='Données projet'!$A$192,'Données projet'!$B$192,EJ43+EI44-ER43)))</f>
        <v>300.54000000000013</v>
      </c>
      <c r="EK44" s="17">
        <f>EJ44*VLOOKUP('Données projet'!$B$15,Paramètres!$A$1:$I$89,3,0)*VLOOKUP('Données projet'!$B$15,Paramètres!$A$1:$I$89,5,0)</f>
        <v>179.72292000000007</v>
      </c>
      <c r="EL44" s="13">
        <f t="shared" si="45"/>
        <v>45.260535445550182</v>
      </c>
      <c r="EM44" s="20">
        <f t="shared" si="19"/>
        <v>391.84618490100002</v>
      </c>
      <c r="EN44" s="59">
        <f t="shared" si="20"/>
        <v>637.8902816736429</v>
      </c>
      <c r="EO44" s="59">
        <f ca="1">AVERAGE(OFFSET($EN$3,0,0,'Données projet'!$E$15+1,1))-AVERAGE(OFFSET($H$3,0,0,'Données projet'!$E$15+1,1))</f>
        <v>375.89365709113105</v>
      </c>
      <c r="EP44" s="59">
        <f t="shared" si="46"/>
        <v>279.39056561403834</v>
      </c>
      <c r="EQ44" s="15">
        <f>IF(ISNA(VLOOKUP(A44,'Données projet'!$A$191:$I$211,3,0)),0,VLOOKUP(A44,'Données projet'!$A$191:$I$211,3,0))</f>
        <v>4</v>
      </c>
      <c r="ER44" s="15">
        <f>IF(ISNA(VLOOKUP(A44,'Données projet'!$A$191:$I$211,4,0)),0,VLOOKUP(A44,'Données projet'!$A$191:$I$211,4,0))</f>
        <v>72.13</v>
      </c>
      <c r="ES44" s="16">
        <f>IF(ISNA(VLOOKUP(A44,'Données projet'!$A$191:$I$211,5,0)),0%,VLOOKUP(A44,'Données projet'!$A$191:$I$211,5,0)*VLOOKUP('Données projet'!$B$15,Paramètres!$A$1:$I$89,7,0))</f>
        <v>0.13500000000000001</v>
      </c>
      <c r="ET44" s="16">
        <f>IF(ISNA(VLOOKUP(A44,'Données projet'!$A$191:$I$211,6,0)),0%,VLOOKUP(A44,'Données projet'!$A$191:$I$211,6,0)*VLOOKUP('Données projet'!$B$15,Paramètres!$A$1:$I$89,7,0))</f>
        <v>0.22500000000000001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14.640181943930113</v>
      </c>
      <c r="EW44" s="21">
        <f>EXP(-LN(2)/25)*EW43+(1-EXP(-LN(2)/25))/(LN(2)/25)*Calculateur!ER44*Calculateur!ET44*VLOOKUP('Données projet'!$B$15,Paramètres!$A$1:$I$89,3,0)*0.475*44/12</f>
        <v>36.107670412028959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50.747852355959068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16.536250000000003</v>
      </c>
      <c r="FE44" s="12">
        <f>IF('Données projet'!$A$218&gt;35,FE43+FD44-FM43,IF(A44&lt;'Données projet'!$A$218,$FB$205^A44,IF(A44='Données projet'!$A$218,'Données projet'!$B$218,FE43+FD44-FM43)))</f>
        <v>317.74124999999992</v>
      </c>
      <c r="FF44" s="17">
        <f>FE44*VLOOKUP('Données projet'!$B$16,Paramètres!$A$1:$I$89,3,0)*VLOOKUP('Données projet'!$B$16,Paramètres!$A$1:$I$89,5,0)</f>
        <v>190.00926749999999</v>
      </c>
      <c r="FG44" s="13">
        <f t="shared" si="47"/>
        <v>47.542001758079778</v>
      </c>
      <c r="FH44" s="20">
        <f t="shared" si="22"/>
        <v>413.73512729115561</v>
      </c>
      <c r="FI44" s="59">
        <f t="shared" si="23"/>
        <v>659.77922406379844</v>
      </c>
      <c r="FJ44" s="59">
        <f ca="1">AVERAGE(OFFSET($FI$3,0,0,'Données projet'!$E$16+1,1))-AVERAGE(OFFSET($H$3,0,0,'Données projet'!$E$16+1,1))</f>
        <v>319.29539841078537</v>
      </c>
      <c r="FK44" s="59">
        <f t="shared" si="48"/>
        <v>327.26871144121412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10.359898044794338</v>
      </c>
      <c r="FR44" s="21">
        <f>EXP(-LN(2)/25)*FR43+(1-EXP(-LN(2)/25))/(LN(2)/25)*Calculateur!FM44*Calculateur!FO44*VLOOKUP('Données projet'!$B$16,Paramètres!$A$1:$I$89,3,0)*0.475*44/12</f>
        <v>40.340737280915185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50.700635325709527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28.059999999999992</v>
      </c>
      <c r="FZ44" s="12">
        <f>IF('Données projet'!$A$244&gt;35,FZ43+FY44-GH43,IF(A44&lt;'Données projet'!$A$244,$FW$205^A44,IF(A44='Données projet'!$A$244,'Données projet'!$B$244,FZ43+FY44-GH43)))</f>
        <v>555.82999999999981</v>
      </c>
      <c r="GA44" s="17">
        <f>FZ44*VLOOKUP('Données projet'!$B$17,Paramètres!$A$1:$I$89,3,0)*VLOOKUP('Données projet'!$B$17,Paramètres!$A$1:$I$89,5,0)</f>
        <v>245.67685999999995</v>
      </c>
      <c r="GB44" s="13">
        <f t="shared" si="49"/>
        <v>59.659267751383197</v>
      </c>
      <c r="GC44" s="20">
        <f t="shared" si="25"/>
        <v>531.79375583365902</v>
      </c>
      <c r="GD44" s="59">
        <f t="shared" si="26"/>
        <v>777.83785260630191</v>
      </c>
      <c r="GE44" s="59">
        <f ca="1">AVERAGE(OFFSET($GD$3,0,0,'Données projet'!$E$17+1,1))-AVERAGE(OFFSET($H$3,0,0,'Données projet'!$E$17+1,1))</f>
        <v>342.89128067483233</v>
      </c>
      <c r="GF44" s="59">
        <f t="shared" si="50"/>
        <v>453.47615302202996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66.192625410376166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66.192625410376166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57.102935483448057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>
        <f>VLOOKUP(A44,'Données projet'!$A$269:$I$289,2,0)</f>
        <v>300.54000000000002</v>
      </c>
      <c r="GS44" s="12">
        <f>VLOOKUP(A44,'Données projet'!$A$269:$I$289,9,0)</f>
        <v>16.701250000000002</v>
      </c>
      <c r="GT44" s="12">
        <f t="array" ref="GT44">INDEX(GS:GS,MIN(IF(ISNUMBER(GS44:GS240),ROW(GS44:GS240),"")))</f>
        <v>16.701250000000002</v>
      </c>
      <c r="GU44" s="12">
        <f>IF('Données projet'!$A$270&gt;35,GU43+GT44-HC43,IF(A44&lt;'Données projet'!$A$270,$GR$205^A44,IF(A44='Données projet'!$A$270,'Données projet'!$B$270,GU43+GT44-HC43)))</f>
        <v>300.54000000000013</v>
      </c>
      <c r="GV44" s="17">
        <f>GU44*VLOOKUP('Données projet'!$B$18,Paramètres!$A$1:$I$89,3,0)*VLOOKUP('Données projet'!$B$18,Paramètres!$A$1:$I$89,5,0)</f>
        <v>179.72292000000007</v>
      </c>
      <c r="GW44" s="13">
        <f t="shared" si="51"/>
        <v>45.260535445550182</v>
      </c>
      <c r="GX44" s="20">
        <f t="shared" si="28"/>
        <v>391.84618490100002</v>
      </c>
      <c r="GY44" s="59">
        <f t="shared" si="29"/>
        <v>637.8902816736429</v>
      </c>
      <c r="GZ44" s="59">
        <f ca="1">AVERAGE(OFFSET($GY$3,0,0,'Données projet'!$E$18+1,1))-AVERAGE(OFFSET($H$3,0,0,'Données projet'!$E$18+1,1))</f>
        <v>375.89365709113105</v>
      </c>
      <c r="HA44" s="59">
        <f t="shared" si="52"/>
        <v>279.39056561403834</v>
      </c>
      <c r="HB44" s="15">
        <f>IF(ISNA(VLOOKUP(A44,'Données projet'!$A$269:$I$289,3,0)),0,VLOOKUP(A44,'Données projet'!$A$269:$I$289,3,0))</f>
        <v>4</v>
      </c>
      <c r="HC44" s="15">
        <f>IF(ISNA(VLOOKUP(A44,'Données projet'!$A$269:$I$289,4,0)),0,VLOOKUP(A44,'Données projet'!$A$269:$I$289,4,0))</f>
        <v>72.13</v>
      </c>
      <c r="HD44" s="16">
        <f>IF(ISNA(VLOOKUP(A44,'Données projet'!$A$269:$I$289,5,0)),0%,VLOOKUP(A44,'Données projet'!$A$269:$I$289,5,0)*VLOOKUP('Données projet'!$B$18,Paramètres!$A$1:$I$89,7,0))</f>
        <v>0.13500000000000001</v>
      </c>
      <c r="HE44" s="16">
        <f>IF(ISNA(VLOOKUP(A44,'Données projet'!$A$269:$I$289,6,0)),0%,VLOOKUP(A44,'Données projet'!$A$269:$I$289,6,0)*VLOOKUP('Données projet'!$B$18,Paramètres!$A$1:$I$89,7,0))</f>
        <v>0.22500000000000001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14.640181943930113</v>
      </c>
      <c r="HH44" s="21">
        <f>EXP(-LN(2)/25)*HH43+(1-EXP(-LN(2)/25))/(LN(2)/25)*Calculateur!HC44*Calculateur!HE44*VLOOKUP('Données projet'!$B$18,Paramètres!$A$1:$I$89,3,0)*0.475*44/12</f>
        <v>36.107670412028959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50.747852355959068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178.09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147.71764800000008</v>
      </c>
      <c r="P45" s="13">
        <f t="shared" si="33"/>
        <v>38.059451005131997</v>
      </c>
      <c r="Q45" s="20">
        <f t="shared" si="53"/>
        <v>323.56178076727167</v>
      </c>
      <c r="R45" s="59">
        <f t="shared" si="0"/>
        <v>570.42624007134805</v>
      </c>
      <c r="S45" s="59">
        <f ca="1">AVERAGE(OFFSET($R$3,0,0,'Données projet'!$E$9+1,1))-AVERAGE(OFFSET($H$3,0,0,'Données projet'!$E$9+1,1))</f>
        <v>631.31712308065664</v>
      </c>
      <c r="T45" s="59">
        <f t="shared" si="34"/>
        <v>290.92244624361285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5.575369807727423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5.575369807727423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8.9585714285714282</v>
      </c>
      <c r="AI45" s="13">
        <f>IF('Données projet'!$A$62&gt;35,AI44+AH45-AQ44,IF(A45&lt;'Données projet'!$A$62,$AF$205^A45,IF(A45='Données projet'!$A$62,'Données projet'!$B$62,AI44+AH45-AQ44)))</f>
        <v>111.5842857142857</v>
      </c>
      <c r="AJ45" s="13">
        <f>AI45*VLOOKUP('Données projet'!$B$10,Paramètres!$A$1:$I$89,3,0)*VLOOKUP('Données projet'!$B$10,Paramètres!$A$1:$I$89,5,0)</f>
        <v>93.998602285714284</v>
      </c>
      <c r="AK45" s="13">
        <f t="shared" si="35"/>
        <v>25.527138240982005</v>
      </c>
      <c r="AL45" s="20">
        <f t="shared" si="4"/>
        <v>208.17399808399605</v>
      </c>
      <c r="AM45" s="59">
        <f t="shared" si="5"/>
        <v>455.0384573880724</v>
      </c>
      <c r="AN45" s="59">
        <f ca="1">AVERAGE(OFFSET($AM$3,0,0,'Données projet'!$E$10+1,1))-AVERAGE(OFFSET($H$3,0,0,'Données projet'!$E$10+1,1))</f>
        <v>401.19166052471473</v>
      </c>
      <c r="AO45" s="59">
        <f t="shared" si="36"/>
        <v>271.10067497534271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165.54564000000011</v>
      </c>
      <c r="BF45" s="13">
        <f t="shared" si="37"/>
        <v>42.090858732498674</v>
      </c>
      <c r="BG45" s="20">
        <f t="shared" si="7"/>
        <v>361.6335686257687</v>
      </c>
      <c r="BH45" s="59">
        <f t="shared" si="8"/>
        <v>608.49802792984508</v>
      </c>
      <c r="BI45" s="59">
        <f ca="1">AVERAGE(OFFSET($BH$3,0,0,'Données projet'!$E$11+1,1))-AVERAGE(OFFSET($H$3,0,0,'Données projet'!$E$11+1,1))</f>
        <v>695.93700574708214</v>
      </c>
      <c r="BJ45" s="59">
        <f t="shared" si="38"/>
        <v>318.31690229208471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6.2482592672807336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6.2482592672807336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157.79999999999998</v>
      </c>
      <c r="BZ45" s="13">
        <f>BY45*VLOOKUP('Données projet'!$B$12,Paramètres!$A$1:$I$89,3,0)*VLOOKUP('Données projet'!$B$12,Paramètres!$A$1:$I$89,5,0)</f>
        <v>103.39055999999999</v>
      </c>
      <c r="CA45" s="13">
        <f t="shared" si="39"/>
        <v>27.768177525719913</v>
      </c>
      <c r="CB45" s="20">
        <f t="shared" si="10"/>
        <v>228.43480119062883</v>
      </c>
      <c r="CC45" s="59">
        <f t="shared" si="11"/>
        <v>475.29926049470521</v>
      </c>
      <c r="CD45" s="59">
        <f ca="1">AVERAGE(OFFSET($CC$3,0,0,'Données projet'!$E$12+1,1))-AVERAGE(OFFSET($H$3,0,0,'Données projet'!$E$12+1,1))</f>
        <v>260.25859566735949</v>
      </c>
      <c r="CE45" s="59">
        <f t="shared" si="40"/>
        <v>256.93649773468667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157.79999999999998</v>
      </c>
      <c r="CU45" s="17">
        <f>CT45*VLOOKUP('Données projet'!$B$13,Paramètres!$A$1:$I$89,3,0)*VLOOKUP('Données projet'!$B$13,Paramètres!$A$1:$I$89,5,0)</f>
        <v>103.39055999999999</v>
      </c>
      <c r="CV45" s="13">
        <f t="shared" si="41"/>
        <v>27.768177525719913</v>
      </c>
      <c r="CW45" s="20">
        <f t="shared" si="13"/>
        <v>228.43480119062883</v>
      </c>
      <c r="CX45" s="59">
        <f t="shared" si="14"/>
        <v>475.29926049470521</v>
      </c>
      <c r="CY45" s="59">
        <f ca="1">AVERAGE(OFFSET($CX$3,0,0,'Données projet'!$E$13+1,1))-AVERAGE(OFFSET($H$3,0,0,'Données projet'!$E$13+1,1))</f>
        <v>260.25859566735949</v>
      </c>
      <c r="CZ45" s="59">
        <f t="shared" si="42"/>
        <v>256.93649773468667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9.8737500000000011</v>
      </c>
      <c r="DO45" s="12">
        <f>IF('Données projet'!$A$166&gt;35,DO44+DN45-DW44,IF(A45&lt;'Données projet'!$A$166,$DL$205^A45,IF(A45='Données projet'!$A$166,'Données projet'!$B$166,DO44+DN45-DW44)))</f>
        <v>200.50749999999996</v>
      </c>
      <c r="DP45" s="17">
        <f>DO45*VLOOKUP('Données projet'!$B$14,Paramètres!$A$1:$I$89,3,0)*VLOOKUP('Données projet'!$B$14,Paramètres!$A$1:$I$89,5,0)</f>
        <v>114.69028999999998</v>
      </c>
      <c r="DQ45" s="13">
        <f t="shared" si="43"/>
        <v>30.433353709004084</v>
      </c>
      <c r="DR45" s="20">
        <f t="shared" si="16"/>
        <v>252.75701279318207</v>
      </c>
      <c r="DS45" s="59">
        <f t="shared" si="17"/>
        <v>499.62147209725845</v>
      </c>
      <c r="DT45" s="59">
        <f ca="1">AVERAGE(OFFSET($DS$3,0,0,'Données projet'!$E$14+1,1))-AVERAGE(OFFSET($H$3,0,0,'Données projet'!$E$14+1,1))</f>
        <v>349.56396446903</v>
      </c>
      <c r="DU45" s="59">
        <f t="shared" si="44"/>
        <v>270.64279448634522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45.064112602423229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45.064112602423229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15.725555555555552</v>
      </c>
      <c r="EJ45" s="12">
        <f>IF('Données projet'!$A$192&gt;35,EJ44+EI45-ER44,IF(A45&lt;'Données projet'!$A$192,$EG$205^A45,IF(A45='Données projet'!$A$192,'Données projet'!$B$192,EJ44+EI45-ER44)))</f>
        <v>244.1355555555557</v>
      </c>
      <c r="EK45" s="17">
        <f>EJ45*VLOOKUP('Données projet'!$B$15,Paramètres!$A$1:$I$89,3,0)*VLOOKUP('Données projet'!$B$15,Paramètres!$A$1:$I$89,5,0)</f>
        <v>145.99306222222231</v>
      </c>
      <c r="EL45" s="13">
        <f t="shared" si="45"/>
        <v>37.666564668799332</v>
      </c>
      <c r="EM45" s="20">
        <f t="shared" si="19"/>
        <v>319.87385016852937</v>
      </c>
      <c r="EN45" s="59">
        <f t="shared" si="20"/>
        <v>566.73830947260581</v>
      </c>
      <c r="EO45" s="59">
        <f ca="1">AVERAGE(OFFSET($EN$3,0,0,'Données projet'!$E$15+1,1))-AVERAGE(OFFSET($H$3,0,0,'Données projet'!$E$15+1,1))</f>
        <v>375.89365709113105</v>
      </c>
      <c r="EP45" s="59">
        <f t="shared" si="46"/>
        <v>279.39056561403834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14.353096905638902</v>
      </c>
      <c r="EW45" s="21">
        <f>EXP(-LN(2)/25)*EW44+(1-EXP(-LN(2)/25))/(LN(2)/25)*Calculateur!ER45*Calculateur!ET45*VLOOKUP('Données projet'!$B$15,Paramètres!$A$1:$I$89,3,0)*0.475*44/12</f>
        <v>35.120304265792164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49.473401171431064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16.536250000000003</v>
      </c>
      <c r="FE45" s="12">
        <f>IF('Données projet'!$A$218&gt;35,FE44+FD45-FM44,IF(A45&lt;'Données projet'!$A$218,$FB$205^A45,IF(A45='Données projet'!$A$218,'Données projet'!$B$218,FE44+FD45-FM44)))</f>
        <v>334.27749999999992</v>
      </c>
      <c r="FF45" s="17">
        <f>FE45*VLOOKUP('Données projet'!$B$16,Paramètres!$A$1:$I$89,3,0)*VLOOKUP('Données projet'!$B$16,Paramètres!$A$1:$I$89,5,0)</f>
        <v>199.89794499999996</v>
      </c>
      <c r="FG45" s="13">
        <f t="shared" si="47"/>
        <v>49.721738459069584</v>
      </c>
      <c r="FH45" s="20">
        <f t="shared" si="22"/>
        <v>434.75428202454617</v>
      </c>
      <c r="FI45" s="59">
        <f t="shared" si="23"/>
        <v>681.61874132862249</v>
      </c>
      <c r="FJ45" s="59">
        <f ca="1">AVERAGE(OFFSET($FI$3,0,0,'Données projet'!$E$16+1,1))-AVERAGE(OFFSET($H$3,0,0,'Données projet'!$E$16+1,1))</f>
        <v>319.29539841078537</v>
      </c>
      <c r="FK45" s="59">
        <f t="shared" si="48"/>
        <v>327.26871144121412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10.156746763049787</v>
      </c>
      <c r="FR45" s="21">
        <f>EXP(-LN(2)/25)*FR44+(1-EXP(-LN(2)/25))/(LN(2)/25)*Calculateur!FM45*Calculateur!FO45*VLOOKUP('Données projet'!$B$16,Paramètres!$A$1:$I$89,3,0)*0.475*44/12</f>
        <v>39.237617698541385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49.394364461591174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>
        <f>VLOOKUP(A45,'Données projet'!$A$243:$I$263,2,0)</f>
        <v>583.89</v>
      </c>
      <c r="FX45" s="12">
        <f>VLOOKUP(A45,'Données projet'!$A$243:$I$263,9,0)</f>
        <v>28.059999999999992</v>
      </c>
      <c r="FY45" s="12">
        <f t="array" ref="FY45">INDEX(FX:FX,MIN(IF(ISNUMBER(FX45:FX241),ROW(FX45:FX241),"")))</f>
        <v>28.059999999999992</v>
      </c>
      <c r="FZ45" s="12">
        <f>IF('Données projet'!$A$244&gt;35,FZ44+FY45-GH44,IF(A45&lt;'Données projet'!$A$244,$FW$205^A45,IF(A45='Données projet'!$A$244,'Données projet'!$B$244,FZ44+FY45-GH44)))</f>
        <v>583.88999999999976</v>
      </c>
      <c r="GA45" s="17">
        <f>FZ45*VLOOKUP('Données projet'!$B$17,Paramètres!$A$1:$I$89,3,0)*VLOOKUP('Données projet'!$B$17,Paramètres!$A$1:$I$89,5,0)</f>
        <v>258.0793799999999</v>
      </c>
      <c r="GB45" s="13">
        <f t="shared" si="49"/>
        <v>62.312802890406914</v>
      </c>
      <c r="GC45" s="20">
        <f t="shared" si="25"/>
        <v>558.01638520079189</v>
      </c>
      <c r="GD45" s="59">
        <f t="shared" si="26"/>
        <v>804.88084450486826</v>
      </c>
      <c r="GE45" s="59">
        <f ca="1">AVERAGE(OFFSET($GD$3,0,0,'Données projet'!$E$17+1,1))-AVERAGE(OFFSET($H$3,0,0,'Données projet'!$E$17+1,1))</f>
        <v>342.89128067483233</v>
      </c>
      <c r="GF45" s="59">
        <f t="shared" si="50"/>
        <v>453.47615302202996</v>
      </c>
      <c r="GG45" s="15">
        <f>IF(ISNA(VLOOKUP(A45,'Données projet'!$A$243:$I$263,3,0)),0,VLOOKUP(A45,'Données projet'!$A$243:$I$263,3,0))</f>
        <v>5</v>
      </c>
      <c r="GH45" s="15">
        <f>IF(ISNA(VLOOKUP(A45,'Données projet'!$A$243:$I$263,4,0)),0,VLOOKUP(A45,'Données projet'!$A$243:$I$263,4,0))</f>
        <v>91.25</v>
      </c>
      <c r="GI45" s="16">
        <f>IF(ISNA(VLOOKUP(A45,'Données projet'!$A$243:$I$263,5,0)),0%,VLOOKUP(A45,'Données projet'!$A$243:$I$263,5,0)*VLOOKUP('Données projet'!$B$17,Paramètres!$A$1:$I$89,7,0))</f>
        <v>0.27500000000000002</v>
      </c>
      <c r="GJ45" s="16">
        <f>IF(ISNA(VLOOKUP(A45,'Données projet'!$A$243:$I$263,6,0)),0%,VLOOKUP(A45,'Données projet'!$A$243:$I$263,6,0)*VLOOKUP('Données projet'!$B$17,Paramètres!$A$1:$I$89,7,0))</f>
        <v>0.27500000000000002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14.713506747229195</v>
      </c>
      <c r="GM45" s="21">
        <f>EXP(-LN(2)/25)*GM44+(1-EXP(-LN(2)/25))/(LN(2)/25)*Calculateur!GH45*Calculateur!GJ45*VLOOKUP('Données projet'!$B$17,Paramètres!$A$1:$I$89,3,0)*0.475*44/12</f>
        <v>79.03815865249031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93.751665399719499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57.326670719293553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15.725555555555552</v>
      </c>
      <c r="GU45" s="12">
        <f>IF('Données projet'!$A$270&gt;35,GU44+GT45-HC44,IF(A45&lt;'Données projet'!$A$270,$GR$205^A45,IF(A45='Données projet'!$A$270,'Données projet'!$B$270,GU44+GT45-HC44)))</f>
        <v>244.1355555555557</v>
      </c>
      <c r="GV45" s="17">
        <f>GU45*VLOOKUP('Données projet'!$B$18,Paramètres!$A$1:$I$89,3,0)*VLOOKUP('Données projet'!$B$18,Paramètres!$A$1:$I$89,5,0)</f>
        <v>145.99306222222231</v>
      </c>
      <c r="GW45" s="13">
        <f t="shared" si="51"/>
        <v>37.666564668799332</v>
      </c>
      <c r="GX45" s="20">
        <f t="shared" si="28"/>
        <v>319.87385016852937</v>
      </c>
      <c r="GY45" s="59">
        <f t="shared" si="29"/>
        <v>566.73830947260581</v>
      </c>
      <c r="GZ45" s="59">
        <f ca="1">AVERAGE(OFFSET($GY$3,0,0,'Données projet'!$E$18+1,1))-AVERAGE(OFFSET($H$3,0,0,'Données projet'!$E$18+1,1))</f>
        <v>375.89365709113105</v>
      </c>
      <c r="HA45" s="59">
        <f t="shared" si="52"/>
        <v>279.39056561403834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14.353096905638902</v>
      </c>
      <c r="HH45" s="21">
        <f>EXP(-LN(2)/25)*HH44+(1-EXP(-LN(2)/25))/(LN(2)/25)*Calculateur!HC45*Calculateur!HE45*VLOOKUP('Données projet'!$B$18,Paramètres!$A$1:$I$89,3,0)*0.475*44/12</f>
        <v>35.120304265792164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49.473401171431064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178.09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117.10034700000008</v>
      </c>
      <c r="P46" s="13">
        <f t="shared" si="33"/>
        <v>30.997743089027207</v>
      </c>
      <c r="Q46" s="20">
        <f t="shared" si="53"/>
        <v>257.93750690505584</v>
      </c>
      <c r="R46" s="59">
        <f t="shared" si="0"/>
        <v>505.6080972847011</v>
      </c>
      <c r="S46" s="59">
        <f ca="1">AVERAGE(OFFSET($R$3,0,0,'Données projet'!$E$9+1,1))-AVERAGE(OFFSET($H$3,0,0,'Données projet'!$E$9+1,1))</f>
        <v>631.31712308065664</v>
      </c>
      <c r="T46" s="59">
        <f t="shared" si="34"/>
        <v>290.92244624361285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5.4660402064376861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5.4660402064376861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8.9585714285714282</v>
      </c>
      <c r="AI46" s="13">
        <f>IF('Données projet'!$A$62&gt;35,AI45+AH46-AQ45,IF(A46&lt;'Données projet'!$A$62,$AF$205^A46,IF(A46='Données projet'!$A$62,'Données projet'!$B$62,AI45+AH46-AQ45)))</f>
        <v>120.54285714285713</v>
      </c>
      <c r="AJ46" s="13">
        <f>AI46*VLOOKUP('Données projet'!$B$10,Paramètres!$A$1:$I$89,3,0)*VLOOKUP('Données projet'!$B$10,Paramètres!$A$1:$I$89,5,0)</f>
        <v>101.54530285714286</v>
      </c>
      <c r="AK46" s="13">
        <f t="shared" si="35"/>
        <v>27.329815434376485</v>
      </c>
      <c r="AL46" s="20">
        <f t="shared" si="4"/>
        <v>224.45749769106285</v>
      </c>
      <c r="AM46" s="59">
        <f t="shared" si="5"/>
        <v>472.12808807070815</v>
      </c>
      <c r="AN46" s="59">
        <f ca="1">AVERAGE(OFFSET($AM$3,0,0,'Données projet'!$E$10+1,1))-AVERAGE(OFFSET($H$3,0,0,'Données projet'!$E$10+1,1))</f>
        <v>401.19166052471473</v>
      </c>
      <c r="AO46" s="59">
        <f t="shared" si="36"/>
        <v>271.10067497534271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131.23314750000011</v>
      </c>
      <c r="BF46" s="13">
        <f t="shared" si="37"/>
        <v>34.281146756704409</v>
      </c>
      <c r="BG46" s="20">
        <f t="shared" si="7"/>
        <v>288.27072916376034</v>
      </c>
      <c r="BH46" s="59">
        <f t="shared" si="8"/>
        <v>535.9413195434056</v>
      </c>
      <c r="BI46" s="59">
        <f ca="1">AVERAGE(OFFSET($BH$3,0,0,'Données projet'!$E$11+1,1))-AVERAGE(OFFSET($H$3,0,0,'Données projet'!$E$11+1,1))</f>
        <v>695.93700574708214</v>
      </c>
      <c r="BJ46" s="59">
        <f t="shared" si="38"/>
        <v>318.31690229208471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6.1257347141112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6.1257347141112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164.2</v>
      </c>
      <c r="BZ46" s="13">
        <f>BY46*VLOOKUP('Données projet'!$B$12,Paramètres!$A$1:$I$89,3,0)*VLOOKUP('Données projet'!$B$12,Paramètres!$A$1:$I$89,5,0)</f>
        <v>107.58384</v>
      </c>
      <c r="CA46" s="13">
        <f t="shared" si="39"/>
        <v>28.760984680893039</v>
      </c>
      <c r="CB46" s="20">
        <f t="shared" si="10"/>
        <v>237.46723631922202</v>
      </c>
      <c r="CC46" s="59">
        <f t="shared" si="11"/>
        <v>485.13782669886734</v>
      </c>
      <c r="CD46" s="59">
        <f ca="1">AVERAGE(OFFSET($CC$3,0,0,'Données projet'!$E$12+1,1))-AVERAGE(OFFSET($H$3,0,0,'Données projet'!$E$12+1,1))</f>
        <v>260.25859566735949</v>
      </c>
      <c r="CE46" s="59">
        <f t="shared" si="40"/>
        <v>256.93649773468667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164.2</v>
      </c>
      <c r="CU46" s="17">
        <f>CT46*VLOOKUP('Données projet'!$B$13,Paramètres!$A$1:$I$89,3,0)*VLOOKUP('Données projet'!$B$13,Paramètres!$A$1:$I$89,5,0)</f>
        <v>107.58384</v>
      </c>
      <c r="CV46" s="13">
        <f t="shared" si="41"/>
        <v>28.760984680893039</v>
      </c>
      <c r="CW46" s="20">
        <f t="shared" si="13"/>
        <v>237.46723631922202</v>
      </c>
      <c r="CX46" s="59">
        <f t="shared" si="14"/>
        <v>485.13782669886734</v>
      </c>
      <c r="CY46" s="59">
        <f ca="1">AVERAGE(OFFSET($CX$3,0,0,'Données projet'!$E$13+1,1))-AVERAGE(OFFSET($H$3,0,0,'Données projet'!$E$13+1,1))</f>
        <v>260.25859566735949</v>
      </c>
      <c r="CZ46" s="59">
        <f t="shared" si="42"/>
        <v>256.93649773468667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9.8737500000000011</v>
      </c>
      <c r="DO46" s="12">
        <f>IF('Données projet'!$A$166&gt;35,DO45+DN46-DW45,IF(A46&lt;'Données projet'!$A$166,$DL$205^A46,IF(A46='Données projet'!$A$166,'Données projet'!$B$166,DO45+DN46-DW45)))</f>
        <v>210.38124999999997</v>
      </c>
      <c r="DP46" s="17">
        <f>DO46*VLOOKUP('Données projet'!$B$14,Paramètres!$A$1:$I$89,3,0)*VLOOKUP('Données projet'!$B$14,Paramètres!$A$1:$I$89,5,0)</f>
        <v>120.33807499999999</v>
      </c>
      <c r="DQ46" s="13">
        <f t="shared" si="43"/>
        <v>31.753836820764683</v>
      </c>
      <c r="DR46" s="20">
        <f t="shared" si="16"/>
        <v>264.89341308783179</v>
      </c>
      <c r="DS46" s="59">
        <f t="shared" si="17"/>
        <v>512.56400346747705</v>
      </c>
      <c r="DT46" s="59">
        <f ca="1">AVERAGE(OFFSET($DS$3,0,0,'Données projet'!$E$14+1,1))-AVERAGE(OFFSET($H$3,0,0,'Données projet'!$E$14+1,1))</f>
        <v>349.56396446903</v>
      </c>
      <c r="DU46" s="59">
        <f t="shared" si="44"/>
        <v>270.64279448634522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43.831832073491277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43.831832073491277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15.725555555555552</v>
      </c>
      <c r="EJ46" s="12">
        <f>IF('Données projet'!$A$192&gt;35,EJ45+EI46-ER45,IF(A46&lt;'Données projet'!$A$192,$EG$205^A46,IF(A46='Données projet'!$A$192,'Données projet'!$B$192,EJ45+EI46-ER45)))</f>
        <v>259.86111111111126</v>
      </c>
      <c r="EK46" s="17">
        <f>EJ46*VLOOKUP('Données projet'!$B$15,Paramètres!$A$1:$I$89,3,0)*VLOOKUP('Données projet'!$B$15,Paramètres!$A$1:$I$89,5,0)</f>
        <v>155.39694444444453</v>
      </c>
      <c r="EL46" s="13">
        <f t="shared" si="45"/>
        <v>39.802526102363792</v>
      </c>
      <c r="EM46" s="20">
        <f t="shared" si="19"/>
        <v>339.97241120235782</v>
      </c>
      <c r="EN46" s="59">
        <f t="shared" si="20"/>
        <v>587.64300158200308</v>
      </c>
      <c r="EO46" s="59">
        <f ca="1">AVERAGE(OFFSET($EN$3,0,0,'Données projet'!$E$15+1,1))-AVERAGE(OFFSET($H$3,0,0,'Données projet'!$E$15+1,1))</f>
        <v>375.89365709113105</v>
      </c>
      <c r="EP46" s="59">
        <f t="shared" si="46"/>
        <v>279.39056561403834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14.071641429843998</v>
      </c>
      <c r="EW46" s="21">
        <f>EXP(-LN(2)/25)*EW45+(1-EXP(-LN(2)/25))/(LN(2)/25)*Calculateur!ER46*Calculateur!ET46*VLOOKUP('Données projet'!$B$15,Paramètres!$A$1:$I$89,3,0)*0.475*44/12</f>
        <v>34.159937698747548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48.231579128591548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16.536250000000003</v>
      </c>
      <c r="FE46" s="12">
        <f>IF('Données projet'!$A$218&gt;35,FE45+FD46-FM45,IF(A46&lt;'Données projet'!$A$218,$FB$205^A46,IF(A46='Données projet'!$A$218,'Données projet'!$B$218,FE45+FD46-FM45)))</f>
        <v>350.81374999999991</v>
      </c>
      <c r="FF46" s="17">
        <f>FE46*VLOOKUP('Données projet'!$B$16,Paramètres!$A$1:$I$89,3,0)*VLOOKUP('Données projet'!$B$16,Paramètres!$A$1:$I$89,5,0)</f>
        <v>209.78662249999996</v>
      </c>
      <c r="FG46" s="13">
        <f t="shared" si="47"/>
        <v>51.888954587591464</v>
      </c>
      <c r="FH46" s="20">
        <f t="shared" si="22"/>
        <v>455.75163009422175</v>
      </c>
      <c r="FI46" s="59">
        <f t="shared" si="23"/>
        <v>703.42222047386701</v>
      </c>
      <c r="FJ46" s="59">
        <f ca="1">AVERAGE(OFFSET($FI$3,0,0,'Données projet'!$E$16+1,1))-AVERAGE(OFFSET($H$3,0,0,'Données projet'!$E$16+1,1))</f>
        <v>319.29539841078537</v>
      </c>
      <c r="FK46" s="59">
        <f t="shared" si="48"/>
        <v>327.26871144121412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9.957579154030201</v>
      </c>
      <c r="FR46" s="21">
        <f>EXP(-LN(2)/25)*FR45+(1-EXP(-LN(2)/25))/(LN(2)/25)*Calculateur!FM46*Calculateur!FO46*VLOOKUP('Données projet'!$B$16,Paramètres!$A$1:$I$89,3,0)*0.475*44/12</f>
        <v>38.164662979158138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48.122242133188337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27.068333333333328</v>
      </c>
      <c r="FZ46" s="12">
        <f>IF('Données projet'!$A$244&gt;35,FZ45+FY46-GH45,IF(A46&lt;'Données projet'!$A$244,$FW$205^A46,IF(A46='Données projet'!$A$244,'Données projet'!$B$244,FZ45+FY46-GH45)))</f>
        <v>519.70833333333303</v>
      </c>
      <c r="GA46" s="17">
        <f>FZ46*VLOOKUP('Données projet'!$B$17,Paramètres!$A$1:$I$89,3,0)*VLOOKUP('Données projet'!$B$17,Paramètres!$A$1:$I$89,5,0)</f>
        <v>229.71108333333322</v>
      </c>
      <c r="GB46" s="13">
        <f t="shared" si="49"/>
        <v>56.220206423672479</v>
      </c>
      <c r="GC46" s="20">
        <f t="shared" si="25"/>
        <v>497.99699632678494</v>
      </c>
      <c r="GD46" s="59">
        <f t="shared" si="26"/>
        <v>745.66758670643026</v>
      </c>
      <c r="GE46" s="59">
        <f ca="1">AVERAGE(OFFSET($GD$3,0,0,'Données projet'!$E$17+1,1))-AVERAGE(OFFSET($H$3,0,0,'Données projet'!$E$17+1,1))</f>
        <v>342.89128067483233</v>
      </c>
      <c r="GF46" s="59">
        <f t="shared" si="50"/>
        <v>453.47615302202996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14.424983854269001</v>
      </c>
      <c r="GM46" s="21">
        <f>EXP(-LN(2)/25)*GM45+(1-EXP(-LN(2)/25))/(LN(2)/25)*Calculateur!GH46*Calculateur!GJ46*VLOOKUP('Données projet'!$B$17,Paramètres!$A$1:$I$89,3,0)*0.475*44/12</f>
        <v>76.87685604770185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91.301839901970851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57.546524648994172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15.725555555555552</v>
      </c>
      <c r="GU46" s="12">
        <f>IF('Données projet'!$A$270&gt;35,GU45+GT46-HC45,IF(A46&lt;'Données projet'!$A$270,$GR$205^A46,IF(A46='Données projet'!$A$270,'Données projet'!$B$270,GU45+GT46-HC45)))</f>
        <v>259.86111111111126</v>
      </c>
      <c r="GV46" s="17">
        <f>GU46*VLOOKUP('Données projet'!$B$18,Paramètres!$A$1:$I$89,3,0)*VLOOKUP('Données projet'!$B$18,Paramètres!$A$1:$I$89,5,0)</f>
        <v>155.39694444444453</v>
      </c>
      <c r="GW46" s="13">
        <f t="shared" si="51"/>
        <v>39.802526102363792</v>
      </c>
      <c r="GX46" s="20">
        <f t="shared" si="28"/>
        <v>339.97241120235782</v>
      </c>
      <c r="GY46" s="59">
        <f t="shared" si="29"/>
        <v>587.64300158200308</v>
      </c>
      <c r="GZ46" s="59">
        <f ca="1">AVERAGE(OFFSET($GY$3,0,0,'Données projet'!$E$18+1,1))-AVERAGE(OFFSET($H$3,0,0,'Données projet'!$E$18+1,1))</f>
        <v>375.89365709113105</v>
      </c>
      <c r="HA46" s="59">
        <f t="shared" si="52"/>
        <v>279.39056561403834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14.071641429843998</v>
      </c>
      <c r="HH46" s="21">
        <f>EXP(-LN(2)/25)*HH45+(1-EXP(-LN(2)/25))/(LN(2)/25)*Calculateur!HC46*Calculateur!HE46*VLOOKUP('Données projet'!$B$18,Paramètres!$A$1:$I$89,3,0)*0.475*44/12</f>
        <v>34.159937698747548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48.231579128591548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178.09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125.5794540000001</v>
      </c>
      <c r="P47" s="13">
        <f t="shared" si="33"/>
        <v>32.97285338000448</v>
      </c>
      <c r="Q47" s="20">
        <f t="shared" si="53"/>
        <v>276.14526868684135</v>
      </c>
      <c r="R47" s="59">
        <f t="shared" si="0"/>
        <v>524.60800557013363</v>
      </c>
      <c r="S47" s="59">
        <f ca="1">AVERAGE(OFFSET($R$3,0,0,'Données projet'!$E$9+1,1))-AVERAGE(OFFSET($H$3,0,0,'Données projet'!$E$9+1,1))</f>
        <v>631.31712308065664</v>
      </c>
      <c r="T47" s="59">
        <f t="shared" si="34"/>
        <v>290.92244624361285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5.3588544919447685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5.3588544919447685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8.9585714285714282</v>
      </c>
      <c r="AI47" s="13">
        <f>IF('Données projet'!$A$62&gt;35,AI46+AH47-AQ46,IF(A47&lt;'Données projet'!$A$62,$AF$205^A47,IF(A47='Données projet'!$A$62,'Données projet'!$B$62,AI46+AH47-AQ46)))</f>
        <v>129.50142857142856</v>
      </c>
      <c r="AJ47" s="13">
        <f>AI47*VLOOKUP('Données projet'!$B$10,Paramètres!$A$1:$I$89,3,0)*VLOOKUP('Données projet'!$B$10,Paramètres!$A$1:$I$89,5,0)</f>
        <v>109.09200342857145</v>
      </c>
      <c r="AK47" s="13">
        <f t="shared" si="35"/>
        <v>29.116950405918221</v>
      </c>
      <c r="AL47" s="20">
        <f t="shared" si="4"/>
        <v>240.7139279284028</v>
      </c>
      <c r="AM47" s="59">
        <f t="shared" si="5"/>
        <v>489.17666481169505</v>
      </c>
      <c r="AN47" s="59">
        <f ca="1">AVERAGE(OFFSET($AM$3,0,0,'Données projet'!$E$10+1,1))-AVERAGE(OFFSET($H$3,0,0,'Données projet'!$E$10+1,1))</f>
        <v>401.19166052471473</v>
      </c>
      <c r="AO47" s="59">
        <f t="shared" si="36"/>
        <v>271.10067497534271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140.7355950000001</v>
      </c>
      <c r="BF47" s="13">
        <f t="shared" si="37"/>
        <v>36.465468549139587</v>
      </c>
      <c r="BG47" s="20">
        <f t="shared" si="7"/>
        <v>308.62518568141826</v>
      </c>
      <c r="BH47" s="59">
        <f t="shared" si="8"/>
        <v>557.08792256471054</v>
      </c>
      <c r="BI47" s="59">
        <f ca="1">AVERAGE(OFFSET($BH$3,0,0,'Données projet'!$E$11+1,1))-AVERAGE(OFFSET($H$3,0,0,'Données projet'!$E$11+1,1))</f>
        <v>695.93700574708214</v>
      </c>
      <c r="BJ47" s="59">
        <f t="shared" si="38"/>
        <v>318.31690229208471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6.0056127926967227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6.0056127926967227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170.6</v>
      </c>
      <c r="BZ47" s="13">
        <f>BY47*VLOOKUP('Données projet'!$B$12,Paramètres!$A$1:$I$89,3,0)*VLOOKUP('Données projet'!$B$12,Paramètres!$A$1:$I$89,5,0)</f>
        <v>111.77712000000001</v>
      </c>
      <c r="CA47" s="13">
        <f t="shared" si="39"/>
        <v>29.749296563258223</v>
      </c>
      <c r="CB47" s="20">
        <f t="shared" si="10"/>
        <v>246.49184218100808</v>
      </c>
      <c r="CC47" s="59">
        <f t="shared" si="11"/>
        <v>494.95457906430033</v>
      </c>
      <c r="CD47" s="59">
        <f ca="1">AVERAGE(OFFSET($CC$3,0,0,'Données projet'!$E$12+1,1))-AVERAGE(OFFSET($H$3,0,0,'Données projet'!$E$12+1,1))</f>
        <v>260.25859566735949</v>
      </c>
      <c r="CE47" s="59">
        <f t="shared" si="40"/>
        <v>256.93649773468667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170.6</v>
      </c>
      <c r="CU47" s="17">
        <f>CT47*VLOOKUP('Données projet'!$B$13,Paramètres!$A$1:$I$89,3,0)*VLOOKUP('Données projet'!$B$13,Paramètres!$A$1:$I$89,5,0)</f>
        <v>111.77712000000001</v>
      </c>
      <c r="CV47" s="13">
        <f t="shared" si="41"/>
        <v>29.749296563258223</v>
      </c>
      <c r="CW47" s="20">
        <f t="shared" si="13"/>
        <v>246.49184218100808</v>
      </c>
      <c r="CX47" s="59">
        <f t="shared" si="14"/>
        <v>494.95457906430033</v>
      </c>
      <c r="CY47" s="59">
        <f ca="1">AVERAGE(OFFSET($CX$3,0,0,'Données projet'!$E$13+1,1))-AVERAGE(OFFSET($H$3,0,0,'Données projet'!$E$13+1,1))</f>
        <v>260.25859566735949</v>
      </c>
      <c r="CZ47" s="59">
        <f t="shared" si="42"/>
        <v>256.93649773468667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9.8737500000000011</v>
      </c>
      <c r="DO47" s="12">
        <f>IF('Données projet'!$A$166&gt;35,DO46+DN47-DW46,IF(A47&lt;'Données projet'!$A$166,$DL$205^A47,IF(A47='Données projet'!$A$166,'Données projet'!$B$166,DO46+DN47-DW46)))</f>
        <v>220.25499999999997</v>
      </c>
      <c r="DP47" s="17">
        <f>DO47*VLOOKUP('Données projet'!$B$14,Paramètres!$A$1:$I$89,3,0)*VLOOKUP('Données projet'!$B$14,Paramètres!$A$1:$I$89,5,0)</f>
        <v>125.98585999999999</v>
      </c>
      <c r="DQ47" s="13">
        <f t="shared" si="43"/>
        <v>33.067123063875179</v>
      </c>
      <c r="DR47" s="20">
        <f t="shared" si="16"/>
        <v>277.0172788362492</v>
      </c>
      <c r="DS47" s="59">
        <f t="shared" si="17"/>
        <v>525.48001571954148</v>
      </c>
      <c r="DT47" s="59">
        <f ca="1">AVERAGE(OFFSET($DS$3,0,0,'Données projet'!$E$14+1,1))-AVERAGE(OFFSET($H$3,0,0,'Données projet'!$E$14+1,1))</f>
        <v>349.56396446903</v>
      </c>
      <c r="DU47" s="59">
        <f t="shared" si="44"/>
        <v>270.64279448634522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42.633248320425785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42.633248320425785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15.725555555555552</v>
      </c>
      <c r="EJ47" s="12">
        <f>IF('Données projet'!$A$192&gt;35,EJ46+EI47-ER46,IF(A47&lt;'Données projet'!$A$192,$EG$205^A47,IF(A47='Données projet'!$A$192,'Données projet'!$B$192,EJ46+EI47-ER46)))</f>
        <v>275.58666666666682</v>
      </c>
      <c r="EK47" s="17">
        <f>EJ47*VLOOKUP('Données projet'!$B$15,Paramètres!$A$1:$I$89,3,0)*VLOOKUP('Données projet'!$B$15,Paramètres!$A$1:$I$89,5,0)</f>
        <v>164.80082666666678</v>
      </c>
      <c r="EL47" s="13">
        <f t="shared" si="45"/>
        <v>41.923485083367801</v>
      </c>
      <c r="EM47" s="20">
        <f t="shared" si="19"/>
        <v>360.04484296464358</v>
      </c>
      <c r="EN47" s="59">
        <f t="shared" si="20"/>
        <v>608.50757984793586</v>
      </c>
      <c r="EO47" s="59">
        <f ca="1">AVERAGE(OFFSET($EN$3,0,0,'Données projet'!$E$15+1,1))-AVERAGE(OFFSET($H$3,0,0,'Données projet'!$E$15+1,1))</f>
        <v>375.89365709113105</v>
      </c>
      <c r="EP47" s="59">
        <f t="shared" si="46"/>
        <v>279.39056561403834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13.795705124258543</v>
      </c>
      <c r="EW47" s="21">
        <f>EXP(-LN(2)/25)*EW46+(1-EXP(-LN(2)/25))/(LN(2)/25)*Calculateur!ER47*Calculateur!ET47*VLOOKUP('Données projet'!$B$15,Paramètres!$A$1:$I$89,3,0)*0.475*44/12</f>
        <v>33.225832405982246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47.021537530240792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>
        <f>VLOOKUP(A47,'Données projet'!$A$217:$I$237,2,0)</f>
        <v>367.35</v>
      </c>
      <c r="FC47" s="12">
        <f>VLOOKUP(A47,'Données projet'!$A$217:$I$237,9,0)</f>
        <v>16.536250000000003</v>
      </c>
      <c r="FD47" s="12">
        <f t="array" ref="FD47">INDEX(FC:FC,MIN(IF(ISNUMBER(FC47:FC243),ROW(FC47:FC243),"")))</f>
        <v>16.536250000000003</v>
      </c>
      <c r="FE47" s="12">
        <f>IF('Données projet'!$A$218&gt;35,FE46+FD47-FM46,IF(A47&lt;'Données projet'!$A$218,$FB$205^A47,IF(A47='Données projet'!$A$218,'Données projet'!$B$218,FE46+FD47-FM46)))</f>
        <v>367.34999999999991</v>
      </c>
      <c r="FF47" s="17">
        <f>FE47*VLOOKUP('Données projet'!$B$16,Paramètres!$A$1:$I$89,3,0)*VLOOKUP('Données projet'!$B$16,Paramètres!$A$1:$I$89,5,0)</f>
        <v>219.67529999999996</v>
      </c>
      <c r="FG47" s="13">
        <f t="shared" si="47"/>
        <v>54.044307714561441</v>
      </c>
      <c r="FH47" s="20">
        <f t="shared" si="22"/>
        <v>476.72831676952774</v>
      </c>
      <c r="FI47" s="59">
        <f t="shared" si="23"/>
        <v>725.19105365281996</v>
      </c>
      <c r="FJ47" s="59">
        <f ca="1">AVERAGE(OFFSET($FI$3,0,0,'Données projet'!$E$16+1,1))-AVERAGE(OFFSET($H$3,0,0,'Données projet'!$E$16+1,1))</f>
        <v>319.29539841078537</v>
      </c>
      <c r="FK47" s="59">
        <f t="shared" si="48"/>
        <v>327.26871144121412</v>
      </c>
      <c r="FL47" s="15">
        <f>IF(ISNA(VLOOKUP(A47,'Données projet'!$A$217:$I$237,3,0)),0,VLOOKUP(A47,'Données projet'!$A$217:$I$237,3,0))</f>
        <v>5</v>
      </c>
      <c r="FM47" s="15">
        <f>IF(ISNA(VLOOKUP(A47,'Données projet'!$A$217:$I$237,4,0)),0,VLOOKUP(A47,'Données projet'!$A$217:$I$237,4,0))</f>
        <v>77.91</v>
      </c>
      <c r="FN47" s="16">
        <f>IF(ISNA(VLOOKUP(A47,'Données projet'!$A$217:$I$237,5,0)),0%,VLOOKUP(A47,'Données projet'!$A$217:$I$237,5,0)*VLOOKUP('Données projet'!$B$16,Paramètres!$A$1:$I$89,7,0))</f>
        <v>0.13500000000000001</v>
      </c>
      <c r="FO47" s="16">
        <f>IF(ISNA(VLOOKUP(A47,'Données projet'!$A$217:$I$237,6,0)),0%,VLOOKUP(A47,'Données projet'!$A$217:$I$237,6,0)*VLOOKUP('Données projet'!$B$16,Paramètres!$A$1:$I$89,7,0))</f>
        <v>0.22500000000000001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18.105975463014815</v>
      </c>
      <c r="FR47" s="21">
        <f>EXP(-LN(2)/25)*FR46+(1-EXP(-LN(2)/25))/(LN(2)/25)*Calculateur!FM47*Calculateur!FO47*VLOOKUP('Données projet'!$B$16,Paramètres!$A$1:$I$89,3,0)*0.475*44/12</f>
        <v>50.972391930525085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69.078367393539907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27.068333333333328</v>
      </c>
      <c r="FZ47" s="12">
        <f>IF('Données projet'!$A$244&gt;35,FZ46+FY47-GH46,IF(A47&lt;'Données projet'!$A$244,$FW$205^A47,IF(A47='Données projet'!$A$244,'Données projet'!$B$244,FZ46+FY47-GH46)))</f>
        <v>546.77666666666642</v>
      </c>
      <c r="GA47" s="17">
        <f>FZ47*VLOOKUP('Données projet'!$B$17,Paramètres!$A$1:$I$89,3,0)*VLOOKUP('Données projet'!$B$17,Paramètres!$A$1:$I$89,5,0)</f>
        <v>241.67528666666661</v>
      </c>
      <c r="GB47" s="13">
        <f t="shared" si="49"/>
        <v>58.799830514755037</v>
      </c>
      <c r="GC47" s="20">
        <f t="shared" si="25"/>
        <v>523.32749575764262</v>
      </c>
      <c r="GD47" s="59">
        <f t="shared" si="26"/>
        <v>771.79023264093485</v>
      </c>
      <c r="GE47" s="59">
        <f ca="1">AVERAGE(OFFSET($GD$3,0,0,'Données projet'!$E$17+1,1))-AVERAGE(OFFSET($H$3,0,0,'Données projet'!$E$17+1,1))</f>
        <v>342.89128067483233</v>
      </c>
      <c r="GF47" s="59">
        <f t="shared" si="50"/>
        <v>453.47615302202996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14.142118719258171</v>
      </c>
      <c r="GM47" s="21">
        <f>EXP(-LN(2)/25)*GM46+(1-EXP(-LN(2)/25))/(LN(2)/25)*Calculateur!GH47*Calculateur!GJ47*VLOOKUP('Données projet'!$B$17,Paramètres!$A$1:$I$89,3,0)*0.475*44/12</f>
        <v>74.774654376299281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88.91677309555746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57.762564604534241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15.725555555555552</v>
      </c>
      <c r="GU47" s="12">
        <f>IF('Données projet'!$A$270&gt;35,GU46+GT47-HC46,IF(A47&lt;'Données projet'!$A$270,$GR$205^A47,IF(A47='Données projet'!$A$270,'Données projet'!$B$270,GU46+GT47-HC46)))</f>
        <v>275.58666666666682</v>
      </c>
      <c r="GV47" s="17">
        <f>GU47*VLOOKUP('Données projet'!$B$18,Paramètres!$A$1:$I$89,3,0)*VLOOKUP('Données projet'!$B$18,Paramètres!$A$1:$I$89,5,0)</f>
        <v>164.80082666666678</v>
      </c>
      <c r="GW47" s="13">
        <f t="shared" si="51"/>
        <v>41.923485083367801</v>
      </c>
      <c r="GX47" s="20">
        <f t="shared" si="28"/>
        <v>360.04484296464358</v>
      </c>
      <c r="GY47" s="59">
        <f t="shared" si="29"/>
        <v>608.50757984793586</v>
      </c>
      <c r="GZ47" s="59">
        <f ca="1">AVERAGE(OFFSET($GY$3,0,0,'Données projet'!$E$18+1,1))-AVERAGE(OFFSET($H$3,0,0,'Données projet'!$E$18+1,1))</f>
        <v>375.89365709113105</v>
      </c>
      <c r="HA47" s="59">
        <f t="shared" si="52"/>
        <v>279.39056561403834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13.795705124258543</v>
      </c>
      <c r="HH47" s="21">
        <f>EXP(-LN(2)/25)*HH46+(1-EXP(-LN(2)/25))/(LN(2)/25)*Calculateur!HC47*Calculateur!HE47*VLOOKUP('Données projet'!$B$18,Paramètres!$A$1:$I$89,3,0)*0.475*44/12</f>
        <v>33.225832405982246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47.021537530240792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178.09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134.05856100000008</v>
      </c>
      <c r="P48" s="13">
        <f t="shared" si="33"/>
        <v>34.932489097291651</v>
      </c>
      <c r="Q48" s="20">
        <f t="shared" si="53"/>
        <v>294.3260789194498</v>
      </c>
      <c r="R48" s="59">
        <f t="shared" si="0"/>
        <v>543.56722033552501</v>
      </c>
      <c r="S48" s="59">
        <f ca="1">AVERAGE(OFFSET($R$3,0,0,'Données projet'!$E$9+1,1))-AVERAGE(OFFSET($H$3,0,0,'Données projet'!$E$9+1,1))</f>
        <v>631.31712308065664</v>
      </c>
      <c r="T48" s="59">
        <f t="shared" si="34"/>
        <v>290.92244624361285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5.2537706239362265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5.2537706239362265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138.46</v>
      </c>
      <c r="AG48" s="12">
        <f>VLOOKUP(A48,'Données projet'!$A$61:$I$81,9,0)</f>
        <v>8.9585714285714282</v>
      </c>
      <c r="AH48" s="12">
        <f t="array" ref="AH48">INDEX(AG:AG,MIN(IF(ISNUMBER(AG48:AG244),ROW(AG48:AG244),"")))</f>
        <v>8.9585714285714282</v>
      </c>
      <c r="AI48" s="13">
        <f>IF('Données projet'!$A$62&gt;35,AI47+AH48-AQ47,IF(A48&lt;'Données projet'!$A$62,$AF$205^A48,IF(A48='Données projet'!$A$62,'Données projet'!$B$62,AI47+AH48-AQ47)))</f>
        <v>138.45999999999998</v>
      </c>
      <c r="AJ48" s="13">
        <f>AI48*VLOOKUP('Données projet'!$B$10,Paramètres!$A$1:$I$89,3,0)*VLOOKUP('Données projet'!$B$10,Paramètres!$A$1:$I$89,5,0)</f>
        <v>116.638704</v>
      </c>
      <c r="AK48" s="13">
        <f t="shared" si="35"/>
        <v>30.889740632339958</v>
      </c>
      <c r="AL48" s="20">
        <f t="shared" si="4"/>
        <v>256.94537440132541</v>
      </c>
      <c r="AM48" s="59">
        <f t="shared" si="5"/>
        <v>506.18651581740056</v>
      </c>
      <c r="AN48" s="59">
        <f ca="1">AVERAGE(OFFSET($AM$3,0,0,'Données projet'!$E$10+1,1))-AVERAGE(OFFSET($H$3,0,0,'Données projet'!$E$10+1,1))</f>
        <v>401.19166052471473</v>
      </c>
      <c r="AO48" s="59">
        <f t="shared" si="36"/>
        <v>271.10067497534271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39.119999999999997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4.6995256571467445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4.6995256571467445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150.23804250000012</v>
      </c>
      <c r="BF48" s="13">
        <f t="shared" si="37"/>
        <v>38.632676639775759</v>
      </c>
      <c r="BG48" s="20">
        <f t="shared" si="7"/>
        <v>328.94983583510964</v>
      </c>
      <c r="BH48" s="59">
        <f t="shared" si="8"/>
        <v>578.19097725118479</v>
      </c>
      <c r="BI48" s="59">
        <f ca="1">AVERAGE(OFFSET($BH$3,0,0,'Données projet'!$E$11+1,1))-AVERAGE(OFFSET($H$3,0,0,'Données projet'!$E$11+1,1))</f>
        <v>695.93700574708214</v>
      </c>
      <c r="BJ48" s="59">
        <f t="shared" si="38"/>
        <v>318.31690229208471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5.8878463888940464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5.8878463888940464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177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177</v>
      </c>
      <c r="BZ48" s="13">
        <f>BY48*VLOOKUP('Données projet'!$B$12,Paramètres!$A$1:$I$89,3,0)*VLOOKUP('Données projet'!$B$12,Paramètres!$A$1:$I$89,5,0)</f>
        <v>115.97040000000001</v>
      </c>
      <c r="CA48" s="13">
        <f t="shared" si="39"/>
        <v>30.733301120222794</v>
      </c>
      <c r="CB48" s="20">
        <f t="shared" si="10"/>
        <v>255.50894611772139</v>
      </c>
      <c r="CC48" s="59">
        <f t="shared" si="11"/>
        <v>504.75008753379655</v>
      </c>
      <c r="CD48" s="59">
        <f ca="1">AVERAGE(OFFSET($CC$3,0,0,'Données projet'!$E$12+1,1))-AVERAGE(OFFSET($H$3,0,0,'Données projet'!$E$12+1,1))</f>
        <v>260.25859566735949</v>
      </c>
      <c r="CE48" s="59">
        <f t="shared" si="40"/>
        <v>256.93649773468667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2.0555752987974283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2.0555752987974283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177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177</v>
      </c>
      <c r="CU48" s="17">
        <f>CT48*VLOOKUP('Données projet'!$B$13,Paramètres!$A$1:$I$89,3,0)*VLOOKUP('Données projet'!$B$13,Paramètres!$A$1:$I$89,5,0)</f>
        <v>115.97040000000001</v>
      </c>
      <c r="CV48" s="13">
        <f t="shared" si="41"/>
        <v>30.733301120222794</v>
      </c>
      <c r="CW48" s="20">
        <f t="shared" si="13"/>
        <v>255.50894611772139</v>
      </c>
      <c r="CX48" s="59">
        <f t="shared" si="14"/>
        <v>504.75008753379655</v>
      </c>
      <c r="CY48" s="59">
        <f ca="1">AVERAGE(OFFSET($CX$3,0,0,'Données projet'!$E$13+1,1))-AVERAGE(OFFSET($H$3,0,0,'Données projet'!$E$13+1,1))</f>
        <v>260.25859566735949</v>
      </c>
      <c r="CZ48" s="59">
        <f t="shared" si="42"/>
        <v>256.93649773468667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2.0555752987974283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2.0555752987974283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9.8737500000000011</v>
      </c>
      <c r="DO48" s="12">
        <f>IF('Données projet'!$A$166&gt;35,DO47+DN48-DW47,IF(A48&lt;'Données projet'!$A$166,$DL$205^A48,IF(A48='Données projet'!$A$166,'Données projet'!$B$166,DO47+DN48-DW47)))</f>
        <v>230.12874999999997</v>
      </c>
      <c r="DP48" s="17">
        <f>DO48*VLOOKUP('Données projet'!$B$14,Paramètres!$A$1:$I$89,3,0)*VLOOKUP('Données projet'!$B$14,Paramètres!$A$1:$I$89,5,0)</f>
        <v>131.633645</v>
      </c>
      <c r="DQ48" s="13">
        <f t="shared" si="43"/>
        <v>34.37357192634412</v>
      </c>
      <c r="DR48" s="20">
        <f t="shared" si="16"/>
        <v>289.12923614671598</v>
      </c>
      <c r="DS48" s="59">
        <f t="shared" si="17"/>
        <v>538.37037756279119</v>
      </c>
      <c r="DT48" s="59">
        <f ca="1">AVERAGE(OFFSET($DS$3,0,0,'Données projet'!$E$14+1,1))-AVERAGE(OFFSET($H$3,0,0,'Données projet'!$E$14+1,1))</f>
        <v>349.56396446903</v>
      </c>
      <c r="DU48" s="59">
        <f t="shared" si="44"/>
        <v>270.64279448634522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41.467439903118652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41.467439903118652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15.725555555555552</v>
      </c>
      <c r="EJ48" s="12">
        <f>IF('Données projet'!$A$192&gt;35,EJ47+EI48-ER47,IF(A48&lt;'Données projet'!$A$192,$EG$205^A48,IF(A48='Données projet'!$A$192,'Données projet'!$B$192,EJ47+EI48-ER47)))</f>
        <v>291.31222222222237</v>
      </c>
      <c r="EK48" s="17">
        <f>EJ48*VLOOKUP('Données projet'!$B$15,Paramètres!$A$1:$I$89,3,0)*VLOOKUP('Données projet'!$B$15,Paramètres!$A$1:$I$89,5,0)</f>
        <v>174.204708888889</v>
      </c>
      <c r="EL48" s="13">
        <f t="shared" si="45"/>
        <v>44.030395226989455</v>
      </c>
      <c r="EM48" s="20">
        <f t="shared" si="19"/>
        <v>380.09280633515499</v>
      </c>
      <c r="EN48" s="59">
        <f t="shared" si="20"/>
        <v>629.3339477512302</v>
      </c>
      <c r="EO48" s="59">
        <f ca="1">AVERAGE(OFFSET($EN$3,0,0,'Données projet'!$E$15+1,1))-AVERAGE(OFFSET($H$3,0,0,'Données projet'!$E$15+1,1))</f>
        <v>375.89365709113105</v>
      </c>
      <c r="EP48" s="59">
        <f t="shared" si="46"/>
        <v>279.39056561403834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13.525179761321091</v>
      </c>
      <c r="EW48" s="21">
        <f>EXP(-LN(2)/25)*EW47+(1-EXP(-LN(2)/25))/(LN(2)/25)*Calculateur!ER48*Calculateur!ET48*VLOOKUP('Données projet'!$B$15,Paramètres!$A$1:$I$89,3,0)*0.475*44/12</f>
        <v>32.317270271570074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45.842450032891165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14.64374999999999</v>
      </c>
      <c r="FE48" s="12">
        <f>IF('Données projet'!$A$218&gt;35,FE47+FD48-FM47,IF(A48&lt;'Données projet'!$A$218,$FB$205^A48,IF(A48='Données projet'!$A$218,'Données projet'!$B$218,FE47+FD48-FM47)))</f>
        <v>304.0837499999999</v>
      </c>
      <c r="FF48" s="17">
        <f>FE48*VLOOKUP('Données projet'!$B$16,Paramètres!$A$1:$I$89,3,0)*VLOOKUP('Données projet'!$B$16,Paramètres!$A$1:$I$89,5,0)</f>
        <v>181.84208249999998</v>
      </c>
      <c r="FG48" s="13">
        <f t="shared" si="47"/>
        <v>45.731772411922861</v>
      </c>
      <c r="FH48" s="20">
        <f t="shared" si="22"/>
        <v>396.35779730493226</v>
      </c>
      <c r="FI48" s="59">
        <f t="shared" si="23"/>
        <v>645.59893872100747</v>
      </c>
      <c r="FJ48" s="59">
        <f ca="1">AVERAGE(OFFSET($FI$3,0,0,'Données projet'!$E$16+1,1))-AVERAGE(OFFSET($H$3,0,0,'Données projet'!$E$16+1,1))</f>
        <v>319.29539841078537</v>
      </c>
      <c r="FK48" s="59">
        <f t="shared" si="48"/>
        <v>327.26871144121412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17.750928327739665</v>
      </c>
      <c r="FR48" s="21">
        <f>EXP(-LN(2)/25)*FR47+(1-EXP(-LN(2)/25))/(LN(2)/25)*Calculateur!FM48*Calculateur!FO48*VLOOKUP('Données projet'!$B$16,Paramètres!$A$1:$I$89,3,0)*0.475*44/12</f>
        <v>49.578549192663282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67.329477520402946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27.068333333333328</v>
      </c>
      <c r="FZ48" s="12">
        <f>IF('Données projet'!$A$244&gt;35,FZ47+FY48-GH47,IF(A48&lt;'Données projet'!$A$244,$FW$205^A48,IF(A48='Données projet'!$A$244,'Données projet'!$B$244,FZ47+FY48-GH47)))</f>
        <v>573.8449999999998</v>
      </c>
      <c r="GA48" s="17">
        <f>FZ48*VLOOKUP('Données projet'!$B$17,Paramètres!$A$1:$I$89,3,0)*VLOOKUP('Données projet'!$B$17,Paramètres!$A$1:$I$89,5,0)</f>
        <v>253.63948999999994</v>
      </c>
      <c r="GB48" s="13">
        <f t="shared" si="49"/>
        <v>61.364626093451839</v>
      </c>
      <c r="GC48" s="20">
        <f t="shared" si="25"/>
        <v>548.63216886276189</v>
      </c>
      <c r="GD48" s="59">
        <f t="shared" si="26"/>
        <v>797.87331027883704</v>
      </c>
      <c r="GE48" s="59">
        <f ca="1">AVERAGE(OFFSET($GD$3,0,0,'Données projet'!$E$17+1,1))-AVERAGE(OFFSET($H$3,0,0,'Données projet'!$E$17+1,1))</f>
        <v>342.89128067483233</v>
      </c>
      <c r="GF48" s="59">
        <f t="shared" si="50"/>
        <v>453.47615302202996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13.864800397014207</v>
      </c>
      <c r="GM48" s="21">
        <f>EXP(-LN(2)/25)*GM47+(1-EXP(-LN(2)/25))/(LN(2)/25)*Calculateur!GH48*Calculateur!GJ48*VLOOKUP('Données projet'!$B$17,Paramètres!$A$1:$I$89,3,0)*0.475*44/12</f>
        <v>72.729937520151211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86.594737917165418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57.974856749838679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15.725555555555552</v>
      </c>
      <c r="GU48" s="12">
        <f>IF('Données projet'!$A$270&gt;35,GU47+GT48-HC47,IF(A48&lt;'Données projet'!$A$270,$GR$205^A48,IF(A48='Données projet'!$A$270,'Données projet'!$B$270,GU47+GT48-HC47)))</f>
        <v>291.31222222222237</v>
      </c>
      <c r="GV48" s="17">
        <f>GU48*VLOOKUP('Données projet'!$B$18,Paramètres!$A$1:$I$89,3,0)*VLOOKUP('Données projet'!$B$18,Paramètres!$A$1:$I$89,5,0)</f>
        <v>174.204708888889</v>
      </c>
      <c r="GW48" s="13">
        <f t="shared" si="51"/>
        <v>44.030395226989455</v>
      </c>
      <c r="GX48" s="20">
        <f t="shared" si="28"/>
        <v>380.09280633515499</v>
      </c>
      <c r="GY48" s="59">
        <f t="shared" si="29"/>
        <v>629.3339477512302</v>
      </c>
      <c r="GZ48" s="59">
        <f ca="1">AVERAGE(OFFSET($GY$3,0,0,'Données projet'!$E$18+1,1))-AVERAGE(OFFSET($H$3,0,0,'Données projet'!$E$18+1,1))</f>
        <v>375.89365709113105</v>
      </c>
      <c r="HA48" s="59">
        <f t="shared" si="52"/>
        <v>279.39056561403834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13.525179761321091</v>
      </c>
      <c r="HH48" s="21">
        <f>EXP(-LN(2)/25)*HH47+(1-EXP(-LN(2)/25))/(LN(2)/25)*Calculateur!HC48*Calculateur!HE48*VLOOKUP('Données projet'!$B$18,Paramètres!$A$1:$I$89,3,0)*0.475*44/12</f>
        <v>32.317270271570074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45.842450032891165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178.09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142.53766800000008</v>
      </c>
      <c r="P49" s="13">
        <f t="shared" si="33"/>
        <v>36.877740410345027</v>
      </c>
      <c r="Q49" s="20">
        <f t="shared" si="53"/>
        <v>312.48183631468436</v>
      </c>
      <c r="R49" s="59">
        <f t="shared" si="0"/>
        <v>562.48787868515046</v>
      </c>
      <c r="S49" s="59">
        <f ca="1">AVERAGE(OFFSET($R$3,0,0,'Données projet'!$E$9+1,1))-AVERAGE(OFFSET($H$3,0,0,'Données projet'!$E$9+1,1))</f>
        <v>631.31712308065664</v>
      </c>
      <c r="T49" s="59">
        <f t="shared" si="34"/>
        <v>290.92244624361285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5.1507473864845013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5.1507473864845013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8.9771428571428569</v>
      </c>
      <c r="AI49" s="13">
        <f>IF('Données projet'!$A$62&gt;35,AI48+AH49-AQ48,IF(A49&lt;'Données projet'!$A$62,$AF$205^A49,IF(A49='Données projet'!$A$62,'Données projet'!$B$62,AI48+AH49-AQ48)))</f>
        <v>108.31714285714284</v>
      </c>
      <c r="AJ49" s="13">
        <f>AI49*VLOOKUP('Données projet'!$B$10,Paramètres!$A$1:$I$89,3,0)*VLOOKUP('Données projet'!$B$10,Paramètres!$A$1:$I$89,5,0)</f>
        <v>91.24636114285714</v>
      </c>
      <c r="AK49" s="13">
        <f t="shared" si="35"/>
        <v>24.865576257283283</v>
      </c>
      <c r="AL49" s="20">
        <f t="shared" si="4"/>
        <v>202.22829097191121</v>
      </c>
      <c r="AM49" s="59">
        <f t="shared" si="5"/>
        <v>452.23433334237728</v>
      </c>
      <c r="AN49" s="59">
        <f ca="1">AVERAGE(OFFSET($AM$3,0,0,'Données projet'!$E$10+1,1))-AVERAGE(OFFSET($H$3,0,0,'Données projet'!$E$10+1,1))</f>
        <v>401.19166052471473</v>
      </c>
      <c r="AO49" s="59">
        <f t="shared" si="36"/>
        <v>271.10067497534271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4.6073708254377115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4.6073708254377115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159.74049000000011</v>
      </c>
      <c r="BF49" s="13">
        <f t="shared" si="37"/>
        <v>40.783976673134042</v>
      </c>
      <c r="BG49" s="20">
        <f t="shared" si="7"/>
        <v>349.24677945570858</v>
      </c>
      <c r="BH49" s="59">
        <f t="shared" si="8"/>
        <v>599.25282182617468</v>
      </c>
      <c r="BI49" s="59">
        <f ca="1">AVERAGE(OFFSET($BH$3,0,0,'Données projet'!$E$11+1,1))-AVERAGE(OFFSET($H$3,0,0,'Données projet'!$E$11+1,1))</f>
        <v>695.93700574708214</v>
      </c>
      <c r="BJ49" s="59">
        <f t="shared" si="38"/>
        <v>318.31690229208471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5.7723893124395271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5.7723893124395271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5.8</v>
      </c>
      <c r="BY49" s="12">
        <f>IF('Données projet'!$A$114&gt;35,BY48+BX49-CG48,IF(A49&lt;'Données projet'!$A$114,$BV$205^A49,IF(A49='Données projet'!$A$114,'Données projet'!$B$114,BY48+BX49-CG48)))</f>
        <v>160.80000000000001</v>
      </c>
      <c r="BZ49" s="13">
        <f>BY49*VLOOKUP('Données projet'!$B$12,Paramètres!$A$1:$I$89,3,0)*VLOOKUP('Données projet'!$B$12,Paramètres!$A$1:$I$89,5,0)</f>
        <v>105.35616</v>
      </c>
      <c r="CA49" s="13">
        <f t="shared" si="39"/>
        <v>28.234128165723941</v>
      </c>
      <c r="CB49" s="20">
        <f t="shared" si="10"/>
        <v>232.66975188863583</v>
      </c>
      <c r="CC49" s="59">
        <f t="shared" si="11"/>
        <v>482.67579425910191</v>
      </c>
      <c r="CD49" s="59">
        <f ca="1">AVERAGE(OFFSET($CC$3,0,0,'Données projet'!$E$12+1,1))-AVERAGE(OFFSET($H$3,0,0,'Données projet'!$E$12+1,1))</f>
        <v>260.25859566735949</v>
      </c>
      <c r="CE49" s="59">
        <f t="shared" si="40"/>
        <v>256.93649773468667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2.0152667209651427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2.0152667209651427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5.8</v>
      </c>
      <c r="CT49" s="12">
        <f>IF('Données projet'!$A$140&gt;35,CT48+CS49-DB48,IF(A49&lt;'Données projet'!$A$140,$CQ$205^A49,IF(A49='Données projet'!$A$140,'Données projet'!$B$140,CT48+CS49-DB48)))</f>
        <v>160.80000000000001</v>
      </c>
      <c r="CU49" s="17">
        <f>CT49*VLOOKUP('Données projet'!$B$13,Paramètres!$A$1:$I$89,3,0)*VLOOKUP('Données projet'!$B$13,Paramètres!$A$1:$I$89,5,0)</f>
        <v>105.35616</v>
      </c>
      <c r="CV49" s="13">
        <f t="shared" si="41"/>
        <v>28.234128165723941</v>
      </c>
      <c r="CW49" s="20">
        <f t="shared" si="13"/>
        <v>232.66975188863583</v>
      </c>
      <c r="CX49" s="59">
        <f t="shared" si="14"/>
        <v>482.67579425910191</v>
      </c>
      <c r="CY49" s="59">
        <f ca="1">AVERAGE(OFFSET($CX$3,0,0,'Données projet'!$E$13+1,1))-AVERAGE(OFFSET($H$3,0,0,'Données projet'!$E$13+1,1))</f>
        <v>260.25859566735949</v>
      </c>
      <c r="CZ49" s="59">
        <f t="shared" si="42"/>
        <v>256.93649773468667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2.0152667209651427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2.0152667209651427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9.8737500000000011</v>
      </c>
      <c r="DO49" s="12">
        <f>IF('Données projet'!$A$166&gt;35,DO48+DN49-DW48,IF(A49&lt;'Données projet'!$A$166,$DL$205^A49,IF(A49='Données projet'!$A$166,'Données projet'!$B$166,DO48+DN49-DW48)))</f>
        <v>240.00249999999997</v>
      </c>
      <c r="DP49" s="17">
        <f>DO49*VLOOKUP('Données projet'!$B$14,Paramètres!$A$1:$I$89,3,0)*VLOOKUP('Données projet'!$B$14,Paramètres!$A$1:$I$89,5,0)</f>
        <v>137.28143</v>
      </c>
      <c r="DQ49" s="13">
        <f t="shared" si="43"/>
        <v>35.673510303586696</v>
      </c>
      <c r="DR49" s="20">
        <f t="shared" si="16"/>
        <v>301.22985436208018</v>
      </c>
      <c r="DS49" s="59">
        <f t="shared" si="17"/>
        <v>551.23589673254628</v>
      </c>
      <c r="DT49" s="59">
        <f ca="1">AVERAGE(OFFSET($DS$3,0,0,'Données projet'!$E$14+1,1))-AVERAGE(OFFSET($H$3,0,0,'Données projet'!$E$14+1,1))</f>
        <v>349.56396446903</v>
      </c>
      <c r="DU49" s="59">
        <f t="shared" si="44"/>
        <v>270.64279448634522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40.333510578289982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40.333510578289982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15.725555555555552</v>
      </c>
      <c r="EJ49" s="12">
        <f>IF('Données projet'!$A$192&gt;35,EJ48+EI49-ER48,IF(A49&lt;'Données projet'!$A$192,$EG$205^A49,IF(A49='Données projet'!$A$192,'Données projet'!$B$192,EJ48+EI49-ER48)))</f>
        <v>307.03777777777793</v>
      </c>
      <c r="EK49" s="17">
        <f>EJ49*VLOOKUP('Données projet'!$B$15,Paramètres!$A$1:$I$89,3,0)*VLOOKUP('Données projet'!$B$15,Paramètres!$A$1:$I$89,5,0)</f>
        <v>183.60859111111122</v>
      </c>
      <c r="EL49" s="13">
        <f t="shared" si="45"/>
        <v>46.124101377958297</v>
      </c>
      <c r="EM49" s="20">
        <f t="shared" si="19"/>
        <v>400.11777275179605</v>
      </c>
      <c r="EN49" s="59">
        <f t="shared" si="20"/>
        <v>650.12381512226216</v>
      </c>
      <c r="EO49" s="59">
        <f ca="1">AVERAGE(OFFSET($EN$3,0,0,'Données projet'!$E$15+1,1))-AVERAGE(OFFSET($H$3,0,0,'Données projet'!$E$15+1,1))</f>
        <v>375.89365709113105</v>
      </c>
      <c r="EP49" s="59">
        <f t="shared" si="46"/>
        <v>279.39056561403834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13.259959235746663</v>
      </c>
      <c r="EW49" s="21">
        <f>EXP(-LN(2)/25)*EW48+(1-EXP(-LN(2)/25))/(LN(2)/25)*Calculateur!ER49*Calculateur!ET49*VLOOKUP('Données projet'!$B$15,Paramètres!$A$1:$I$89,3,0)*0.475*44/12</f>
        <v>31.433552816502608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44.693512052249275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14.64374999999999</v>
      </c>
      <c r="FE49" s="12">
        <f>IF('Données projet'!$A$218&gt;35,FE48+FD49-FM48,IF(A49&lt;'Données projet'!$A$218,$FB$205^A49,IF(A49='Données projet'!$A$218,'Données projet'!$B$218,FE48+FD49-FM48)))</f>
        <v>318.72749999999991</v>
      </c>
      <c r="FF49" s="17">
        <f>FE49*VLOOKUP('Données projet'!$B$16,Paramètres!$A$1:$I$89,3,0)*VLOOKUP('Données projet'!$B$16,Paramètres!$A$1:$I$89,5,0)</f>
        <v>190.59904499999996</v>
      </c>
      <c r="FG49" s="13">
        <f t="shared" si="47"/>
        <v>47.672368921426973</v>
      </c>
      <c r="FH49" s="20">
        <f t="shared" si="22"/>
        <v>414.98937924648521</v>
      </c>
      <c r="FI49" s="59">
        <f t="shared" si="23"/>
        <v>664.99542161695126</v>
      </c>
      <c r="FJ49" s="59">
        <f ca="1">AVERAGE(OFFSET($FI$3,0,0,'Données projet'!$E$16+1,1))-AVERAGE(OFFSET($H$3,0,0,'Données projet'!$E$16+1,1))</f>
        <v>319.29539841078537</v>
      </c>
      <c r="FK49" s="59">
        <f t="shared" si="48"/>
        <v>327.26871144121412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17.402843450229891</v>
      </c>
      <c r="FR49" s="21">
        <f>EXP(-LN(2)/25)*FR48+(1-EXP(-LN(2)/25))/(LN(2)/25)*Calculateur!FM49*Calculateur!FO49*VLOOKUP('Données projet'!$B$16,Paramètres!$A$1:$I$89,3,0)*0.475*44/12</f>
        <v>48.222821157767314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65.625664607997209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27.068333333333328</v>
      </c>
      <c r="FZ49" s="12">
        <f>IF('Données projet'!$A$244&gt;35,FZ48+FY49-GH48,IF(A49&lt;'Données projet'!$A$244,$FW$205^A49,IF(A49='Données projet'!$A$244,'Données projet'!$B$244,FZ48+FY49-GH48)))</f>
        <v>600.91333333333318</v>
      </c>
      <c r="GA49" s="17">
        <f>FZ49*VLOOKUP('Données projet'!$B$17,Paramètres!$A$1:$I$89,3,0)*VLOOKUP('Données projet'!$B$17,Paramètres!$A$1:$I$89,5,0)</f>
        <v>265.6036933333333</v>
      </c>
      <c r="GB49" s="13">
        <f t="shared" si="49"/>
        <v>63.915372491057781</v>
      </c>
      <c r="GC49" s="20">
        <f t="shared" si="25"/>
        <v>573.91237297748114</v>
      </c>
      <c r="GD49" s="59">
        <f t="shared" si="26"/>
        <v>823.91841534794719</v>
      </c>
      <c r="GE49" s="59">
        <f ca="1">AVERAGE(OFFSET($GD$3,0,0,'Données projet'!$E$17+1,1))-AVERAGE(OFFSET($H$3,0,0,'Données projet'!$E$17+1,1))</f>
        <v>342.89128067483233</v>
      </c>
      <c r="GF49" s="59">
        <f t="shared" si="50"/>
        <v>453.47615302202996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13.592920117921972</v>
      </c>
      <c r="GM49" s="21">
        <f>EXP(-LN(2)/25)*GM48+(1-EXP(-LN(2)/25))/(LN(2)/25)*Calculateur!GH49*Calculateur!GJ49*VLOOKUP('Données projet'!$B$17,Paramètres!$A$1:$I$89,3,0)*0.475*44/12</f>
        <v>70.74113355396149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84.334053671883467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58.18346610103621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15.725555555555552</v>
      </c>
      <c r="GU49" s="12">
        <f>IF('Données projet'!$A$270&gt;35,GU48+GT49-HC48,IF(A49&lt;'Données projet'!$A$270,$GR$205^A49,IF(A49='Données projet'!$A$270,'Données projet'!$B$270,GU48+GT49-HC48)))</f>
        <v>307.03777777777793</v>
      </c>
      <c r="GV49" s="17">
        <f>GU49*VLOOKUP('Données projet'!$B$18,Paramètres!$A$1:$I$89,3,0)*VLOOKUP('Données projet'!$B$18,Paramètres!$A$1:$I$89,5,0)</f>
        <v>183.60859111111122</v>
      </c>
      <c r="GW49" s="13">
        <f t="shared" si="51"/>
        <v>46.124101377958297</v>
      </c>
      <c r="GX49" s="20">
        <f t="shared" si="28"/>
        <v>400.11777275179605</v>
      </c>
      <c r="GY49" s="59">
        <f t="shared" si="29"/>
        <v>650.12381512226216</v>
      </c>
      <c r="GZ49" s="59">
        <f ca="1">AVERAGE(OFFSET($GY$3,0,0,'Données projet'!$E$18+1,1))-AVERAGE(OFFSET($H$3,0,0,'Données projet'!$E$18+1,1))</f>
        <v>375.89365709113105</v>
      </c>
      <c r="HA49" s="59">
        <f t="shared" si="52"/>
        <v>279.39056561403834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13.259959235746663</v>
      </c>
      <c r="HH49" s="21">
        <f>EXP(-LN(2)/25)*HH48+(1-EXP(-LN(2)/25))/(LN(2)/25)*Calculateur!HC49*Calculateur!HE49*VLOOKUP('Données projet'!$B$18,Paramètres!$A$1:$I$89,3,0)*0.475*44/12</f>
        <v>31.433552816502608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44.693512052249275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178.09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151.01677500000011</v>
      </c>
      <c r="P50" s="13">
        <f t="shared" si="33"/>
        <v>38.809560459830927</v>
      </c>
      <c r="Q50" s="20">
        <f t="shared" si="53"/>
        <v>330.61420092587235</v>
      </c>
      <c r="R50" s="59">
        <f t="shared" si="0"/>
        <v>581.37187492923317</v>
      </c>
      <c r="S50" s="59">
        <f ca="1">AVERAGE(OFFSET($R$3,0,0,'Données projet'!$E$9+1,1))-AVERAGE(OFFSET($H$3,0,0,'Données projet'!$E$9+1,1))</f>
        <v>631.31712308065664</v>
      </c>
      <c r="T50" s="59">
        <f t="shared" si="34"/>
        <v>290.92244624361285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5.0497443718812338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5.0497443718812338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8.9771428571428569</v>
      </c>
      <c r="AI50" s="13">
        <f>IF('Données projet'!$A$62&gt;35,AI49+AH50-AQ49,IF(A50&lt;'Données projet'!$A$62,$AF$205^A50,IF(A50='Données projet'!$A$62,'Données projet'!$B$62,AI49+AH50-AQ49)))</f>
        <v>117.29428571428569</v>
      </c>
      <c r="AJ50" s="13">
        <f>AI50*VLOOKUP('Données projet'!$B$10,Paramètres!$A$1:$I$89,3,0)*VLOOKUP('Données projet'!$B$10,Paramètres!$A$1:$I$89,5,0)</f>
        <v>98.80870628571428</v>
      </c>
      <c r="AK50" s="13">
        <f t="shared" si="35"/>
        <v>26.677990596244378</v>
      </c>
      <c r="AL50" s="20">
        <f t="shared" si="4"/>
        <v>218.55599706941132</v>
      </c>
      <c r="AM50" s="59">
        <f t="shared" si="5"/>
        <v>469.31367107277208</v>
      </c>
      <c r="AN50" s="59">
        <f ca="1">AVERAGE(OFFSET($AM$3,0,0,'Données projet'!$E$10+1,1))-AVERAGE(OFFSET($H$3,0,0,'Données projet'!$E$10+1,1))</f>
        <v>401.19166052471473</v>
      </c>
      <c r="AO50" s="59">
        <f t="shared" si="36"/>
        <v>271.10067497534271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4.5170230937695957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4.5170230937695957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169.24293750000012</v>
      </c>
      <c r="BF50" s="13">
        <f t="shared" si="37"/>
        <v>42.920422750313541</v>
      </c>
      <c r="BG50" s="20">
        <f t="shared" si="7"/>
        <v>369.51785243596299</v>
      </c>
      <c r="BH50" s="59">
        <f t="shared" si="8"/>
        <v>620.27552643932381</v>
      </c>
      <c r="BI50" s="59">
        <f ca="1">AVERAGE(OFFSET($BH$3,0,0,'Données projet'!$E$11+1,1))-AVERAGE(OFFSET($H$3,0,0,'Données projet'!$E$11+1,1))</f>
        <v>695.93700574708214</v>
      </c>
      <c r="BJ50" s="59">
        <f t="shared" si="38"/>
        <v>318.31690229208471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5.6591962788324173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5.6591962788324173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5.8</v>
      </c>
      <c r="BY50" s="12">
        <f>IF('Données projet'!$A$114&gt;35,BY49+BX50-CG49,IF(A50&lt;'Données projet'!$A$114,$BV$205^A50,IF(A50='Données projet'!$A$114,'Données projet'!$B$114,BY49+BX50-CG49)))</f>
        <v>166.60000000000002</v>
      </c>
      <c r="BZ50" s="13">
        <f>BY50*VLOOKUP('Données projet'!$B$12,Paramètres!$A$1:$I$89,3,0)*VLOOKUP('Données projet'!$B$12,Paramètres!$A$1:$I$89,5,0)</f>
        <v>109.15632000000002</v>
      </c>
      <c r="CA50" s="13">
        <f t="shared" si="39"/>
        <v>29.13211799879036</v>
      </c>
      <c r="CB50" s="20">
        <f t="shared" si="10"/>
        <v>240.85236284789323</v>
      </c>
      <c r="CC50" s="59">
        <f t="shared" si="11"/>
        <v>491.61003685125399</v>
      </c>
      <c r="CD50" s="59">
        <f ca="1">AVERAGE(OFFSET($CC$3,0,0,'Données projet'!$E$12+1,1))-AVERAGE(OFFSET($H$3,0,0,'Données projet'!$E$12+1,1))</f>
        <v>260.25859566735949</v>
      </c>
      <c r="CE50" s="59">
        <f t="shared" si="40"/>
        <v>256.93649773468667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1.9757485697583435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1.9757485697583435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5.8</v>
      </c>
      <c r="CT50" s="12">
        <f>IF('Données projet'!$A$140&gt;35,CT49+CS50-DB49,IF(A50&lt;'Données projet'!$A$140,$CQ$205^A50,IF(A50='Données projet'!$A$140,'Données projet'!$B$140,CT49+CS50-DB49)))</f>
        <v>166.60000000000002</v>
      </c>
      <c r="CU50" s="17">
        <f>CT50*VLOOKUP('Données projet'!$B$13,Paramètres!$A$1:$I$89,3,0)*VLOOKUP('Données projet'!$B$13,Paramètres!$A$1:$I$89,5,0)</f>
        <v>109.15632000000002</v>
      </c>
      <c r="CV50" s="13">
        <f t="shared" si="41"/>
        <v>29.13211799879036</v>
      </c>
      <c r="CW50" s="20">
        <f t="shared" si="13"/>
        <v>240.85236284789323</v>
      </c>
      <c r="CX50" s="59">
        <f t="shared" si="14"/>
        <v>491.61003685125399</v>
      </c>
      <c r="CY50" s="59">
        <f ca="1">AVERAGE(OFFSET($CX$3,0,0,'Données projet'!$E$13+1,1))-AVERAGE(OFFSET($H$3,0,0,'Données projet'!$E$13+1,1))</f>
        <v>260.25859566735949</v>
      </c>
      <c r="CZ50" s="59">
        <f t="shared" si="42"/>
        <v>256.93649773468667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1.9757485697583435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1.9757485697583435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9.8737500000000011</v>
      </c>
      <c r="DO50" s="12">
        <f>IF('Données projet'!$A$166&gt;35,DO49+DN50-DW49,IF(A50&lt;'Données projet'!$A$166,$DL$205^A50,IF(A50='Données projet'!$A$166,'Données projet'!$B$166,DO49+DN50-DW49)))</f>
        <v>249.87624999999997</v>
      </c>
      <c r="DP50" s="17">
        <f>DO50*VLOOKUP('Données projet'!$B$14,Paramètres!$A$1:$I$89,3,0)*VLOOKUP('Données projet'!$B$14,Paramètres!$A$1:$I$89,5,0)</f>
        <v>142.92921499999997</v>
      </c>
      <c r="DQ50" s="13">
        <f t="shared" si="43"/>
        <v>36.967236671985276</v>
      </c>
      <c r="DR50" s="20">
        <f t="shared" si="16"/>
        <v>313.3196533287076</v>
      </c>
      <c r="DS50" s="59">
        <f t="shared" si="17"/>
        <v>564.07732733206831</v>
      </c>
      <c r="DT50" s="59">
        <f ca="1">AVERAGE(OFFSET($DS$3,0,0,'Données projet'!$E$14+1,1))-AVERAGE(OFFSET($H$3,0,0,'Données projet'!$E$14+1,1))</f>
        <v>349.56396446903</v>
      </c>
      <c r="DU50" s="59">
        <f t="shared" si="44"/>
        <v>270.64279448634522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39.230588610479501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39.230588610479501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15.725555555555552</v>
      </c>
      <c r="EJ50" s="12">
        <f>IF('Données projet'!$A$192&gt;35,EJ49+EI50-ER49,IF(A50&lt;'Données projet'!$A$192,$EG$205^A50,IF(A50='Données projet'!$A$192,'Données projet'!$B$192,EJ49+EI50-ER49)))</f>
        <v>322.76333333333349</v>
      </c>
      <c r="EK50" s="17">
        <f>EJ50*VLOOKUP('Données projet'!$B$15,Paramètres!$A$1:$I$89,3,0)*VLOOKUP('Données projet'!$B$15,Paramètres!$A$1:$I$89,5,0)</f>
        <v>193.01247333333347</v>
      </c>
      <c r="EL50" s="13">
        <f t="shared" si="45"/>
        <v>48.205356952003704</v>
      </c>
      <c r="EM50" s="20">
        <f t="shared" si="19"/>
        <v>420.12105441362888</v>
      </c>
      <c r="EN50" s="59">
        <f t="shared" si="20"/>
        <v>670.87872841698959</v>
      </c>
      <c r="EO50" s="59">
        <f ca="1">AVERAGE(OFFSET($EN$3,0,0,'Données projet'!$E$15+1,1))-AVERAGE(OFFSET($H$3,0,0,'Données projet'!$E$15+1,1))</f>
        <v>375.89365709113105</v>
      </c>
      <c r="EP50" s="59">
        <f t="shared" si="46"/>
        <v>279.39056561403834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12.999939522910203</v>
      </c>
      <c r="EW50" s="21">
        <f>EXP(-LN(2)/25)*EW49+(1-EXP(-LN(2)/25))/(LN(2)/25)*Calculateur!ER50*Calculateur!ET50*VLOOKUP('Données projet'!$B$15,Paramètres!$A$1:$I$89,3,0)*0.475*44/12</f>
        <v>30.574000661716646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43.573940184626849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14.64374999999999</v>
      </c>
      <c r="FE50" s="12">
        <f>IF('Données projet'!$A$218&gt;35,FE49+FD50-FM49,IF(A50&lt;'Données projet'!$A$218,$FB$205^A50,IF(A50='Données projet'!$A$218,'Données projet'!$B$218,FE49+FD50-FM49)))</f>
        <v>333.37124999999992</v>
      </c>
      <c r="FF50" s="17">
        <f>FE50*VLOOKUP('Données projet'!$B$16,Paramètres!$A$1:$I$89,3,0)*VLOOKUP('Données projet'!$B$16,Paramètres!$A$1:$I$89,5,0)</f>
        <v>199.35600749999998</v>
      </c>
      <c r="FG50" s="13">
        <f t="shared" si="47"/>
        <v>49.602611110771242</v>
      </c>
      <c r="FH50" s="20">
        <f t="shared" si="22"/>
        <v>433.6029274137598</v>
      </c>
      <c r="FI50" s="59">
        <f t="shared" si="23"/>
        <v>684.36060141712051</v>
      </c>
      <c r="FJ50" s="59">
        <f ca="1">AVERAGE(OFFSET($FI$3,0,0,'Données projet'!$E$16+1,1))-AVERAGE(OFFSET($H$3,0,0,'Données projet'!$E$16+1,1))</f>
        <v>319.29539841078537</v>
      </c>
      <c r="FK50" s="59">
        <f t="shared" si="48"/>
        <v>327.26871144121412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17.061584304857274</v>
      </c>
      <c r="FR50" s="21">
        <f>EXP(-LN(2)/25)*FR49+(1-EXP(-LN(2)/25))/(LN(2)/25)*Calculateur!FM50*Calculateur!FO50*VLOOKUP('Données projet'!$B$16,Paramètres!$A$1:$I$89,3,0)*0.475*44/12</f>
        <v>46.904165577280217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63.965749882137487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27.068333333333328</v>
      </c>
      <c r="FZ50" s="12">
        <f>IF('Données projet'!$A$244&gt;35,FZ49+FY50-GH49,IF(A50&lt;'Données projet'!$A$244,$FW$205^A50,IF(A50='Données projet'!$A$244,'Données projet'!$B$244,FZ49+FY50-GH49)))</f>
        <v>627.98166666666657</v>
      </c>
      <c r="GA50" s="17">
        <f>FZ50*VLOOKUP('Données projet'!$B$17,Paramètres!$A$1:$I$89,3,0)*VLOOKUP('Données projet'!$B$17,Paramètres!$A$1:$I$89,5,0)</f>
        <v>277.56789666666663</v>
      </c>
      <c r="GB50" s="13">
        <f t="shared" si="49"/>
        <v>66.452774859358669</v>
      </c>
      <c r="GC50" s="20">
        <f t="shared" si="25"/>
        <v>599.16933624116075</v>
      </c>
      <c r="GD50" s="59">
        <f t="shared" si="26"/>
        <v>849.92701024452151</v>
      </c>
      <c r="GE50" s="59">
        <f ca="1">AVERAGE(OFFSET($GD$3,0,0,'Données projet'!$E$17+1,1))-AVERAGE(OFFSET($H$3,0,0,'Données projet'!$E$17+1,1))</f>
        <v>342.89128067483233</v>
      </c>
      <c r="GF50" s="59">
        <f t="shared" si="50"/>
        <v>453.47615302202996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13.326371245272139</v>
      </c>
      <c r="GM50" s="21">
        <f>EXP(-LN(2)/25)*GM49+(1-EXP(-LN(2)/25))/(LN(2)/25)*Calculateur!GH50*Calculateur!GJ50*VLOOKUP('Données projet'!$B$17,Paramètres!$A$1:$I$89,3,0)*0.475*44/12</f>
        <v>68.806713536813874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82.133084782086016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58.38845654637111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15.725555555555552</v>
      </c>
      <c r="GU50" s="12">
        <f>IF('Données projet'!$A$270&gt;35,GU49+GT50-HC49,IF(A50&lt;'Données projet'!$A$270,$GR$205^A50,IF(A50='Données projet'!$A$270,'Données projet'!$B$270,GU49+GT50-HC49)))</f>
        <v>322.76333333333349</v>
      </c>
      <c r="GV50" s="17">
        <f>GU50*VLOOKUP('Données projet'!$B$18,Paramètres!$A$1:$I$89,3,0)*VLOOKUP('Données projet'!$B$18,Paramètres!$A$1:$I$89,5,0)</f>
        <v>193.01247333333347</v>
      </c>
      <c r="GW50" s="13">
        <f t="shared" si="51"/>
        <v>48.205356952003704</v>
      </c>
      <c r="GX50" s="20">
        <f t="shared" si="28"/>
        <v>420.12105441362888</v>
      </c>
      <c r="GY50" s="59">
        <f t="shared" si="29"/>
        <v>670.87872841698959</v>
      </c>
      <c r="GZ50" s="59">
        <f ca="1">AVERAGE(OFFSET($GY$3,0,0,'Données projet'!$E$18+1,1))-AVERAGE(OFFSET($H$3,0,0,'Données projet'!$E$18+1,1))</f>
        <v>375.89365709113105</v>
      </c>
      <c r="HA50" s="59">
        <f t="shared" si="52"/>
        <v>279.39056561403834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12.999939522910203</v>
      </c>
      <c r="HH50" s="21">
        <f>EXP(-LN(2)/25)*HH49+(1-EXP(-LN(2)/25))/(LN(2)/25)*Calculateur!HC50*Calculateur!HE50*VLOOKUP('Données projet'!$B$18,Paramètres!$A$1:$I$89,3,0)*0.475*44/12</f>
        <v>30.574000661716646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43.573940184626849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178.09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159.49588200000008</v>
      </c>
      <c r="P51" s="13">
        <f t="shared" si="33"/>
        <v>40.728789309687656</v>
      </c>
      <c r="Q51" s="20">
        <f t="shared" si="53"/>
        <v>348.72463586437283</v>
      </c>
      <c r="R51" s="59">
        <f t="shared" si="0"/>
        <v>600.22090237219413</v>
      </c>
      <c r="S51" s="59">
        <f ca="1">AVERAGE(OFFSET($R$3,0,0,'Données projet'!$E$9+1,1))-AVERAGE(OFFSET($H$3,0,0,'Données projet'!$E$9+1,1))</f>
        <v>631.31712308065664</v>
      </c>
      <c r="T51" s="59">
        <f t="shared" si="34"/>
        <v>290.92244624361285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4.9507219647885812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4.9507219647885812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8.9771428571428569</v>
      </c>
      <c r="AI51" s="13">
        <f>IF('Données projet'!$A$62&gt;35,AI50+AH51-AQ50,IF(A51&lt;'Données projet'!$A$62,$AF$205^A51,IF(A51='Données projet'!$A$62,'Données projet'!$B$62,AI50+AH51-AQ50)))</f>
        <v>126.27142857142854</v>
      </c>
      <c r="AJ51" s="13">
        <f>AI51*VLOOKUP('Données projet'!$B$10,Paramètres!$A$1:$I$89,3,0)*VLOOKUP('Données projet'!$B$10,Paramètres!$A$1:$I$89,5,0)</f>
        <v>106.37105142857141</v>
      </c>
      <c r="AK51" s="13">
        <f t="shared" si="35"/>
        <v>28.474313816998091</v>
      </c>
      <c r="AL51" s="20">
        <f t="shared" si="4"/>
        <v>234.85567780270017</v>
      </c>
      <c r="AM51" s="59">
        <f t="shared" si="5"/>
        <v>486.35194431052139</v>
      </c>
      <c r="AN51" s="59">
        <f ca="1">AVERAGE(OFFSET($AM$3,0,0,'Données projet'!$E$10+1,1))-AVERAGE(OFFSET($H$3,0,0,'Données projet'!$E$10+1,1))</f>
        <v>401.19166052471473</v>
      </c>
      <c r="AO51" s="59">
        <f t="shared" si="36"/>
        <v>271.10067497534271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4.4284470260128161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4.4284470260128161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178.74538500000011</v>
      </c>
      <c r="BF51" s="13">
        <f t="shared" si="37"/>
        <v>45.042943918150705</v>
      </c>
      <c r="BG51" s="20">
        <f t="shared" si="7"/>
        <v>389.76467286577935</v>
      </c>
      <c r="BH51" s="59">
        <f t="shared" si="8"/>
        <v>641.26093937360065</v>
      </c>
      <c r="BI51" s="59">
        <f ca="1">AVERAGE(OFFSET($BH$3,0,0,'Données projet'!$E$11+1,1))-AVERAGE(OFFSET($H$3,0,0,'Données projet'!$E$11+1,1))</f>
        <v>695.93700574708214</v>
      </c>
      <c r="BJ51" s="59">
        <f t="shared" si="38"/>
        <v>318.31690229208471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5.5482228915734098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5.5482228915734098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5.8</v>
      </c>
      <c r="BY51" s="12">
        <f>IF('Données projet'!$A$114&gt;35,BY50+BX51-CG50,IF(A51&lt;'Données projet'!$A$114,$BV$205^A51,IF(A51='Données projet'!$A$114,'Données projet'!$B$114,BY50+BX51-CG50)))</f>
        <v>172.40000000000003</v>
      </c>
      <c r="BZ51" s="13">
        <f>BY51*VLOOKUP('Données projet'!$B$12,Paramètres!$A$1:$I$89,3,0)*VLOOKUP('Données projet'!$B$12,Paramètres!$A$1:$I$89,5,0)</f>
        <v>112.95648000000003</v>
      </c>
      <c r="CA51" s="13">
        <f t="shared" si="39"/>
        <v>30.026475458997034</v>
      </c>
      <c r="CB51" s="20">
        <f t="shared" si="10"/>
        <v>249.02864742441989</v>
      </c>
      <c r="CC51" s="59">
        <f t="shared" si="11"/>
        <v>500.52491393224113</v>
      </c>
      <c r="CD51" s="59">
        <f ca="1">AVERAGE(OFFSET($CC$3,0,0,'Données projet'!$E$12+1,1))-AVERAGE(OFFSET($H$3,0,0,'Données projet'!$E$12+1,1))</f>
        <v>260.25859566735949</v>
      </c>
      <c r="CE51" s="59">
        <f t="shared" si="40"/>
        <v>256.93649773468667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1.9370053453930174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1.9370053453930174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5.8</v>
      </c>
      <c r="CT51" s="12">
        <f>IF('Données projet'!$A$140&gt;35,CT50+CS51-DB50,IF(A51&lt;'Données projet'!$A$140,$CQ$205^A51,IF(A51='Données projet'!$A$140,'Données projet'!$B$140,CT50+CS51-DB50)))</f>
        <v>172.40000000000003</v>
      </c>
      <c r="CU51" s="17">
        <f>CT51*VLOOKUP('Données projet'!$B$13,Paramètres!$A$1:$I$89,3,0)*VLOOKUP('Données projet'!$B$13,Paramètres!$A$1:$I$89,5,0)</f>
        <v>112.95648000000003</v>
      </c>
      <c r="CV51" s="13">
        <f t="shared" si="41"/>
        <v>30.026475458997034</v>
      </c>
      <c r="CW51" s="20">
        <f t="shared" si="13"/>
        <v>249.02864742441989</v>
      </c>
      <c r="CX51" s="59">
        <f t="shared" si="14"/>
        <v>500.52491393224113</v>
      </c>
      <c r="CY51" s="59">
        <f ca="1">AVERAGE(OFFSET($CX$3,0,0,'Données projet'!$E$13+1,1))-AVERAGE(OFFSET($H$3,0,0,'Données projet'!$E$13+1,1))</f>
        <v>260.25859566735949</v>
      </c>
      <c r="CZ51" s="59">
        <f t="shared" si="42"/>
        <v>256.93649773468667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1.9370053453930174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1.9370053453930174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259.75</v>
      </c>
      <c r="DM51" s="12">
        <f>VLOOKUP(A51,'Données projet'!$A$165:$I$185,9,0)</f>
        <v>9.8737500000000011</v>
      </c>
      <c r="DN51" s="12">
        <f t="array" ref="DN51">INDEX(DM:DM,MIN(IF(ISNUMBER(DM51:DM247),ROW(DM51:DM247),"")))</f>
        <v>9.8737500000000011</v>
      </c>
      <c r="DO51" s="12">
        <f>IF('Données projet'!$A$166&gt;35,DO50+DN51-DW50,IF(A51&lt;'Données projet'!$A$166,$DL$205^A51,IF(A51='Données projet'!$A$166,'Données projet'!$B$166,DO50+DN51-DW50)))</f>
        <v>259.75</v>
      </c>
      <c r="DP51" s="17">
        <f>DO51*VLOOKUP('Données projet'!$B$14,Paramètres!$A$1:$I$89,3,0)*VLOOKUP('Données projet'!$B$14,Paramètres!$A$1:$I$89,5,0)</f>
        <v>148.57700000000003</v>
      </c>
      <c r="DQ51" s="13">
        <f t="shared" si="43"/>
        <v>38.255024584220223</v>
      </c>
      <c r="DR51" s="20">
        <f t="shared" si="16"/>
        <v>325.39910948418361</v>
      </c>
      <c r="DS51" s="59">
        <f t="shared" si="17"/>
        <v>576.8953759920048</v>
      </c>
      <c r="DT51" s="59">
        <f ca="1">AVERAGE(OFFSET($DS$3,0,0,'Données projet'!$E$14+1,1))-AVERAGE(OFFSET($H$3,0,0,'Données projet'!$E$14+1,1))</f>
        <v>349.56396446903</v>
      </c>
      <c r="DU51" s="59">
        <f t="shared" si="44"/>
        <v>270.64279448634522</v>
      </c>
      <c r="DV51" s="15">
        <f>IF(ISNA(VLOOKUP(A51,'Données projet'!$A$165:$I$185,3,0)),0,VLOOKUP(A51,'Données projet'!$A$165:$I$185,3,0))</f>
        <v>4</v>
      </c>
      <c r="DW51" s="15">
        <f>IF(ISNA(VLOOKUP(A51,'Données projet'!$A$165:$I$185,4,0)),0,VLOOKUP(A51,'Données projet'!$A$165:$I$185,4,0))</f>
        <v>44.85</v>
      </c>
      <c r="DX51" s="16">
        <f>IF(ISNA(VLOOKUP(A51,'Données projet'!$A$165:$I$185,5,0)),0%,VLOOKUP(A51,'Données projet'!$A$165:$I$185,5,0)*VLOOKUP('Données projet'!$B$14,Paramètres!$A$1:$I$89,7,0))</f>
        <v>0.22500000000000001</v>
      </c>
      <c r="DY51" s="16">
        <f>IF(ISNA(VLOOKUP(A51,'Données projet'!$A$165:$I$185,6,0)),0%,VLOOKUP(A51,'Données projet'!$A$165:$I$185,6,0)*VLOOKUP('Données projet'!$B$14,Paramètres!$A$1:$I$89,7,0))</f>
        <v>0.22500000000000001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7.6571887168658366</v>
      </c>
      <c r="EB51" s="21">
        <f>EXP(-LN(2)/25)*EB50+(1-EXP(-LN(2)/25))/(LN(2)/25)*Calculateur!DW51*Calculateur!DY51*VLOOKUP('Données projet'!$B$14,Paramètres!$A$1:$I$89,3,0)*0.475*44/12</f>
        <v>45.784865549148847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53.442054266014686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15.725555555555552</v>
      </c>
      <c r="EJ51" s="12">
        <f>IF('Données projet'!$A$192&gt;35,EJ50+EI51-ER50,IF(A51&lt;'Données projet'!$A$192,$EG$205^A51,IF(A51='Données projet'!$A$192,'Données projet'!$B$192,EJ50+EI51-ER50)))</f>
        <v>338.48888888888905</v>
      </c>
      <c r="EK51" s="17">
        <f>EJ51*VLOOKUP('Données projet'!$B$15,Paramètres!$A$1:$I$89,3,0)*VLOOKUP('Données projet'!$B$15,Paramètres!$A$1:$I$89,5,0)</f>
        <v>202.41635555555567</v>
      </c>
      <c r="EL51" s="13">
        <f t="shared" si="45"/>
        <v>50.274837801805468</v>
      </c>
      <c r="EM51" s="20">
        <f t="shared" si="19"/>
        <v>440.10382843073722</v>
      </c>
      <c r="EN51" s="59">
        <f t="shared" si="20"/>
        <v>691.60009493855841</v>
      </c>
      <c r="EO51" s="59">
        <f ca="1">AVERAGE(OFFSET($EN$3,0,0,'Données projet'!$E$15+1,1))-AVERAGE(OFFSET($H$3,0,0,'Données projet'!$E$15+1,1))</f>
        <v>375.89365709113105</v>
      </c>
      <c r="EP51" s="59">
        <f t="shared" si="46"/>
        <v>279.39056561403834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12.745018638046101</v>
      </c>
      <c r="EW51" s="21">
        <f>EXP(-LN(2)/25)*EW50+(1-EXP(-LN(2)/25))/(LN(2)/25)*Calculateur!ER51*Calculateur!ET51*VLOOKUP('Données projet'!$B$15,Paramètres!$A$1:$I$89,3,0)*0.475*44/12</f>
        <v>29.737953005805188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42.482971643851286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14.64374999999999</v>
      </c>
      <c r="FE51" s="12">
        <f>IF('Données projet'!$A$218&gt;35,FE50+FD51-FM50,IF(A51&lt;'Données projet'!$A$218,$FB$205^A51,IF(A51='Données projet'!$A$218,'Données projet'!$B$218,FE50+FD51-FM50)))</f>
        <v>348.01499999999993</v>
      </c>
      <c r="FF51" s="17">
        <f>FE51*VLOOKUP('Données projet'!$B$16,Paramètres!$A$1:$I$89,3,0)*VLOOKUP('Données projet'!$B$16,Paramètres!$A$1:$I$89,5,0)</f>
        <v>208.11296999999999</v>
      </c>
      <c r="FG51" s="13">
        <f t="shared" si="47"/>
        <v>51.52300578513217</v>
      </c>
      <c r="FH51" s="20">
        <f t="shared" si="22"/>
        <v>452.19932449243839</v>
      </c>
      <c r="FI51" s="59">
        <f t="shared" si="23"/>
        <v>703.69559100025958</v>
      </c>
      <c r="FJ51" s="59">
        <f ca="1">AVERAGE(OFFSET($FI$3,0,0,'Données projet'!$E$16+1,1))-AVERAGE(OFFSET($H$3,0,0,'Données projet'!$E$16+1,1))</f>
        <v>319.29539841078537</v>
      </c>
      <c r="FK51" s="59">
        <f t="shared" si="48"/>
        <v>327.26871144121412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16.727017043177888</v>
      </c>
      <c r="FR51" s="21">
        <f>EXP(-LN(2)/25)*FR50+(1-EXP(-LN(2)/25))/(LN(2)/25)*Calculateur!FM51*Calculateur!FO51*VLOOKUP('Données projet'!$B$16,Paramètres!$A$1:$I$89,3,0)*0.475*44/12</f>
        <v>45.621568702986622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62.34858574616451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>
        <f>VLOOKUP(A51,'Données projet'!$A$243:$I$263,2,0)</f>
        <v>655.04999999999995</v>
      </c>
      <c r="FX51" s="12">
        <f>VLOOKUP(A51,'Données projet'!$A$243:$I$263,9,0)</f>
        <v>27.068333333333328</v>
      </c>
      <c r="FY51" s="12">
        <f t="array" ref="FY51">INDEX(FX:FX,MIN(IF(ISNUMBER(FX51:FX247),ROW(FX51:FX247),"")))</f>
        <v>27.068333333333328</v>
      </c>
      <c r="FZ51" s="12">
        <f>IF('Données projet'!$A$244&gt;35,FZ50+FY51-GH50,IF(A51&lt;'Données projet'!$A$244,$FW$205^A51,IF(A51='Données projet'!$A$244,'Données projet'!$B$244,FZ50+FY51-GH50)))</f>
        <v>655.04999999999995</v>
      </c>
      <c r="GA51" s="17">
        <f>FZ51*VLOOKUP('Données projet'!$B$17,Paramètres!$A$1:$I$89,3,0)*VLOOKUP('Données projet'!$B$17,Paramètres!$A$1:$I$89,5,0)</f>
        <v>289.53210000000001</v>
      </c>
      <c r="GB51" s="13">
        <f t="shared" si="49"/>
        <v>68.977474122894989</v>
      </c>
      <c r="GC51" s="20">
        <f t="shared" si="25"/>
        <v>624.40417493070879</v>
      </c>
      <c r="GD51" s="59">
        <f t="shared" si="26"/>
        <v>875.90044143853004</v>
      </c>
      <c r="GE51" s="59">
        <f ca="1">AVERAGE(OFFSET($GD$3,0,0,'Données projet'!$E$17+1,1))-AVERAGE(OFFSET($H$3,0,0,'Données projet'!$E$17+1,1))</f>
        <v>342.89128067483233</v>
      </c>
      <c r="GF51" s="59">
        <f t="shared" si="50"/>
        <v>453.47615302202996</v>
      </c>
      <c r="GG51" s="15">
        <f>IF(ISNA(VLOOKUP(A51,'Données projet'!$A$243:$I$263,3,0)),0,VLOOKUP(A51,'Données projet'!$A$243:$I$263,3,0))</f>
        <v>6</v>
      </c>
      <c r="GH51" s="15">
        <f>IF(ISNA(VLOOKUP(A51,'Données projet'!$A$243:$I$263,4,0)),0,VLOOKUP(A51,'Données projet'!$A$243:$I$263,4,0))</f>
        <v>101.34</v>
      </c>
      <c r="GI51" s="16">
        <f>IF(ISNA(VLOOKUP(A51,'Données projet'!$A$243:$I$263,5,0)),0%,VLOOKUP(A51,'Données projet'!$A$243:$I$263,5,0)*VLOOKUP('Données projet'!$B$17,Paramètres!$A$1:$I$89,7,0))</f>
        <v>0.27500000000000002</v>
      </c>
      <c r="GJ51" s="16">
        <f>IF(ISNA(VLOOKUP(A51,'Données projet'!$A$243:$I$263,6,0)),0%,VLOOKUP(A51,'Données projet'!$A$243:$I$263,6,0)*VLOOKUP('Données projet'!$B$17,Paramètres!$A$1:$I$89,7,0))</f>
        <v>0.27500000000000002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29.405507028112446</v>
      </c>
      <c r="GM51" s="21">
        <f>EXP(-LN(2)/25)*GM50+(1-EXP(-LN(2)/25))/(LN(2)/25)*Calculateur!GH51*Calculateur!GJ51*VLOOKUP('Données projet'!$B$17,Paramètres!$A$1:$I$89,3,0)*0.475*44/12</f>
        <v>83.201309522897944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112.60681655101038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58.589890865769426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15.725555555555552</v>
      </c>
      <c r="GU51" s="12">
        <f>IF('Données projet'!$A$270&gt;35,GU50+GT51-HC50,IF(A51&lt;'Données projet'!$A$270,$GR$205^A51,IF(A51='Données projet'!$A$270,'Données projet'!$B$270,GU50+GT51-HC50)))</f>
        <v>338.48888888888905</v>
      </c>
      <c r="GV51" s="17">
        <f>GU51*VLOOKUP('Données projet'!$B$18,Paramètres!$A$1:$I$89,3,0)*VLOOKUP('Données projet'!$B$18,Paramètres!$A$1:$I$89,5,0)</f>
        <v>202.41635555555567</v>
      </c>
      <c r="GW51" s="13">
        <f t="shared" si="51"/>
        <v>50.274837801805468</v>
      </c>
      <c r="GX51" s="20">
        <f t="shared" si="28"/>
        <v>440.10382843073722</v>
      </c>
      <c r="GY51" s="59">
        <f t="shared" si="29"/>
        <v>691.60009493855841</v>
      </c>
      <c r="GZ51" s="59">
        <f ca="1">AVERAGE(OFFSET($GY$3,0,0,'Données projet'!$E$18+1,1))-AVERAGE(OFFSET($H$3,0,0,'Données projet'!$E$18+1,1))</f>
        <v>375.89365709113105</v>
      </c>
      <c r="HA51" s="59">
        <f t="shared" si="52"/>
        <v>279.39056561403834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12.745018638046101</v>
      </c>
      <c r="HH51" s="21">
        <f>EXP(-LN(2)/25)*HH50+(1-EXP(-LN(2)/25))/(LN(2)/25)*Calculateur!HC51*Calculateur!HE51*VLOOKUP('Données projet'!$B$18,Paramètres!$A$1:$I$89,3,0)*0.475*44/12</f>
        <v>29.737953005805188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42.482971643851286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178.09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167.97498900000011</v>
      </c>
      <c r="P52" s="13">
        <f t="shared" si="33"/>
        <v>42.636172660412917</v>
      </c>
      <c r="Q52" s="20">
        <f t="shared" si="53"/>
        <v>366.81443989188602</v>
      </c>
      <c r="R52" s="59">
        <f t="shared" si="0"/>
        <v>619.03648597546078</v>
      </c>
      <c r="S52" s="59">
        <f ca="1">AVERAGE(OFFSET($R$3,0,0,'Données projet'!$E$9+1,1))-AVERAGE(OFFSET($H$3,0,0,'Données projet'!$E$9+1,1))</f>
        <v>631.31712308065664</v>
      </c>
      <c r="T52" s="59">
        <f t="shared" si="34"/>
        <v>290.92244624361285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4.853641326701311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4.853641326701311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8.9771428571428569</v>
      </c>
      <c r="AI52" s="13">
        <f>IF('Données projet'!$A$62&gt;35,AI51+AH52-AQ51,IF(A52&lt;'Données projet'!$A$62,$AF$205^A52,IF(A52='Données projet'!$A$62,'Données projet'!$B$62,AI51+AH52-AQ51)))</f>
        <v>135.24857142857141</v>
      </c>
      <c r="AJ52" s="13">
        <f>AI52*VLOOKUP('Données projet'!$B$10,Paramètres!$A$1:$I$89,3,0)*VLOOKUP('Données projet'!$B$10,Paramètres!$A$1:$I$89,5,0)</f>
        <v>113.93339657142857</v>
      </c>
      <c r="AK52" s="13">
        <f t="shared" si="35"/>
        <v>30.255820014498838</v>
      </c>
      <c r="AL52" s="20">
        <f t="shared" si="4"/>
        <v>251.12955222049018</v>
      </c>
      <c r="AM52" s="59">
        <f t="shared" si="5"/>
        <v>503.35159830406496</v>
      </c>
      <c r="AN52" s="59">
        <f ca="1">AVERAGE(OFFSET($AM$3,0,0,'Données projet'!$E$10+1,1))-AVERAGE(OFFSET($H$3,0,0,'Données projet'!$E$10+1,1))</f>
        <v>401.19166052471473</v>
      </c>
      <c r="AO52" s="59">
        <f t="shared" si="36"/>
        <v>271.10067497534271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4.3416078809186809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4.3416078809186809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188.24783250000013</v>
      </c>
      <c r="BF52" s="13">
        <f t="shared" si="37"/>
        <v>47.152364864692288</v>
      </c>
      <c r="BG52" s="20">
        <f t="shared" si="7"/>
        <v>409.98867707683922</v>
      </c>
      <c r="BH52" s="59">
        <f t="shared" si="8"/>
        <v>662.21072316041398</v>
      </c>
      <c r="BI52" s="59">
        <f ca="1">AVERAGE(OFFSET($BH$3,0,0,'Données projet'!$E$11+1,1))-AVERAGE(OFFSET($H$3,0,0,'Données projet'!$E$11+1,1))</f>
        <v>695.93700574708214</v>
      </c>
      <c r="BJ52" s="59">
        <f t="shared" si="38"/>
        <v>318.31690229208471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5.4394256247514683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5.4394256247514683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5.8</v>
      </c>
      <c r="BY52" s="12">
        <f>IF('Données projet'!$A$114&gt;35,BY51+BX52-CG51,IF(A52&lt;'Données projet'!$A$114,$BV$205^A52,IF(A52='Données projet'!$A$114,'Données projet'!$B$114,BY51+BX52-CG51)))</f>
        <v>178.20000000000005</v>
      </c>
      <c r="BZ52" s="13">
        <f>BY52*VLOOKUP('Données projet'!$B$12,Paramètres!$A$1:$I$89,3,0)*VLOOKUP('Données projet'!$B$12,Paramètres!$A$1:$I$89,5,0)</f>
        <v>116.75664000000003</v>
      </c>
      <c r="CA52" s="13">
        <f t="shared" si="39"/>
        <v>30.91733675897062</v>
      </c>
      <c r="CB52" s="20">
        <f t="shared" si="10"/>
        <v>257.19884285520715</v>
      </c>
      <c r="CC52" s="59">
        <f t="shared" si="11"/>
        <v>509.4208889387819</v>
      </c>
      <c r="CD52" s="59">
        <f ca="1">AVERAGE(OFFSET($CC$3,0,0,'Données projet'!$E$12+1,1))-AVERAGE(OFFSET($H$3,0,0,'Données projet'!$E$12+1,1))</f>
        <v>260.25859566735949</v>
      </c>
      <c r="CE52" s="59">
        <f t="shared" si="40"/>
        <v>256.93649773468667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1.8990218520264619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1.8990218520264619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5.8</v>
      </c>
      <c r="CT52" s="12">
        <f>IF('Données projet'!$A$140&gt;35,CT51+CS52-DB51,IF(A52&lt;'Données projet'!$A$140,$CQ$205^A52,IF(A52='Données projet'!$A$140,'Données projet'!$B$140,CT51+CS52-DB51)))</f>
        <v>178.20000000000005</v>
      </c>
      <c r="CU52" s="17">
        <f>CT52*VLOOKUP('Données projet'!$B$13,Paramètres!$A$1:$I$89,3,0)*VLOOKUP('Données projet'!$B$13,Paramètres!$A$1:$I$89,5,0)</f>
        <v>116.75664000000003</v>
      </c>
      <c r="CV52" s="13">
        <f t="shared" si="41"/>
        <v>30.91733675897062</v>
      </c>
      <c r="CW52" s="20">
        <f t="shared" si="13"/>
        <v>257.19884285520715</v>
      </c>
      <c r="CX52" s="59">
        <f t="shared" si="14"/>
        <v>509.4208889387819</v>
      </c>
      <c r="CY52" s="59">
        <f ca="1">AVERAGE(OFFSET($CX$3,0,0,'Données projet'!$E$13+1,1))-AVERAGE(OFFSET($H$3,0,0,'Données projet'!$E$13+1,1))</f>
        <v>260.25859566735949</v>
      </c>
      <c r="CZ52" s="59">
        <f t="shared" si="42"/>
        <v>256.93649773468667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1.8990218520264619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1.8990218520264619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8.8159999999999989</v>
      </c>
      <c r="DO52" s="12">
        <f>IF('Données projet'!$A$166&gt;35,DO51+DN52-DW51,IF(A52&lt;'Données projet'!$A$166,$DL$205^A52,IF(A52='Données projet'!$A$166,'Données projet'!$B$166,DO51+DN52-DW51)))</f>
        <v>223.71599999999998</v>
      </c>
      <c r="DP52" s="17">
        <f>DO52*VLOOKUP('Données projet'!$B$14,Paramètres!$A$1:$I$89,3,0)*VLOOKUP('Données projet'!$B$14,Paramètres!$A$1:$I$89,5,0)</f>
        <v>127.96555199999999</v>
      </c>
      <c r="DQ52" s="13">
        <f t="shared" si="43"/>
        <v>33.525827446672807</v>
      </c>
      <c r="DR52" s="20">
        <f t="shared" si="16"/>
        <v>281.26415253628846</v>
      </c>
      <c r="DS52" s="59">
        <f t="shared" si="17"/>
        <v>533.48619861986322</v>
      </c>
      <c r="DT52" s="59">
        <f ca="1">AVERAGE(OFFSET($DS$3,0,0,'Données projet'!$E$14+1,1))-AVERAGE(OFFSET($H$3,0,0,'Données projet'!$E$14+1,1))</f>
        <v>349.56396446903</v>
      </c>
      <c r="DU52" s="59">
        <f t="shared" si="44"/>
        <v>270.64279448634522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7.5070359165520486</v>
      </c>
      <c r="EB52" s="21">
        <f>EXP(-LN(2)/25)*EB51+(1-EXP(-LN(2)/25))/(LN(2)/25)*Calculateur!DW52*Calculateur!DY52*VLOOKUP('Données projet'!$B$14,Paramètres!$A$1:$I$89,3,0)*0.475*44/12</f>
        <v>44.532875992985936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52.039911909537985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15.725555555555552</v>
      </c>
      <c r="EJ52" s="12">
        <f>IF('Données projet'!$A$192&gt;35,EJ51+EI52-ER51,IF(A52&lt;'Données projet'!$A$192,$EG$205^A52,IF(A52='Données projet'!$A$192,'Données projet'!$B$192,EJ51+EI52-ER51)))</f>
        <v>354.21444444444461</v>
      </c>
      <c r="EK52" s="17">
        <f>EJ52*VLOOKUP('Données projet'!$B$15,Paramètres!$A$1:$I$89,3,0)*VLOOKUP('Données projet'!$B$15,Paramètres!$A$1:$I$89,5,0)</f>
        <v>211.82023777777789</v>
      </c>
      <c r="EL52" s="13">
        <f t="shared" si="45"/>
        <v>52.333153433287507</v>
      </c>
      <c r="EM52" s="20">
        <f t="shared" si="19"/>
        <v>460.06715635927225</v>
      </c>
      <c r="EN52" s="59">
        <f t="shared" si="20"/>
        <v>712.289202442847</v>
      </c>
      <c r="EO52" s="59">
        <f ca="1">AVERAGE(OFFSET($EN$3,0,0,'Données projet'!$E$15+1,1))-AVERAGE(OFFSET($H$3,0,0,'Données projet'!$E$15+1,1))</f>
        <v>375.89365709113105</v>
      </c>
      <c r="EP52" s="59">
        <f t="shared" si="46"/>
        <v>279.39056561403834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12.495096596247798</v>
      </c>
      <c r="EW52" s="21">
        <f>EXP(-LN(2)/25)*EW51+(1-EXP(-LN(2)/25))/(LN(2)/25)*Calculateur!ER52*Calculateur!ET52*VLOOKUP('Données projet'!$B$15,Paramètres!$A$1:$I$89,3,0)*0.475*44/12</f>
        <v>28.924767117010465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41.419863713258266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14.64374999999999</v>
      </c>
      <c r="FE52" s="12">
        <f>IF('Données projet'!$A$218&gt;35,FE51+FD52-FM51,IF(A52&lt;'Données projet'!$A$218,$FB$205^A52,IF(A52='Données projet'!$A$218,'Données projet'!$B$218,FE51+FD52-FM51)))</f>
        <v>362.65874999999994</v>
      </c>
      <c r="FF52" s="17">
        <f>FE52*VLOOKUP('Données projet'!$B$16,Paramètres!$A$1:$I$89,3,0)*VLOOKUP('Données projet'!$B$16,Paramètres!$A$1:$I$89,5,0)</f>
        <v>216.86993249999998</v>
      </c>
      <c r="FG52" s="13">
        <f t="shared" si="47"/>
        <v>53.434014686329654</v>
      </c>
      <c r="FH52" s="20">
        <f t="shared" si="22"/>
        <v>470.77937468285745</v>
      </c>
      <c r="FI52" s="59">
        <f t="shared" si="23"/>
        <v>723.00142076643226</v>
      </c>
      <c r="FJ52" s="59">
        <f ca="1">AVERAGE(OFFSET($FI$3,0,0,'Données projet'!$E$16+1,1))-AVERAGE(OFFSET($H$3,0,0,'Données projet'!$E$16+1,1))</f>
        <v>319.29539841078537</v>
      </c>
      <c r="FK52" s="59">
        <f t="shared" si="48"/>
        <v>327.26871144121412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16.399010441434154</v>
      </c>
      <c r="FR52" s="21">
        <f>EXP(-LN(2)/25)*FR51+(1-EXP(-LN(2)/25))/(LN(2)/25)*Calculateur!FM52*Calculateur!FO52*VLOOKUP('Données projet'!$B$16,Paramètres!$A$1:$I$89,3,0)*0.475*44/12</f>
        <v>44.374044507669424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60.773054949103582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25.673333333333346</v>
      </c>
      <c r="FZ52" s="12">
        <f>IF('Données projet'!$A$244&gt;35,FZ51+FY52-GH51,IF(A52&lt;'Données projet'!$A$244,$FW$205^A52,IF(A52='Données projet'!$A$244,'Données projet'!$B$244,FZ51+FY52-GH51)))</f>
        <v>579.38333333333333</v>
      </c>
      <c r="GA52" s="17">
        <f>FZ52*VLOOKUP('Données projet'!$B$17,Paramètres!$A$1:$I$89,3,0)*VLOOKUP('Données projet'!$B$17,Paramètres!$A$1:$I$89,5,0)</f>
        <v>256.08743333333337</v>
      </c>
      <c r="GB52" s="13">
        <f t="shared" si="49"/>
        <v>61.887642300951732</v>
      </c>
      <c r="GC52" s="20">
        <f t="shared" si="25"/>
        <v>553.80659006304643</v>
      </c>
      <c r="GD52" s="59">
        <f t="shared" si="26"/>
        <v>806.02863614662124</v>
      </c>
      <c r="GE52" s="59">
        <f ca="1">AVERAGE(OFFSET($GD$3,0,0,'Données projet'!$E$17+1,1))-AVERAGE(OFFSET($H$3,0,0,'Données projet'!$E$17+1,1))</f>
        <v>342.89128067483233</v>
      </c>
      <c r="GF52" s="59">
        <f t="shared" si="50"/>
        <v>453.47615302202996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28.828882970879455</v>
      </c>
      <c r="GM52" s="21">
        <f>EXP(-LN(2)/25)*GM51+(1-EXP(-LN(2)/25))/(LN(2)/25)*Calculateur!GH52*Calculateur!GJ52*VLOOKUP('Données projet'!$B$17,Paramètres!$A$1:$I$89,3,0)*0.475*44/12</f>
        <v>80.926165338627584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109.75504830950703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58.787830750065851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15.725555555555552</v>
      </c>
      <c r="GU52" s="12">
        <f>IF('Données projet'!$A$270&gt;35,GU51+GT52-HC51,IF(A52&lt;'Données projet'!$A$270,$GR$205^A52,IF(A52='Données projet'!$A$270,'Données projet'!$B$270,GU51+GT52-HC51)))</f>
        <v>354.21444444444461</v>
      </c>
      <c r="GV52" s="17">
        <f>GU52*VLOOKUP('Données projet'!$B$18,Paramètres!$A$1:$I$89,3,0)*VLOOKUP('Données projet'!$B$18,Paramètres!$A$1:$I$89,5,0)</f>
        <v>211.82023777777789</v>
      </c>
      <c r="GW52" s="13">
        <f t="shared" si="51"/>
        <v>52.333153433287507</v>
      </c>
      <c r="GX52" s="20">
        <f t="shared" si="28"/>
        <v>460.06715635927225</v>
      </c>
      <c r="GY52" s="59">
        <f t="shared" si="29"/>
        <v>712.289202442847</v>
      </c>
      <c r="GZ52" s="59">
        <f ca="1">AVERAGE(OFFSET($GY$3,0,0,'Données projet'!$E$18+1,1))-AVERAGE(OFFSET($H$3,0,0,'Données projet'!$E$18+1,1))</f>
        <v>375.89365709113105</v>
      </c>
      <c r="HA52" s="59">
        <f t="shared" si="52"/>
        <v>279.39056561403834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12.495096596247798</v>
      </c>
      <c r="HH52" s="21">
        <f>EXP(-LN(2)/25)*HH51+(1-EXP(-LN(2)/25))/(LN(2)/25)*Calculateur!HC52*Calculateur!HE52*VLOOKUP('Données projet'!$B$18,Paramètres!$A$1:$I$89,3,0)*0.475*44/12</f>
        <v>28.924767117010465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41.419863713258266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178.09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176.45409600000011</v>
      </c>
      <c r="P53" s="13">
        <f t="shared" si="33"/>
        <v>44.532376676436577</v>
      </c>
      <c r="Q53" s="20">
        <f t="shared" si="53"/>
        <v>384.88477324479385</v>
      </c>
      <c r="R53" s="59">
        <f t="shared" si="0"/>
        <v>637.82000825108298</v>
      </c>
      <c r="S53" s="59">
        <f ca="1">AVERAGE(OFFSET($R$3,0,0,'Données projet'!$E$9+1,1))-AVERAGE(OFFSET($H$3,0,0,'Données projet'!$E$9+1,1))</f>
        <v>631.31712308065664</v>
      </c>
      <c r="T53" s="59">
        <f t="shared" si="34"/>
        <v>290.92244624361285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9.3493382006381829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9.3493382006381829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8.9771428571428569</v>
      </c>
      <c r="AI53" s="13">
        <f>IF('Données projet'!$A$62&gt;35,AI52+AH53-AQ52,IF(A53&lt;'Données projet'!$A$62,$AF$205^A53,IF(A53='Données projet'!$A$62,'Données projet'!$B$62,AI52+AH53-AQ52)))</f>
        <v>144.22571428571428</v>
      </c>
      <c r="AJ53" s="13">
        <f>AI53*VLOOKUP('Données projet'!$B$10,Paramètres!$A$1:$I$89,3,0)*VLOOKUP('Données projet'!$B$10,Paramètres!$A$1:$I$89,5,0)</f>
        <v>121.49574171428571</v>
      </c>
      <c r="AK53" s="13">
        <f t="shared" si="35"/>
        <v>32.02360457917726</v>
      </c>
      <c r="AL53" s="20">
        <f t="shared" si="4"/>
        <v>267.37952812778133</v>
      </c>
      <c r="AM53" s="59">
        <f t="shared" si="5"/>
        <v>520.3147631340704</v>
      </c>
      <c r="AN53" s="59">
        <f ca="1">AVERAGE(OFFSET($AM$3,0,0,'Données projet'!$E$10+1,1))-AVERAGE(OFFSET($H$3,0,0,'Données projet'!$E$10+1,1))</f>
        <v>401.19166052471473</v>
      </c>
      <c r="AO53" s="59">
        <f t="shared" si="36"/>
        <v>271.10067497534271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4.2564715984931931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4.2564715984931931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197.75028000000015</v>
      </c>
      <c r="BF53" s="13">
        <f t="shared" si="37"/>
        <v>49.24942231714175</v>
      </c>
      <c r="BG53" s="20">
        <f t="shared" si="7"/>
        <v>430.19114820235546</v>
      </c>
      <c r="BH53" s="59">
        <f t="shared" si="8"/>
        <v>683.1263832086446</v>
      </c>
      <c r="BI53" s="59">
        <f ca="1">AVERAGE(OFFSET($BH$3,0,0,'Données projet'!$E$11+1,1))-AVERAGE(OFFSET($H$3,0,0,'Données projet'!$E$11+1,1))</f>
        <v>695.93700574708214</v>
      </c>
      <c r="BJ53" s="59">
        <f t="shared" si="38"/>
        <v>318.31690229208471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10.477706604163481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10.477706604163481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184</v>
      </c>
      <c r="BW53" s="12">
        <f>VLOOKUP(A53,'Données projet'!$A$113:$I$133,9,0)</f>
        <v>5.8</v>
      </c>
      <c r="BX53" s="12">
        <f t="array" ref="BX53">INDEX(BW:BW,MIN(IF(ISNUMBER(BW53:BW249),ROW(BW53:BW249),"")))</f>
        <v>5.8</v>
      </c>
      <c r="BY53" s="12">
        <f>IF('Données projet'!$A$114&gt;35,BY52+BX53-CG52,IF(A53&lt;'Données projet'!$A$114,$BV$205^A53,IF(A53='Données projet'!$A$114,'Données projet'!$B$114,BY52+BX53-CG52)))</f>
        <v>184.00000000000006</v>
      </c>
      <c r="BZ53" s="13">
        <f>BY53*VLOOKUP('Données projet'!$B$12,Paramètres!$A$1:$I$89,3,0)*VLOOKUP('Données projet'!$B$12,Paramètres!$A$1:$I$89,5,0)</f>
        <v>120.55680000000002</v>
      </c>
      <c r="CA53" s="13">
        <f t="shared" si="39"/>
        <v>31.804828741198779</v>
      </c>
      <c r="CB53" s="20">
        <f t="shared" si="10"/>
        <v>265.36317005758792</v>
      </c>
      <c r="CC53" s="59">
        <f t="shared" si="11"/>
        <v>518.298405063877</v>
      </c>
      <c r="CD53" s="59">
        <f ca="1">AVERAGE(OFFSET($CC$3,0,0,'Données projet'!$E$12+1,1))-AVERAGE(OFFSET($H$3,0,0,'Données projet'!$E$12+1,1))</f>
        <v>260.25859566735949</v>
      </c>
      <c r="CE53" s="59">
        <f t="shared" si="40"/>
        <v>256.93649773468667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3.8239232497401812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3.8239232497401812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184</v>
      </c>
      <c r="CR53" s="12">
        <f>VLOOKUP(A53,'Données projet'!$A$139:$I$159,9,0)</f>
        <v>5.8</v>
      </c>
      <c r="CS53" s="12">
        <f t="array" ref="CS53">INDEX(CR:CR,MIN(IF(ISNUMBER(CR53:CR249),ROW(CR53:CR249),"")))</f>
        <v>5.8</v>
      </c>
      <c r="CT53" s="12">
        <f>IF('Données projet'!$A$140&gt;35,CT52+CS53-DB52,IF(A53&lt;'Données projet'!$A$140,$CQ$205^A53,IF(A53='Données projet'!$A$140,'Données projet'!$B$140,CT52+CS53-DB52)))</f>
        <v>184.00000000000006</v>
      </c>
      <c r="CU53" s="17">
        <f>CT53*VLOOKUP('Données projet'!$B$13,Paramètres!$A$1:$I$89,3,0)*VLOOKUP('Données projet'!$B$13,Paramètres!$A$1:$I$89,5,0)</f>
        <v>120.55680000000002</v>
      </c>
      <c r="CV53" s="13">
        <f t="shared" si="41"/>
        <v>31.804828741198779</v>
      </c>
      <c r="CW53" s="20">
        <f t="shared" si="13"/>
        <v>265.36317005758792</v>
      </c>
      <c r="CX53" s="59">
        <f t="shared" si="14"/>
        <v>518.298405063877</v>
      </c>
      <c r="CY53" s="59">
        <f ca="1">AVERAGE(OFFSET($CX$3,0,0,'Données projet'!$E$13+1,1))-AVERAGE(OFFSET($H$3,0,0,'Données projet'!$E$13+1,1))</f>
        <v>260.25859566735949</v>
      </c>
      <c r="CZ53" s="59">
        <f t="shared" si="42"/>
        <v>256.93649773468667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3.8239232497401812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3.8239232497401812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8.8159999999999989</v>
      </c>
      <c r="DO53" s="12">
        <f>IF('Données projet'!$A$166&gt;35,DO52+DN53-DW52,IF(A53&lt;'Données projet'!$A$166,$DL$205^A53,IF(A53='Données projet'!$A$166,'Données projet'!$B$166,DO52+DN53-DW52)))</f>
        <v>232.53199999999998</v>
      </c>
      <c r="DP53" s="17">
        <f>DO53*VLOOKUP('Données projet'!$B$14,Paramètres!$A$1:$I$89,3,0)*VLOOKUP('Données projet'!$B$14,Paramètres!$A$1:$I$89,5,0)</f>
        <v>133.00830399999998</v>
      </c>
      <c r="DQ53" s="13">
        <f t="shared" si="43"/>
        <v>34.690561827215504</v>
      </c>
      <c r="DR53" s="20">
        <f t="shared" si="16"/>
        <v>292.07552464906695</v>
      </c>
      <c r="DS53" s="59">
        <f t="shared" si="17"/>
        <v>545.01075965535608</v>
      </c>
      <c r="DT53" s="59">
        <f ca="1">AVERAGE(OFFSET($DS$3,0,0,'Données projet'!$E$14+1,1))-AVERAGE(OFFSET($H$3,0,0,'Données projet'!$E$14+1,1))</f>
        <v>349.56396446903</v>
      </c>
      <c r="DU53" s="59">
        <f t="shared" si="44"/>
        <v>270.64279448634522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7.3598275210682491</v>
      </c>
      <c r="EB53" s="21">
        <f>EXP(-LN(2)/25)*EB52+(1-EXP(-LN(2)/25))/(LN(2)/25)*Calculateur!DW53*Calculateur!DY53*VLOOKUP('Données projet'!$B$14,Paramètres!$A$1:$I$89,3,0)*0.475*44/12</f>
        <v>43.315122157075571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50.674949678143818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369.94</v>
      </c>
      <c r="EH53" s="12">
        <f>VLOOKUP(A53,'Données projet'!$A$191:$I$211,9,0)</f>
        <v>15.725555555555552</v>
      </c>
      <c r="EI53" s="12">
        <f t="array" ref="EI53">INDEX(EH:EH,MIN(IF(ISNUMBER(EH53:EH249),ROW(EH53:EH249),"")))</f>
        <v>15.725555555555552</v>
      </c>
      <c r="EJ53" s="12">
        <f>IF('Données projet'!$A$192&gt;35,EJ52+EI53-ER52,IF(A53&lt;'Données projet'!$A$192,$EG$205^A53,IF(A53='Données projet'!$A$192,'Données projet'!$B$192,EJ52+EI53-ER52)))</f>
        <v>369.94000000000017</v>
      </c>
      <c r="EK53" s="17">
        <f>EJ53*VLOOKUP('Données projet'!$B$15,Paramètres!$A$1:$I$89,3,0)*VLOOKUP('Données projet'!$B$15,Paramètres!$A$1:$I$89,5,0)</f>
        <v>221.22412000000014</v>
      </c>
      <c r="EL53" s="13">
        <f t="shared" si="45"/>
        <v>54.380856173847832</v>
      </c>
      <c r="EM53" s="20">
        <f t="shared" si="19"/>
        <v>480.01200016945177</v>
      </c>
      <c r="EN53" s="59">
        <f t="shared" si="20"/>
        <v>732.94723517574084</v>
      </c>
      <c r="EO53" s="59">
        <f ca="1">AVERAGE(OFFSET($EN$3,0,0,'Données projet'!$E$15+1,1))-AVERAGE(OFFSET($H$3,0,0,'Données projet'!$E$15+1,1))</f>
        <v>375.89365709113105</v>
      </c>
      <c r="EP53" s="59">
        <f t="shared" si="46"/>
        <v>279.39056561403834</v>
      </c>
      <c r="EQ53" s="15">
        <f>IF(ISNA(VLOOKUP(A53,'Données projet'!$A$191:$I$211,3,0)),0,VLOOKUP(A53,'Données projet'!$A$191:$I$211,3,0))</f>
        <v>5</v>
      </c>
      <c r="ER53" s="15">
        <f>IF(ISNA(VLOOKUP(A53,'Données projet'!$A$191:$I$211,4,0)),0,VLOOKUP(A53,'Données projet'!$A$191:$I$211,4,0))</f>
        <v>70.2</v>
      </c>
      <c r="ES53" s="16">
        <f>IF(ISNA(VLOOKUP(A53,'Données projet'!$A$191:$I$211,5,0)),0%,VLOOKUP(A53,'Données projet'!$A$191:$I$211,5,0)*VLOOKUP('Données projet'!$B$15,Paramètres!$A$1:$I$89,7,0))</f>
        <v>0.13500000000000001</v>
      </c>
      <c r="ET53" s="16">
        <f>IF(ISNA(VLOOKUP(A53,'Données projet'!$A$191:$I$211,6,0)),0%,VLOOKUP(A53,'Données projet'!$A$191:$I$211,6,0)*VLOOKUP('Données projet'!$B$15,Paramètres!$A$1:$I$89,7,0))</f>
        <v>0.22500000000000001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19.768042477083679</v>
      </c>
      <c r="EW53" s="21">
        <f>EXP(-LN(2)/25)*EW52+(1-EXP(-LN(2)/25))/(LN(2)/25)*Calculateur!ER53*Calculateur!ET53*VLOOKUP('Données projet'!$B$15,Paramètres!$A$1:$I$89,3,0)*0.475*44/12</f>
        <v>40.614427843731889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60.382470320815571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14.64374999999999</v>
      </c>
      <c r="FE53" s="12">
        <f>IF('Données projet'!$A$218&gt;35,FE52+FD53-FM52,IF(A53&lt;'Données projet'!$A$218,$FB$205^A53,IF(A53='Données projet'!$A$218,'Données projet'!$B$218,FE52+FD53-FM52)))</f>
        <v>377.30249999999995</v>
      </c>
      <c r="FF53" s="17">
        <f>FE53*VLOOKUP('Données projet'!$B$16,Paramètres!$A$1:$I$89,3,0)*VLOOKUP('Données projet'!$B$16,Paramètres!$A$1:$I$89,5,0)</f>
        <v>225.62689499999999</v>
      </c>
      <c r="FG53" s="13">
        <f t="shared" si="47"/>
        <v>55.336060156511813</v>
      </c>
      <c r="FH53" s="20">
        <f t="shared" si="22"/>
        <v>489.34381356425803</v>
      </c>
      <c r="FI53" s="59">
        <f t="shared" si="23"/>
        <v>742.27904857054716</v>
      </c>
      <c r="FJ53" s="59">
        <f ca="1">AVERAGE(OFFSET($FI$3,0,0,'Données projet'!$E$16+1,1))-AVERAGE(OFFSET($H$3,0,0,'Données projet'!$E$16+1,1))</f>
        <v>319.29539841078537</v>
      </c>
      <c r="FK53" s="59">
        <f t="shared" si="48"/>
        <v>327.26871144121412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16.077435849086342</v>
      </c>
      <c r="FR53" s="21">
        <f>EXP(-LN(2)/25)*FR52+(1-EXP(-LN(2)/25))/(LN(2)/25)*Calculateur!FM53*Calculateur!FO53*VLOOKUP('Données projet'!$B$16,Paramètres!$A$1:$I$89,3,0)*0.475*44/12</f>
        <v>43.160633927077619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59.238069776163961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25.673333333333346</v>
      </c>
      <c r="FZ53" s="12">
        <f>IF('Données projet'!$A$244&gt;35,FZ52+FY53-GH52,IF(A53&lt;'Données projet'!$A$244,$FW$205^A53,IF(A53='Données projet'!$A$244,'Données projet'!$B$244,FZ52+FY53-GH52)))</f>
        <v>605.05666666666662</v>
      </c>
      <c r="GA53" s="17">
        <f>FZ53*VLOOKUP('Données projet'!$B$17,Paramètres!$A$1:$I$89,3,0)*VLOOKUP('Données projet'!$B$17,Paramètres!$A$1:$I$89,5,0)</f>
        <v>267.43504666666666</v>
      </c>
      <c r="GB53" s="13">
        <f t="shared" si="49"/>
        <v>64.304619421636403</v>
      </c>
      <c r="GC53" s="20">
        <f t="shared" si="25"/>
        <v>577.77991843712778</v>
      </c>
      <c r="GD53" s="59">
        <f t="shared" si="26"/>
        <v>830.71515344341685</v>
      </c>
      <c r="GE53" s="59">
        <f ca="1">AVERAGE(OFFSET($GD$3,0,0,'Données projet'!$E$17+1,1))-AVERAGE(OFFSET($H$3,0,0,'Données projet'!$E$17+1,1))</f>
        <v>342.89128067483233</v>
      </c>
      <c r="GF53" s="59">
        <f t="shared" si="50"/>
        <v>453.47615302202996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28.263566159702858</v>
      </c>
      <c r="GM53" s="21">
        <f>EXP(-LN(2)/25)*GM52+(1-EXP(-LN(2)/25))/(LN(2)/25)*Calculateur!GH53*Calculateur!GJ53*VLOOKUP('Données projet'!$B$17,Paramètres!$A$1:$I$89,3,0)*0.475*44/12</f>
        <v>78.713235091720733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106.97680125142359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58.982336819897029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369.94</v>
      </c>
      <c r="GS53" s="12">
        <f>VLOOKUP(A53,'Données projet'!$A$269:$I$289,9,0)</f>
        <v>15.725555555555552</v>
      </c>
      <c r="GT53" s="12">
        <f t="array" ref="GT53">INDEX(GS:GS,MIN(IF(ISNUMBER(GS53:GS249),ROW(GS53:GS249),"")))</f>
        <v>15.725555555555552</v>
      </c>
      <c r="GU53" s="12">
        <f>IF('Données projet'!$A$270&gt;35,GU52+GT53-HC52,IF(A53&lt;'Données projet'!$A$270,$GR$205^A53,IF(A53='Données projet'!$A$270,'Données projet'!$B$270,GU52+GT53-HC52)))</f>
        <v>369.94000000000017</v>
      </c>
      <c r="GV53" s="17">
        <f>GU53*VLOOKUP('Données projet'!$B$18,Paramètres!$A$1:$I$89,3,0)*VLOOKUP('Données projet'!$B$18,Paramètres!$A$1:$I$89,5,0)</f>
        <v>221.22412000000014</v>
      </c>
      <c r="GW53" s="13">
        <f t="shared" si="51"/>
        <v>54.380856173847832</v>
      </c>
      <c r="GX53" s="20">
        <f t="shared" si="28"/>
        <v>480.01200016945177</v>
      </c>
      <c r="GY53" s="59">
        <f t="shared" si="29"/>
        <v>732.94723517574084</v>
      </c>
      <c r="GZ53" s="59">
        <f ca="1">AVERAGE(OFFSET($GY$3,0,0,'Données projet'!$E$18+1,1))-AVERAGE(OFFSET($H$3,0,0,'Données projet'!$E$18+1,1))</f>
        <v>375.89365709113105</v>
      </c>
      <c r="HA53" s="59">
        <f t="shared" si="52"/>
        <v>279.39056561403834</v>
      </c>
      <c r="HB53" s="15">
        <f>IF(ISNA(VLOOKUP(A53,'Données projet'!$A$269:$I$289,3,0)),0,VLOOKUP(A53,'Données projet'!$A$269:$I$289,3,0))</f>
        <v>5</v>
      </c>
      <c r="HC53" s="15">
        <f>IF(ISNA(VLOOKUP(A53,'Données projet'!$A$269:$I$289,4,0)),0,VLOOKUP(A53,'Données projet'!$A$269:$I$289,4,0))</f>
        <v>70.2</v>
      </c>
      <c r="HD53" s="16">
        <f>IF(ISNA(VLOOKUP(A53,'Données projet'!$A$269:$I$289,5,0)),0%,VLOOKUP(A53,'Données projet'!$A$269:$I$289,5,0)*VLOOKUP('Données projet'!$B$18,Paramètres!$A$1:$I$89,7,0))</f>
        <v>0.13500000000000001</v>
      </c>
      <c r="HE53" s="16">
        <f>IF(ISNA(VLOOKUP(A53,'Données projet'!$A$269:$I$289,6,0)),0%,VLOOKUP(A53,'Données projet'!$A$269:$I$289,6,0)*VLOOKUP('Données projet'!$B$18,Paramètres!$A$1:$I$89,7,0))</f>
        <v>0.22500000000000001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19.768042477083679</v>
      </c>
      <c r="HH53" s="21">
        <f>EXP(-LN(2)/25)*HH52+(1-EXP(-LN(2)/25))/(LN(2)/25)*Calculateur!HC53*Calculateur!HE53*VLOOKUP('Données projet'!$B$18,Paramètres!$A$1:$I$89,3,0)*0.475*44/12</f>
        <v>40.614427843731889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60.382470320815571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178.09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152.90554500000013</v>
      </c>
      <c r="P54" s="13">
        <f t="shared" si="33"/>
        <v>39.238142074568863</v>
      </c>
      <c r="Q54" s="20">
        <f t="shared" si="53"/>
        <v>334.65025498820768</v>
      </c>
      <c r="R54" s="59">
        <f t="shared" si="0"/>
        <v>588.28630668385358</v>
      </c>
      <c r="S54" s="59">
        <f ca="1">AVERAGE(OFFSET($R$3,0,0,'Données projet'!$E$9+1,1))-AVERAGE(OFFSET($H$3,0,0,'Données projet'!$E$9+1,1))</f>
        <v>631.31712308065664</v>
      </c>
      <c r="T54" s="59">
        <f t="shared" si="34"/>
        <v>290.92244624361285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9.1660033810568926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9.1660033810568926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8.9771428571428569</v>
      </c>
      <c r="AI54" s="13">
        <f>IF('Données projet'!$A$62&gt;35,AI53+AH54-AQ53,IF(A54&lt;'Données projet'!$A$62,$AF$205^A54,IF(A54='Données projet'!$A$62,'Données projet'!$B$62,AI53+AH54-AQ53)))</f>
        <v>153.20285714285714</v>
      </c>
      <c r="AJ54" s="13">
        <f>AI54*VLOOKUP('Données projet'!$B$10,Paramètres!$A$1:$I$89,3,0)*VLOOKUP('Données projet'!$B$10,Paramètres!$A$1:$I$89,5,0)</f>
        <v>129.05808685714285</v>
      </c>
      <c r="AK54" s="13">
        <f t="shared" si="35"/>
        <v>33.778618832279214</v>
      </c>
      <c r="AL54" s="20">
        <f t="shared" si="4"/>
        <v>283.60726240907678</v>
      </c>
      <c r="AM54" s="59">
        <f t="shared" si="5"/>
        <v>537.24331410472269</v>
      </c>
      <c r="AN54" s="59">
        <f ca="1">AVERAGE(OFFSET($AM$3,0,0,'Données projet'!$E$10+1,1))-AVERAGE(OFFSET($H$3,0,0,'Données projet'!$E$10+1,1))</f>
        <v>401.19166052471473</v>
      </c>
      <c r="AO54" s="59">
        <f t="shared" si="36"/>
        <v>271.10067497534271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4.1730047866380637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4.1730047866380637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171.35966250000016</v>
      </c>
      <c r="BF54" s="13">
        <f t="shared" si="37"/>
        <v>43.39440142643388</v>
      </c>
      <c r="BG54" s="20">
        <f t="shared" si="7"/>
        <v>374.0299946718726</v>
      </c>
      <c r="BH54" s="59">
        <f t="shared" si="8"/>
        <v>627.66604636751845</v>
      </c>
      <c r="BI54" s="59">
        <f ca="1">AVERAGE(OFFSET($BH$3,0,0,'Données projet'!$E$11+1,1))-AVERAGE(OFFSET($H$3,0,0,'Données projet'!$E$11+1,1))</f>
        <v>695.93700574708214</v>
      </c>
      <c r="BJ54" s="59">
        <f t="shared" si="38"/>
        <v>318.31690229208471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10.272245168425828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10.272245168425828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168.60000000000005</v>
      </c>
      <c r="BZ54" s="13">
        <f>BY54*VLOOKUP('Données projet'!$B$12,Paramètres!$A$1:$I$89,3,0)*VLOOKUP('Données projet'!$B$12,Paramètres!$A$1:$I$89,5,0)</f>
        <v>110.46672000000002</v>
      </c>
      <c r="CA54" s="13">
        <f t="shared" si="39"/>
        <v>29.440920333682921</v>
      </c>
      <c r="CB54" s="20">
        <f t="shared" si="10"/>
        <v>243.67247358116444</v>
      </c>
      <c r="CC54" s="59">
        <f t="shared" si="11"/>
        <v>497.30852527681031</v>
      </c>
      <c r="CD54" s="59">
        <f ca="1">AVERAGE(OFFSET($CC$3,0,0,'Données projet'!$E$12+1,1))-AVERAGE(OFFSET($H$3,0,0,'Données projet'!$E$12+1,1))</f>
        <v>260.25859566735949</v>
      </c>
      <c r="CE54" s="59">
        <f t="shared" si="40"/>
        <v>256.93649773468667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3.7489384471756568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3.7489384471756568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168.60000000000005</v>
      </c>
      <c r="CU54" s="17">
        <f>CT54*VLOOKUP('Données projet'!$B$13,Paramètres!$A$1:$I$89,3,0)*VLOOKUP('Données projet'!$B$13,Paramètres!$A$1:$I$89,5,0)</f>
        <v>110.46672000000002</v>
      </c>
      <c r="CV54" s="13">
        <f t="shared" si="41"/>
        <v>29.440920333682921</v>
      </c>
      <c r="CW54" s="20">
        <f t="shared" si="13"/>
        <v>243.67247358116444</v>
      </c>
      <c r="CX54" s="59">
        <f t="shared" si="14"/>
        <v>497.30852527681031</v>
      </c>
      <c r="CY54" s="59">
        <f ca="1">AVERAGE(OFFSET($CX$3,0,0,'Données projet'!$E$13+1,1))-AVERAGE(OFFSET($H$3,0,0,'Données projet'!$E$13+1,1))</f>
        <v>260.25859566735949</v>
      </c>
      <c r="CZ54" s="59">
        <f t="shared" si="42"/>
        <v>256.93649773468667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3.7489384471756568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3.7489384471756568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8.8159999999999989</v>
      </c>
      <c r="DO54" s="12">
        <f>IF('Données projet'!$A$166&gt;35,DO53+DN54-DW53,IF(A54&lt;'Données projet'!$A$166,$DL$205^A54,IF(A54='Données projet'!$A$166,'Données projet'!$B$166,DO53+DN54-DW53)))</f>
        <v>241.34799999999998</v>
      </c>
      <c r="DP54" s="17">
        <f>DO54*VLOOKUP('Données projet'!$B$14,Paramètres!$A$1:$I$89,3,0)*VLOOKUP('Données projet'!$B$14,Paramètres!$A$1:$I$89,5,0)</f>
        <v>138.05105599999999</v>
      </c>
      <c r="DQ54" s="13">
        <f t="shared" si="43"/>
        <v>35.850166168349034</v>
      </c>
      <c r="DR54" s="20">
        <f t="shared" si="16"/>
        <v>302.87796194320782</v>
      </c>
      <c r="DS54" s="59">
        <f t="shared" si="17"/>
        <v>556.51401363885361</v>
      </c>
      <c r="DT54" s="59">
        <f ca="1">AVERAGE(OFFSET($DS$3,0,0,'Données projet'!$E$14+1,1))-AVERAGE(OFFSET($H$3,0,0,'Données projet'!$E$14+1,1))</f>
        <v>349.56396446903</v>
      </c>
      <c r="DU54" s="59">
        <f t="shared" si="44"/>
        <v>270.64279448634522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7.2155057924316317</v>
      </c>
      <c r="EB54" s="21">
        <f>EXP(-LN(2)/25)*EB53+(1-EXP(-LN(2)/25))/(LN(2)/25)*Calculateur!DW54*Calculateur!DY54*VLOOKUP('Données projet'!$B$14,Paramètres!$A$1:$I$89,3,0)*0.475*44/12</f>
        <v>42.130667863847066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49.346173656278694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14.12</v>
      </c>
      <c r="EJ54" s="12">
        <f>IF('Données projet'!$A$192&gt;35,EJ53+EI54-ER53,IF(A54&lt;'Données projet'!$A$192,$EG$205^A54,IF(A54='Données projet'!$A$192,'Données projet'!$B$192,EJ53+EI54-ER53)))</f>
        <v>313.86000000000018</v>
      </c>
      <c r="EK54" s="17">
        <f>EJ54*VLOOKUP('Données projet'!$B$15,Paramètres!$A$1:$I$89,3,0)*VLOOKUP('Données projet'!$B$15,Paramètres!$A$1:$I$89,5,0)</f>
        <v>187.68828000000013</v>
      </c>
      <c r="EL54" s="13">
        <f t="shared" si="45"/>
        <v>47.028500822168901</v>
      </c>
      <c r="EM54" s="20">
        <f t="shared" si="19"/>
        <v>408.79839326527775</v>
      </c>
      <c r="EN54" s="59">
        <f t="shared" si="20"/>
        <v>662.43444496092366</v>
      </c>
      <c r="EO54" s="59">
        <f ca="1">AVERAGE(OFFSET($EN$3,0,0,'Données projet'!$E$15+1,1))-AVERAGE(OFFSET($H$3,0,0,'Données projet'!$E$15+1,1))</f>
        <v>375.89365709113105</v>
      </c>
      <c r="EP54" s="59">
        <f t="shared" si="46"/>
        <v>279.39056561403834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19.380403221423418</v>
      </c>
      <c r="EW54" s="21">
        <f>EXP(-LN(2)/25)*EW53+(1-EXP(-LN(2)/25))/(LN(2)/25)*Calculateur!ER54*Calculateur!ET54*VLOOKUP('Données projet'!$B$15,Paramètres!$A$1:$I$89,3,0)*0.475*44/12</f>
        <v>39.503824178525107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58.884227399948529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14.64374999999999</v>
      </c>
      <c r="FE54" s="12">
        <f>IF('Données projet'!$A$218&gt;35,FE53+FD54-FM53,IF(A54&lt;'Données projet'!$A$218,$FB$205^A54,IF(A54='Données projet'!$A$218,'Données projet'!$B$218,FE53+FD54-FM53)))</f>
        <v>391.94624999999996</v>
      </c>
      <c r="FF54" s="17">
        <f>FE54*VLOOKUP('Données projet'!$B$16,Paramètres!$A$1:$I$89,3,0)*VLOOKUP('Données projet'!$B$16,Paramètres!$A$1:$I$89,5,0)</f>
        <v>234.3838575</v>
      </c>
      <c r="FG54" s="13">
        <f t="shared" si="47"/>
        <v>57.229529897835612</v>
      </c>
      <c r="FH54" s="20">
        <f t="shared" si="22"/>
        <v>507.89331638456366</v>
      </c>
      <c r="FI54" s="59">
        <f t="shared" si="23"/>
        <v>761.52936808020945</v>
      </c>
      <c r="FJ54" s="59">
        <f ca="1">AVERAGE(OFFSET($FI$3,0,0,'Données projet'!$E$16+1,1))-AVERAGE(OFFSET($H$3,0,0,'Données projet'!$E$16+1,1))</f>
        <v>319.29539841078537</v>
      </c>
      <c r="FK54" s="59">
        <f t="shared" si="48"/>
        <v>327.26871144121412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15.762167138353337</v>
      </c>
      <c r="FR54" s="21">
        <f>EXP(-LN(2)/25)*FR53+(1-EXP(-LN(2)/25))/(LN(2)/25)*Calculateur!FM54*Calculateur!FO54*VLOOKUP('Données projet'!$B$16,Paramètres!$A$1:$I$89,3,0)*0.475*44/12</f>
        <v>41.980404122622588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57.742571260975922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25.673333333333346</v>
      </c>
      <c r="FZ54" s="12">
        <f>IF('Données projet'!$A$244&gt;35,FZ53+FY54-GH53,IF(A54&lt;'Données projet'!$A$244,$FW$205^A54,IF(A54='Données projet'!$A$244,'Données projet'!$B$244,FZ53+FY54-GH53)))</f>
        <v>630.73</v>
      </c>
      <c r="GA54" s="17">
        <f>FZ54*VLOOKUP('Données projet'!$B$17,Paramètres!$A$1:$I$89,3,0)*VLOOKUP('Données projet'!$B$17,Paramètres!$A$1:$I$89,5,0)</f>
        <v>278.78266000000002</v>
      </c>
      <c r="GB54" s="13">
        <f t="shared" si="49"/>
        <v>66.709684744211927</v>
      </c>
      <c r="GC54" s="20">
        <f t="shared" si="25"/>
        <v>601.73250042950247</v>
      </c>
      <c r="GD54" s="59">
        <f t="shared" si="26"/>
        <v>855.36855212514831</v>
      </c>
      <c r="GE54" s="59">
        <f ca="1">AVERAGE(OFFSET($GD$3,0,0,'Données projet'!$E$17+1,1))-AVERAGE(OFFSET($H$3,0,0,'Données projet'!$E$17+1,1))</f>
        <v>342.89128067483233</v>
      </c>
      <c r="GF54" s="59">
        <f t="shared" si="50"/>
        <v>453.47615302202996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27.709334866384225</v>
      </c>
      <c r="GM54" s="21">
        <f>EXP(-LN(2)/25)*GM53+(1-EXP(-LN(2)/25))/(LN(2)/25)*Calculateur!GH54*Calculateur!GJ54*VLOOKUP('Données projet'!$B$17,Paramètres!$A$1:$I$89,3,0)*0.475*44/12</f>
        <v>76.560817538788498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104.27015240517272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59.173468644267054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14.12</v>
      </c>
      <c r="GU54" s="12">
        <f>IF('Données projet'!$A$270&gt;35,GU53+GT54-HC53,IF(A54&lt;'Données projet'!$A$270,$GR$205^A54,IF(A54='Données projet'!$A$270,'Données projet'!$B$270,GU53+GT54-HC53)))</f>
        <v>313.86000000000018</v>
      </c>
      <c r="GV54" s="17">
        <f>GU54*VLOOKUP('Données projet'!$B$18,Paramètres!$A$1:$I$89,3,0)*VLOOKUP('Données projet'!$B$18,Paramètres!$A$1:$I$89,5,0)</f>
        <v>187.68828000000013</v>
      </c>
      <c r="GW54" s="13">
        <f t="shared" si="51"/>
        <v>47.028500822168901</v>
      </c>
      <c r="GX54" s="20">
        <f t="shared" si="28"/>
        <v>408.79839326527775</v>
      </c>
      <c r="GY54" s="59">
        <f t="shared" si="29"/>
        <v>662.43444496092366</v>
      </c>
      <c r="GZ54" s="59">
        <f ca="1">AVERAGE(OFFSET($GY$3,0,0,'Données projet'!$E$18+1,1))-AVERAGE(OFFSET($H$3,0,0,'Données projet'!$E$18+1,1))</f>
        <v>375.89365709113105</v>
      </c>
      <c r="HA54" s="59">
        <f t="shared" si="52"/>
        <v>279.39056561403834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19.380403221423418</v>
      </c>
      <c r="HH54" s="21">
        <f>EXP(-LN(2)/25)*HH53+(1-EXP(-LN(2)/25))/(LN(2)/25)*Calculateur!HC54*Calculateur!HE54*VLOOKUP('Données projet'!$B$18,Paramètres!$A$1:$I$89,3,0)*0.475*44/12</f>
        <v>39.503824178525107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58.884227399948529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178.09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161.54977800000012</v>
      </c>
      <c r="P55" s="13">
        <f t="shared" si="33"/>
        <v>41.191875810979205</v>
      </c>
      <c r="Q55" s="20">
        <f t="shared" si="53"/>
        <v>353.10838038745561</v>
      </c>
      <c r="R55" s="59">
        <f t="shared" si="0"/>
        <v>607.43309116968931</v>
      </c>
      <c r="S55" s="59">
        <f ca="1">AVERAGE(OFFSET($R$3,0,0,'Données projet'!$E$9+1,1))-AVERAGE(OFFSET($H$3,0,0,'Données projet'!$E$9+1,1))</f>
        <v>631.31712308065664</v>
      </c>
      <c r="T55" s="59">
        <f t="shared" si="34"/>
        <v>290.92244624361285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8.9862636454643923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8.9862636454643923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162.18</v>
      </c>
      <c r="AG55" s="12">
        <f>VLOOKUP(A55,'Données projet'!$A$61:$I$81,9,0)</f>
        <v>8.9771428571428569</v>
      </c>
      <c r="AH55" s="12">
        <f t="array" ref="AH55">INDEX(AG:AG,MIN(IF(ISNUMBER(AG55:AG251),ROW(AG55:AG251),"")))</f>
        <v>8.9771428571428569</v>
      </c>
      <c r="AI55" s="13">
        <f>IF('Données projet'!$A$62&gt;35,AI54+AH55-AQ54,IF(A55&lt;'Données projet'!$A$62,$AF$205^A55,IF(A55='Données projet'!$A$62,'Données projet'!$B$62,AI54+AH55-AQ54)))</f>
        <v>162.18</v>
      </c>
      <c r="AJ55" s="13">
        <f>AI55*VLOOKUP('Données projet'!$B$10,Paramètres!$A$1:$I$89,3,0)*VLOOKUP('Données projet'!$B$10,Paramètres!$A$1:$I$89,5,0)</f>
        <v>136.62043200000002</v>
      </c>
      <c r="AK55" s="13">
        <f t="shared" si="35"/>
        <v>35.521696309060069</v>
      </c>
      <c r="AL55" s="20">
        <f t="shared" si="4"/>
        <v>299.81420680494631</v>
      </c>
      <c r="AM55" s="59">
        <f t="shared" si="5"/>
        <v>554.13891758718</v>
      </c>
      <c r="AN55" s="59">
        <f ca="1">AVERAGE(OFFSET($AM$3,0,0,'Données projet'!$E$10+1,1))-AVERAGE(OFFSET($H$3,0,0,'Données projet'!$E$10+1,1))</f>
        <v>401.19166052471473</v>
      </c>
      <c r="AO55" s="59">
        <f t="shared" si="36"/>
        <v>271.10067497534271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40.9</v>
      </c>
      <c r="AR55" s="16">
        <f>IF(ISNA(VLOOKUP(A55,'Données projet'!$A$61:$I$81,5,0)),0%,VLOOKUP(A55,'Données projet'!$A$61:$I$81,5,0)*VLOOKUP('Données projet'!$B$10,Paramètres!$A$1:$I$89,7,0))</f>
        <v>0.129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9.004533587841566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9.004533587841566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181.04716500000015</v>
      </c>
      <c r="BF55" s="13">
        <f t="shared" si="37"/>
        <v>45.55508237501288</v>
      </c>
      <c r="BG55" s="20">
        <f t="shared" si="7"/>
        <v>394.66558084481431</v>
      </c>
      <c r="BH55" s="59">
        <f t="shared" si="8"/>
        <v>648.99029162704801</v>
      </c>
      <c r="BI55" s="59">
        <f ca="1">AVERAGE(OFFSET($BH$3,0,0,'Données projet'!$E$11+1,1))-AVERAGE(OFFSET($H$3,0,0,'Données projet'!$E$11+1,1))</f>
        <v>695.93700574708214</v>
      </c>
      <c r="BJ55" s="59">
        <f t="shared" si="38"/>
        <v>318.31690229208471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10.070812706123888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10.070812706123888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174.20000000000005</v>
      </c>
      <c r="BZ55" s="13">
        <f>BY55*VLOOKUP('Données projet'!$B$12,Paramètres!$A$1:$I$89,3,0)*VLOOKUP('Données projet'!$B$12,Paramètres!$A$1:$I$89,5,0)</f>
        <v>114.13584000000003</v>
      </c>
      <c r="CA55" s="13">
        <f t="shared" si="39"/>
        <v>30.303317693701107</v>
      </c>
      <c r="CB55" s="20">
        <f t="shared" si="10"/>
        <v>251.56486631652947</v>
      </c>
      <c r="CC55" s="59">
        <f t="shared" si="11"/>
        <v>505.8895770987632</v>
      </c>
      <c r="CD55" s="59">
        <f ca="1">AVERAGE(OFFSET($CC$3,0,0,'Données projet'!$E$12+1,1))-AVERAGE(OFFSET($H$3,0,0,'Données projet'!$E$12+1,1))</f>
        <v>260.25859566735949</v>
      </c>
      <c r="CE55" s="59">
        <f t="shared" si="40"/>
        <v>256.93649773468667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3.6754240508532092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3.6754240508532092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174.20000000000005</v>
      </c>
      <c r="CU55" s="17">
        <f>CT55*VLOOKUP('Données projet'!$B$13,Paramètres!$A$1:$I$89,3,0)*VLOOKUP('Données projet'!$B$13,Paramètres!$A$1:$I$89,5,0)</f>
        <v>114.13584000000003</v>
      </c>
      <c r="CV55" s="13">
        <f t="shared" si="41"/>
        <v>30.303317693701107</v>
      </c>
      <c r="CW55" s="20">
        <f t="shared" si="13"/>
        <v>251.56486631652947</v>
      </c>
      <c r="CX55" s="59">
        <f t="shared" si="14"/>
        <v>505.8895770987632</v>
      </c>
      <c r="CY55" s="59">
        <f ca="1">AVERAGE(OFFSET($CX$3,0,0,'Données projet'!$E$13+1,1))-AVERAGE(OFFSET($H$3,0,0,'Données projet'!$E$13+1,1))</f>
        <v>260.25859566735949</v>
      </c>
      <c r="CZ55" s="59">
        <f t="shared" si="42"/>
        <v>256.93649773468667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3.6754240508532092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3.6754240508532092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8.8159999999999989</v>
      </c>
      <c r="DO55" s="12">
        <f>IF('Données projet'!$A$166&gt;35,DO54+DN55-DW54,IF(A55&lt;'Données projet'!$A$166,$DL$205^A55,IF(A55='Données projet'!$A$166,'Données projet'!$B$166,DO54+DN55-DW54)))</f>
        <v>250.16399999999999</v>
      </c>
      <c r="DP55" s="17">
        <f>DO55*VLOOKUP('Données projet'!$B$14,Paramètres!$A$1:$I$89,3,0)*VLOOKUP('Données projet'!$B$14,Paramètres!$A$1:$I$89,5,0)</f>
        <v>143.093808</v>
      </c>
      <c r="DQ55" s="13">
        <f t="shared" si="43"/>
        <v>37.004849323676581</v>
      </c>
      <c r="DR55" s="20">
        <f t="shared" si="16"/>
        <v>313.67182817206998</v>
      </c>
      <c r="DS55" s="59">
        <f t="shared" si="17"/>
        <v>567.99653895430367</v>
      </c>
      <c r="DT55" s="59">
        <f ca="1">AVERAGE(OFFSET($DS$3,0,0,'Données projet'!$E$14+1,1))-AVERAGE(OFFSET($H$3,0,0,'Données projet'!$E$14+1,1))</f>
        <v>349.56396446903</v>
      </c>
      <c r="DU55" s="59">
        <f t="shared" si="44"/>
        <v>270.64279448634522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7.0740141248660153</v>
      </c>
      <c r="EB55" s="21">
        <f>EXP(-LN(2)/25)*EB54+(1-EXP(-LN(2)/25))/(LN(2)/25)*Calculateur!DW55*Calculateur!DY55*VLOOKUP('Données projet'!$B$14,Paramètres!$A$1:$I$89,3,0)*0.475*44/12</f>
        <v>40.978602535554636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48.052616660420654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14.12</v>
      </c>
      <c r="EJ55" s="12">
        <f>IF('Données projet'!$A$192&gt;35,EJ54+EI55-ER54,IF(A55&lt;'Données projet'!$A$192,$EG$205^A55,IF(A55='Données projet'!$A$192,'Données projet'!$B$192,EJ54+EI55-ER54)))</f>
        <v>327.98000000000019</v>
      </c>
      <c r="EK55" s="17">
        <f>EJ55*VLOOKUP('Données projet'!$B$15,Paramètres!$A$1:$I$89,3,0)*VLOOKUP('Données projet'!$B$15,Paramètres!$A$1:$I$89,5,0)</f>
        <v>196.13204000000013</v>
      </c>
      <c r="EL55" s="13">
        <f t="shared" si="45"/>
        <v>48.893143423385645</v>
      </c>
      <c r="EM55" s="20">
        <f t="shared" si="19"/>
        <v>426.75219446239686</v>
      </c>
      <c r="EN55" s="59">
        <f t="shared" si="20"/>
        <v>681.07690524463055</v>
      </c>
      <c r="EO55" s="59">
        <f ca="1">AVERAGE(OFFSET($EN$3,0,0,'Données projet'!$E$15+1,1))-AVERAGE(OFFSET($H$3,0,0,'Données projet'!$E$15+1,1))</f>
        <v>375.89365709113105</v>
      </c>
      <c r="EP55" s="59">
        <f t="shared" si="46"/>
        <v>279.39056561403834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19.000365335130056</v>
      </c>
      <c r="EW55" s="21">
        <f>EXP(-LN(2)/25)*EW54+(1-EXP(-LN(2)/25))/(LN(2)/25)*Calculateur!ER55*Calculateur!ET55*VLOOKUP('Données projet'!$B$15,Paramètres!$A$1:$I$89,3,0)*0.475*44/12</f>
        <v>38.423590028947515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57.423955364077571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>
        <f>VLOOKUP(A55,'Données projet'!$A$217:$I$237,2,0)</f>
        <v>406.59</v>
      </c>
      <c r="FC55" s="12">
        <f>VLOOKUP(A55,'Données projet'!$A$217:$I$237,9,0)</f>
        <v>14.64374999999999</v>
      </c>
      <c r="FD55" s="12">
        <f t="array" ref="FD55">INDEX(FC:FC,MIN(IF(ISNUMBER(FC55:FC251),ROW(FC55:FC251),"")))</f>
        <v>14.64374999999999</v>
      </c>
      <c r="FE55" s="12">
        <f>IF('Données projet'!$A$218&gt;35,FE54+FD55-FM54,IF(A55&lt;'Données projet'!$A$218,$FB$205^A55,IF(A55='Données projet'!$A$218,'Données projet'!$B$218,FE54+FD55-FM54)))</f>
        <v>406.59</v>
      </c>
      <c r="FF55" s="17">
        <f>FE55*VLOOKUP('Données projet'!$B$16,Paramètres!$A$1:$I$89,3,0)*VLOOKUP('Données projet'!$B$16,Paramètres!$A$1:$I$89,5,0)</f>
        <v>243.14081999999999</v>
      </c>
      <c r="FG55" s="13">
        <f t="shared" si="47"/>
        <v>59.114781000830845</v>
      </c>
      <c r="FH55" s="20">
        <f t="shared" si="22"/>
        <v>526.42850507644698</v>
      </c>
      <c r="FI55" s="59">
        <f t="shared" si="23"/>
        <v>780.75321585868073</v>
      </c>
      <c r="FJ55" s="59">
        <f ca="1">AVERAGE(OFFSET($FI$3,0,0,'Données projet'!$E$16+1,1))-AVERAGE(OFFSET($H$3,0,0,'Données projet'!$E$16+1,1))</f>
        <v>319.29539841078537</v>
      </c>
      <c r="FK55" s="59">
        <f t="shared" si="48"/>
        <v>327.26871144121412</v>
      </c>
      <c r="FL55" s="15">
        <f>IF(ISNA(VLOOKUP(A55,'Données projet'!$A$217:$I$237,3,0)),0,VLOOKUP(A55,'Données projet'!$A$217:$I$237,3,0))</f>
        <v>6</v>
      </c>
      <c r="FM55" s="15">
        <f>IF(ISNA(VLOOKUP(A55,'Données projet'!$A$217:$I$237,4,0)),0,VLOOKUP(A55,'Données projet'!$A$217:$I$237,4,0))</f>
        <v>75.37</v>
      </c>
      <c r="FN55" s="16">
        <f>IF(ISNA(VLOOKUP(A55,'Données projet'!$A$217:$I$237,5,0)),0%,VLOOKUP(A55,'Données projet'!$A$217:$I$237,5,0)*VLOOKUP('Données projet'!$B$16,Paramètres!$A$1:$I$89,7,0))</f>
        <v>0.315</v>
      </c>
      <c r="FO55" s="16">
        <f>IF(ISNA(VLOOKUP(A55,'Données projet'!$A$217:$I$237,6,0)),0%,VLOOKUP(A55,'Données projet'!$A$217:$I$237,6,0)*VLOOKUP('Données projet'!$B$16,Paramètres!$A$1:$I$89,7,0))</f>
        <v>0.13500000000000001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34.286909070273168</v>
      </c>
      <c r="FR55" s="21">
        <f>EXP(-LN(2)/25)*FR54+(1-EXP(-LN(2)/25))/(LN(2)/25)*Calculateur!FM55*Calculateur!FO55*VLOOKUP('Données projet'!$B$16,Paramètres!$A$1:$I$89,3,0)*0.475*44/12</f>
        <v>48.872307388581874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83.159216458855042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25.673333333333346</v>
      </c>
      <c r="FZ55" s="12">
        <f>IF('Données projet'!$A$244&gt;35,FZ54+FY55-GH54,IF(A55&lt;'Données projet'!$A$244,$FW$205^A55,IF(A55='Données projet'!$A$244,'Données projet'!$B$244,FZ54+FY55-GH54)))</f>
        <v>656.40333333333342</v>
      </c>
      <c r="GA55" s="17">
        <f>FZ55*VLOOKUP('Données projet'!$B$17,Paramètres!$A$1:$I$89,3,0)*VLOOKUP('Données projet'!$B$17,Paramètres!$A$1:$I$89,5,0)</f>
        <v>290.13027333333343</v>
      </c>
      <c r="GB55" s="13">
        <f t="shared" si="49"/>
        <v>69.103378589915536</v>
      </c>
      <c r="GC55" s="20">
        <f t="shared" si="25"/>
        <v>625.66527709965862</v>
      </c>
      <c r="GD55" s="59">
        <f t="shared" si="26"/>
        <v>879.98998788189238</v>
      </c>
      <c r="GE55" s="59">
        <f ca="1">AVERAGE(OFFSET($GD$3,0,0,'Données projet'!$E$17+1,1))-AVERAGE(OFFSET($H$3,0,0,'Données projet'!$E$17+1,1))</f>
        <v>342.89128067483233</v>
      </c>
      <c r="GF55" s="59">
        <f t="shared" si="50"/>
        <v>453.47615302202996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27.165971710679862</v>
      </c>
      <c r="GM55" s="21">
        <f>EXP(-LN(2)/25)*GM54+(1-EXP(-LN(2)/25))/(LN(2)/25)*Calculateur!GH55*Calculateur!GJ55*VLOOKUP('Données projet'!$B$17,Paramètres!$A$1:$I$89,3,0)*0.475*44/12</f>
        <v>74.467257957031919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101.63322966771179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59.361284758791008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14.12</v>
      </c>
      <c r="GU55" s="12">
        <f>IF('Données projet'!$A$270&gt;35,GU54+GT55-HC54,IF(A55&lt;'Données projet'!$A$270,$GR$205^A55,IF(A55='Données projet'!$A$270,'Données projet'!$B$270,GU54+GT55-HC54)))</f>
        <v>327.98000000000019</v>
      </c>
      <c r="GV55" s="17">
        <f>GU55*VLOOKUP('Données projet'!$B$18,Paramètres!$A$1:$I$89,3,0)*VLOOKUP('Données projet'!$B$18,Paramètres!$A$1:$I$89,5,0)</f>
        <v>196.13204000000013</v>
      </c>
      <c r="GW55" s="13">
        <f t="shared" si="51"/>
        <v>48.893143423385645</v>
      </c>
      <c r="GX55" s="20">
        <f t="shared" si="28"/>
        <v>426.75219446239686</v>
      </c>
      <c r="GY55" s="59">
        <f t="shared" si="29"/>
        <v>681.07690524463055</v>
      </c>
      <c r="GZ55" s="59">
        <f ca="1">AVERAGE(OFFSET($GY$3,0,0,'Données projet'!$E$18+1,1))-AVERAGE(OFFSET($H$3,0,0,'Données projet'!$E$18+1,1))</f>
        <v>375.89365709113105</v>
      </c>
      <c r="HA55" s="59">
        <f t="shared" si="52"/>
        <v>279.39056561403834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19.000365335130056</v>
      </c>
      <c r="HH55" s="21">
        <f>EXP(-LN(2)/25)*HH54+(1-EXP(-LN(2)/25))/(LN(2)/25)*Calculateur!HC55*Calculateur!HE55*VLOOKUP('Données projet'!$B$18,Paramètres!$A$1:$I$89,3,0)*0.475*44/12</f>
        <v>38.423590028947515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57.423955364077571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178.09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170.19401100000013</v>
      </c>
      <c r="P56" s="13">
        <f t="shared" si="33"/>
        <v>43.133472710542861</v>
      </c>
      <c r="Q56" s="20">
        <f t="shared" si="53"/>
        <v>371.54536746252899</v>
      </c>
      <c r="R56" s="59">
        <f t="shared" si="0"/>
        <v>626.5467906358092</v>
      </c>
      <c r="S56" s="59">
        <f ca="1">AVERAGE(OFFSET($R$3,0,0,'Données projet'!$E$9+1,1))-AVERAGE(OFFSET($H$3,0,0,'Données projet'!$E$9+1,1))</f>
        <v>631.31712308065664</v>
      </c>
      <c r="T56" s="59">
        <f t="shared" si="34"/>
        <v>290.92244624361285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8.8100484964564476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8.8100484964564476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8.757142857142858</v>
      </c>
      <c r="AI56" s="13">
        <f>IF('Données projet'!$A$62&gt;35,AI55+AH56-AQ55,IF(A56&lt;'Données projet'!$A$62,$AF$205^A56,IF(A56='Données projet'!$A$62,'Données projet'!$B$62,AI55+AH56-AQ55)))</f>
        <v>130.03714285714287</v>
      </c>
      <c r="AJ56" s="13">
        <f>AI56*VLOOKUP('Données projet'!$B$10,Paramètres!$A$1:$I$89,3,0)*VLOOKUP('Données projet'!$B$10,Paramètres!$A$1:$I$89,5,0)</f>
        <v>109.54328914285718</v>
      </c>
      <c r="AK56" s="13">
        <f t="shared" si="35"/>
        <v>29.223353890386761</v>
      </c>
      <c r="AL56" s="20">
        <f t="shared" si="4"/>
        <v>241.6852366162332</v>
      </c>
      <c r="AM56" s="59">
        <f t="shared" si="5"/>
        <v>496.68665978951344</v>
      </c>
      <c r="AN56" s="59">
        <f ca="1">AVERAGE(OFFSET($AM$3,0,0,'Données projet'!$E$10+1,1))-AVERAGE(OFFSET($H$3,0,0,'Données projet'!$E$10+1,1))</f>
        <v>401.19166052471473</v>
      </c>
      <c r="AO56" s="59">
        <f t="shared" si="36"/>
        <v>271.10067497534271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8.8279601764071689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8.8279601764071689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190.73466750000017</v>
      </c>
      <c r="BF56" s="13">
        <f t="shared" si="37"/>
        <v>47.70234090493684</v>
      </c>
      <c r="BG56" s="20">
        <f t="shared" si="7"/>
        <v>415.27778963859856</v>
      </c>
      <c r="BH56" s="59">
        <f t="shared" si="8"/>
        <v>670.27921281187878</v>
      </c>
      <c r="BI56" s="59">
        <f ca="1">AVERAGE(OFFSET($BH$3,0,0,'Données projet'!$E$11+1,1))-AVERAGE(OFFSET($H$3,0,0,'Données projet'!$E$11+1,1))</f>
        <v>695.93700574708214</v>
      </c>
      <c r="BJ56" s="59">
        <f t="shared" si="38"/>
        <v>318.31690229208471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9.8733302115460191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9.8733302115460191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179.80000000000004</v>
      </c>
      <c r="BZ56" s="13">
        <f>BY56*VLOOKUP('Données projet'!$B$12,Paramètres!$A$1:$I$89,3,0)*VLOOKUP('Données projet'!$B$12,Paramètres!$A$1:$I$89,5,0)</f>
        <v>117.80496000000004</v>
      </c>
      <c r="CA56" s="13">
        <f t="shared" si="39"/>
        <v>31.162493487829593</v>
      </c>
      <c r="CB56" s="20">
        <f t="shared" si="10"/>
        <v>259.45164815796994</v>
      </c>
      <c r="CC56" s="59">
        <f t="shared" si="11"/>
        <v>514.45307133125016</v>
      </c>
      <c r="CD56" s="59">
        <f ca="1">AVERAGE(OFFSET($CC$3,0,0,'Données projet'!$E$12+1,1))-AVERAGE(OFFSET($H$3,0,0,'Données projet'!$E$12+1,1))</f>
        <v>260.25859566735949</v>
      </c>
      <c r="CE56" s="59">
        <f t="shared" si="40"/>
        <v>256.93649773468667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3.6033512270032908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3.6033512270032908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179.80000000000004</v>
      </c>
      <c r="CU56" s="17">
        <f>CT56*VLOOKUP('Données projet'!$B$13,Paramètres!$A$1:$I$89,3,0)*VLOOKUP('Données projet'!$B$13,Paramètres!$A$1:$I$89,5,0)</f>
        <v>117.80496000000004</v>
      </c>
      <c r="CV56" s="13">
        <f t="shared" si="41"/>
        <v>31.162493487829593</v>
      </c>
      <c r="CW56" s="20">
        <f t="shared" si="13"/>
        <v>259.45164815796994</v>
      </c>
      <c r="CX56" s="59">
        <f t="shared" si="14"/>
        <v>514.45307133125016</v>
      </c>
      <c r="CY56" s="59">
        <f ca="1">AVERAGE(OFFSET($CX$3,0,0,'Données projet'!$E$13+1,1))-AVERAGE(OFFSET($H$3,0,0,'Données projet'!$E$13+1,1))</f>
        <v>260.25859566735949</v>
      </c>
      <c r="CZ56" s="59">
        <f t="shared" si="42"/>
        <v>256.93649773468667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3.6033512270032908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3.6033512270032908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8.8159999999999989</v>
      </c>
      <c r="DO56" s="12">
        <f>IF('Données projet'!$A$166&gt;35,DO55+DN56-DW55,IF(A56&lt;'Données projet'!$A$166,$DL$205^A56,IF(A56='Données projet'!$A$166,'Données projet'!$B$166,DO55+DN56-DW55)))</f>
        <v>258.97999999999996</v>
      </c>
      <c r="DP56" s="17">
        <f>DO56*VLOOKUP('Données projet'!$B$14,Paramètres!$A$1:$I$89,3,0)*VLOOKUP('Données projet'!$B$14,Paramètres!$A$1:$I$89,5,0)</f>
        <v>148.13655999999997</v>
      </c>
      <c r="DQ56" s="13">
        <f t="shared" si="43"/>
        <v>38.154804591800527</v>
      </c>
      <c r="DR56" s="20">
        <f t="shared" si="16"/>
        <v>324.45745999738591</v>
      </c>
      <c r="DS56" s="59">
        <f t="shared" si="17"/>
        <v>579.45888317066613</v>
      </c>
      <c r="DT56" s="59">
        <f ca="1">AVERAGE(OFFSET($DS$3,0,0,'Données projet'!$E$14+1,1))-AVERAGE(OFFSET($H$3,0,0,'Données projet'!$E$14+1,1))</f>
        <v>349.56396446903</v>
      </c>
      <c r="DU56" s="59">
        <f t="shared" si="44"/>
        <v>270.64279448634522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6.9352970225999657</v>
      </c>
      <c r="EB56" s="21">
        <f>EXP(-LN(2)/25)*EB55+(1-EXP(-LN(2)/25))/(LN(2)/25)*Calculateur!DW56*Calculateur!DY56*VLOOKUP('Données projet'!$B$14,Paramètres!$A$1:$I$89,3,0)*0.475*44/12</f>
        <v>39.858040494248847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46.793337516848815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14.12</v>
      </c>
      <c r="EJ56" s="12">
        <f>IF('Données projet'!$A$192&gt;35,EJ55+EI56-ER55,IF(A56&lt;'Données projet'!$A$192,$EG$205^A56,IF(A56='Données projet'!$A$192,'Données projet'!$B$192,EJ55+EI56-ER55)))</f>
        <v>342.10000000000019</v>
      </c>
      <c r="EK56" s="17">
        <f>EJ56*VLOOKUP('Données projet'!$B$15,Paramètres!$A$1:$I$89,3,0)*VLOOKUP('Données projet'!$B$15,Paramètres!$A$1:$I$89,5,0)</f>
        <v>204.57580000000013</v>
      </c>
      <c r="EL56" s="13">
        <f t="shared" si="45"/>
        <v>50.748462290021173</v>
      </c>
      <c r="EM56" s="20">
        <f t="shared" si="19"/>
        <v>444.68975682178706</v>
      </c>
      <c r="EN56" s="59">
        <f t="shared" si="20"/>
        <v>699.69117999506727</v>
      </c>
      <c r="EO56" s="59">
        <f ca="1">AVERAGE(OFFSET($EN$3,0,0,'Données projet'!$E$15+1,1))-AVERAGE(OFFSET($H$3,0,0,'Données projet'!$E$15+1,1))</f>
        <v>375.89365709113105</v>
      </c>
      <c r="EP56" s="59">
        <f t="shared" si="46"/>
        <v>279.39056561403834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18.627779759986684</v>
      </c>
      <c r="EW56" s="21">
        <f>EXP(-LN(2)/25)*EW55+(1-EXP(-LN(2)/25))/(LN(2)/25)*Calculateur!ER56*Calculateur!ET56*VLOOKUP('Données projet'!$B$15,Paramètres!$A$1:$I$89,3,0)*0.475*44/12</f>
        <v>37.372894938997163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56.000674698983843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13.14</v>
      </c>
      <c r="FE56" s="12">
        <f>IF('Données projet'!$A$218&gt;35,FE55+FD56-FM55,IF(A56&lt;'Données projet'!$A$218,$FB$205^A56,IF(A56='Données projet'!$A$218,'Données projet'!$B$218,FE55+FD56-FM55)))</f>
        <v>344.35999999999996</v>
      </c>
      <c r="FF56" s="17">
        <f>FE56*VLOOKUP('Données projet'!$B$16,Paramètres!$A$1:$I$89,3,0)*VLOOKUP('Données projet'!$B$16,Paramètres!$A$1:$I$89,5,0)</f>
        <v>205.92728</v>
      </c>
      <c r="FG56" s="13">
        <f t="shared" si="47"/>
        <v>51.04458202864172</v>
      </c>
      <c r="FH56" s="20">
        <f t="shared" si="22"/>
        <v>447.55932636655098</v>
      </c>
      <c r="FI56" s="59">
        <f t="shared" si="23"/>
        <v>702.56074953983125</v>
      </c>
      <c r="FJ56" s="59">
        <f ca="1">AVERAGE(OFFSET($FI$3,0,0,'Données projet'!$E$16+1,1))-AVERAGE(OFFSET($H$3,0,0,'Données projet'!$E$16+1,1))</f>
        <v>319.29539841078537</v>
      </c>
      <c r="FK56" s="59">
        <f t="shared" si="48"/>
        <v>327.26871144121412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33.614563696354665</v>
      </c>
      <c r="FR56" s="21">
        <f>EXP(-LN(2)/25)*FR55+(1-EXP(-LN(2)/25))/(LN(2)/25)*Calculateur!FM56*Calculateur!FO56*VLOOKUP('Données projet'!$B$16,Paramètres!$A$1:$I$89,3,0)*0.475*44/12</f>
        <v>47.535891572958157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81.150455269312829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25.673333333333346</v>
      </c>
      <c r="FZ56" s="12">
        <f>IF('Données projet'!$A$244&gt;35,FZ55+FY56-GH55,IF(A56&lt;'Données projet'!$A$244,$FW$205^A56,IF(A56='Données projet'!$A$244,'Données projet'!$B$244,FZ55+FY56-GH55)))</f>
        <v>682.07666666666682</v>
      </c>
      <c r="GA56" s="17">
        <f>FZ56*VLOOKUP('Données projet'!$B$17,Paramètres!$A$1:$I$89,3,0)*VLOOKUP('Données projet'!$B$17,Paramètres!$A$1:$I$89,5,0)</f>
        <v>301.47788666666673</v>
      </c>
      <c r="GB56" s="13">
        <f t="shared" si="49"/>
        <v>71.486196620680417</v>
      </c>
      <c r="GC56" s="20">
        <f t="shared" si="25"/>
        <v>649.57911172546289</v>
      </c>
      <c r="GD56" s="59">
        <f t="shared" si="26"/>
        <v>904.58053489874317</v>
      </c>
      <c r="GE56" s="59">
        <f ca="1">AVERAGE(OFFSET($GD$3,0,0,'Données projet'!$E$17+1,1))-AVERAGE(OFFSET($H$3,0,0,'Données projet'!$E$17+1,1))</f>
        <v>342.89128067483233</v>
      </c>
      <c r="GF56" s="59">
        <f t="shared" si="50"/>
        <v>453.47615302202996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26.633263575040061</v>
      </c>
      <c r="GM56" s="21">
        <f>EXP(-LN(2)/25)*GM55+(1-EXP(-LN(2)/25))/(LN(2)/25)*Calculateur!GH56*Calculateur!GJ56*VLOOKUP('Données projet'!$B$17,Paramètres!$A$1:$I$89,3,0)*0.475*44/12</f>
        <v>72.430946872133987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99.064210447174048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59.545842683621892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14.12</v>
      </c>
      <c r="GU56" s="12">
        <f>IF('Données projet'!$A$270&gt;35,GU55+GT56-HC55,IF(A56&lt;'Données projet'!$A$270,$GR$205^A56,IF(A56='Données projet'!$A$270,'Données projet'!$B$270,GU55+GT56-HC55)))</f>
        <v>342.10000000000019</v>
      </c>
      <c r="GV56" s="17">
        <f>GU56*VLOOKUP('Données projet'!$B$18,Paramètres!$A$1:$I$89,3,0)*VLOOKUP('Données projet'!$B$18,Paramètres!$A$1:$I$89,5,0)</f>
        <v>204.57580000000013</v>
      </c>
      <c r="GW56" s="13">
        <f t="shared" si="51"/>
        <v>50.748462290021173</v>
      </c>
      <c r="GX56" s="20">
        <f t="shared" si="28"/>
        <v>444.68975682178706</v>
      </c>
      <c r="GY56" s="59">
        <f t="shared" si="29"/>
        <v>699.69117999506727</v>
      </c>
      <c r="GZ56" s="59">
        <f ca="1">AVERAGE(OFFSET($GY$3,0,0,'Données projet'!$E$18+1,1))-AVERAGE(OFFSET($H$3,0,0,'Données projet'!$E$18+1,1))</f>
        <v>375.89365709113105</v>
      </c>
      <c r="HA56" s="59">
        <f t="shared" si="52"/>
        <v>279.39056561403834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18.627779759986684</v>
      </c>
      <c r="HH56" s="21">
        <f>EXP(-LN(2)/25)*HH55+(1-EXP(-LN(2)/25))/(LN(2)/25)*Calculateur!HC56*Calculateur!HE56*VLOOKUP('Données projet'!$B$18,Paramètres!$A$1:$I$89,3,0)*0.475*44/12</f>
        <v>37.372894938997163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56.000674698983843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178.09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178.83824400000015</v>
      </c>
      <c r="P57" s="13">
        <f t="shared" si="33"/>
        <v>45.06361953668285</v>
      </c>
      <c r="Q57" s="20">
        <f t="shared" si="53"/>
        <v>389.96241232638954</v>
      </c>
      <c r="R57" s="59">
        <f t="shared" si="0"/>
        <v>645.62880844363394</v>
      </c>
      <c r="S57" s="59">
        <f ca="1">AVERAGE(OFFSET($R$3,0,0,'Données projet'!$E$9+1,1))-AVERAGE(OFFSET($H$3,0,0,'Données projet'!$E$9+1,1))</f>
        <v>631.31712308065664</v>
      </c>
      <c r="T57" s="59">
        <f t="shared" si="34"/>
        <v>290.92244624361285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8.6372888190399202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8.6372888190399202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8.757142857142858</v>
      </c>
      <c r="AI57" s="13">
        <f>IF('Données projet'!$A$62&gt;35,AI56+AH57-AQ56,IF(A57&lt;'Données projet'!$A$62,$AF$205^A57,IF(A57='Données projet'!$A$62,'Données projet'!$B$62,AI56+AH57-AQ56)))</f>
        <v>138.79428571428573</v>
      </c>
      <c r="AJ57" s="13">
        <f>AI57*VLOOKUP('Données projet'!$B$10,Paramètres!$A$1:$I$89,3,0)*VLOOKUP('Données projet'!$B$10,Paramètres!$A$1:$I$89,5,0)</f>
        <v>116.9203062857143</v>
      </c>
      <c r="AK57" s="13">
        <f t="shared" si="35"/>
        <v>30.95562804985342</v>
      </c>
      <c r="AL57" s="20">
        <f t="shared" si="4"/>
        <v>257.55058563444715</v>
      </c>
      <c r="AM57" s="59">
        <f t="shared" si="5"/>
        <v>513.21698175169149</v>
      </c>
      <c r="AN57" s="59">
        <f ca="1">AVERAGE(OFFSET($AM$3,0,0,'Données projet'!$E$10+1,1))-AVERAGE(OFFSET($H$3,0,0,'Données projet'!$E$10+1,1))</f>
        <v>401.19166052471473</v>
      </c>
      <c r="AO57" s="59">
        <f t="shared" si="36"/>
        <v>271.10067497534271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8.6548492618718544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8.6548492618718544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200.42217000000019</v>
      </c>
      <c r="BF57" s="13">
        <f t="shared" si="37"/>
        <v>49.83693652432936</v>
      </c>
      <c r="BG57" s="20">
        <f t="shared" si="7"/>
        <v>435.8679438632073</v>
      </c>
      <c r="BH57" s="59">
        <f t="shared" si="8"/>
        <v>691.5343399804517</v>
      </c>
      <c r="BI57" s="59">
        <f ca="1">AVERAGE(OFFSET($BH$3,0,0,'Données projet'!$E$11+1,1))-AVERAGE(OFFSET($H$3,0,0,'Données projet'!$E$11+1,1))</f>
        <v>695.93700574708214</v>
      </c>
      <c r="BJ57" s="59">
        <f t="shared" si="38"/>
        <v>318.31690229208471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9.6797202282343946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9.6797202282343946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185.40000000000003</v>
      </c>
      <c r="BZ57" s="13">
        <f>BY57*VLOOKUP('Données projet'!$B$12,Paramètres!$A$1:$I$89,3,0)*VLOOKUP('Données projet'!$B$12,Paramètres!$A$1:$I$89,5,0)</f>
        <v>121.47408000000001</v>
      </c>
      <c r="CA57" s="13">
        <f t="shared" si="39"/>
        <v>32.018559567275666</v>
      </c>
      <c r="CB57" s="20">
        <f t="shared" si="10"/>
        <v>267.33301391300517</v>
      </c>
      <c r="CC57" s="59">
        <f t="shared" si="11"/>
        <v>522.99941003024958</v>
      </c>
      <c r="CD57" s="59">
        <f ca="1">AVERAGE(OFFSET($CC$3,0,0,'Données projet'!$E$12+1,1))-AVERAGE(OFFSET($H$3,0,0,'Données projet'!$E$12+1,1))</f>
        <v>260.25859566735949</v>
      </c>
      <c r="CE57" s="59">
        <f t="shared" si="40"/>
        <v>256.93649773468667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3.5326917072689872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3.5326917072689872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185.40000000000003</v>
      </c>
      <c r="CU57" s="17">
        <f>CT57*VLOOKUP('Données projet'!$B$13,Paramètres!$A$1:$I$89,3,0)*VLOOKUP('Données projet'!$B$13,Paramètres!$A$1:$I$89,5,0)</f>
        <v>121.47408000000001</v>
      </c>
      <c r="CV57" s="13">
        <f t="shared" si="41"/>
        <v>32.018559567275666</v>
      </c>
      <c r="CW57" s="20">
        <f t="shared" si="13"/>
        <v>267.33301391300517</v>
      </c>
      <c r="CX57" s="59">
        <f t="shared" si="14"/>
        <v>522.99941003024958</v>
      </c>
      <c r="CY57" s="59">
        <f ca="1">AVERAGE(OFFSET($CX$3,0,0,'Données projet'!$E$13+1,1))-AVERAGE(OFFSET($H$3,0,0,'Données projet'!$E$13+1,1))</f>
        <v>260.25859566735949</v>
      </c>
      <c r="CZ57" s="59">
        <f t="shared" si="42"/>
        <v>256.93649773468667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3.5326917072689872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3.5326917072689872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8.8159999999999989</v>
      </c>
      <c r="DO57" s="12">
        <f>IF('Données projet'!$A$166&gt;35,DO56+DN57-DW56,IF(A57&lt;'Données projet'!$A$166,$DL$205^A57,IF(A57='Données projet'!$A$166,'Données projet'!$B$166,DO56+DN57-DW56)))</f>
        <v>267.79599999999994</v>
      </c>
      <c r="DP57" s="17">
        <f>DO57*VLOOKUP('Données projet'!$B$14,Paramètres!$A$1:$I$89,3,0)*VLOOKUP('Données projet'!$B$14,Paramètres!$A$1:$I$89,5,0)</f>
        <v>153.17931199999998</v>
      </c>
      <c r="DQ57" s="13">
        <f t="shared" si="43"/>
        <v>39.300211364530007</v>
      </c>
      <c r="DR57" s="20">
        <f t="shared" si="16"/>
        <v>335.23516985988971</v>
      </c>
      <c r="DS57" s="59">
        <f t="shared" si="17"/>
        <v>590.90156597713417</v>
      </c>
      <c r="DT57" s="59">
        <f ca="1">AVERAGE(OFFSET($DS$3,0,0,'Données projet'!$E$14+1,1))-AVERAGE(OFFSET($H$3,0,0,'Données projet'!$E$14+1,1))</f>
        <v>349.56396446903</v>
      </c>
      <c r="DU57" s="59">
        <f t="shared" si="44"/>
        <v>270.64279448634522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6.7993000781002753</v>
      </c>
      <c r="EB57" s="21">
        <f>EXP(-LN(2)/25)*EB56+(1-EXP(-LN(2)/25))/(LN(2)/25)*Calculateur!DW57*Calculateur!DY57*VLOOKUP('Données projet'!$B$14,Paramètres!$A$1:$I$89,3,0)*0.475*44/12</f>
        <v>38.768120280890358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45.567420358990631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14.12</v>
      </c>
      <c r="EJ57" s="12">
        <f>IF('Données projet'!$A$192&gt;35,EJ56+EI57-ER56,IF(A57&lt;'Données projet'!$A$192,$EG$205^A57,IF(A57='Données projet'!$A$192,'Données projet'!$B$192,EJ56+EI57-ER56)))</f>
        <v>356.2200000000002</v>
      </c>
      <c r="EK57" s="17">
        <f>EJ57*VLOOKUP('Données projet'!$B$15,Paramètres!$A$1:$I$89,3,0)*VLOOKUP('Données projet'!$B$15,Paramètres!$A$1:$I$89,5,0)</f>
        <v>213.01956000000015</v>
      </c>
      <c r="EL57" s="13">
        <f t="shared" si="45"/>
        <v>52.594886266766075</v>
      </c>
      <c r="EM57" s="20">
        <f t="shared" si="19"/>
        <v>462.61182724795117</v>
      </c>
      <c r="EN57" s="59">
        <f t="shared" si="20"/>
        <v>718.27822336519557</v>
      </c>
      <c r="EO57" s="59">
        <f ca="1">AVERAGE(OFFSET($EN$3,0,0,'Données projet'!$E$15+1,1))-AVERAGE(OFFSET($H$3,0,0,'Données projet'!$E$15+1,1))</f>
        <v>375.89365709113105</v>
      </c>
      <c r="EP57" s="59">
        <f t="shared" si="46"/>
        <v>279.39056561403834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18.262500360717112</v>
      </c>
      <c r="EW57" s="21">
        <f>EXP(-LN(2)/25)*EW56+(1-EXP(-LN(2)/25))/(LN(2)/25)*Calculateur!ER57*Calculateur!ET57*VLOOKUP('Données projet'!$B$15,Paramètres!$A$1:$I$89,3,0)*0.475*44/12</f>
        <v>36.350931161535158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54.61343152225227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13.14</v>
      </c>
      <c r="FE57" s="12">
        <f>IF('Données projet'!$A$218&gt;35,FE56+FD57-FM56,IF(A57&lt;'Données projet'!$A$218,$FB$205^A57,IF(A57='Données projet'!$A$218,'Données projet'!$B$218,FE56+FD57-FM56)))</f>
        <v>357.49999999999994</v>
      </c>
      <c r="FF57" s="17">
        <f>FE57*VLOOKUP('Données projet'!$B$16,Paramètres!$A$1:$I$89,3,0)*VLOOKUP('Données projet'!$B$16,Paramètres!$A$1:$I$89,5,0)</f>
        <v>213.785</v>
      </c>
      <c r="FG57" s="13">
        <f t="shared" si="47"/>
        <v>52.761841557402377</v>
      </c>
      <c r="FH57" s="20">
        <f t="shared" si="22"/>
        <v>464.23574904580914</v>
      </c>
      <c r="FI57" s="59">
        <f t="shared" si="23"/>
        <v>719.90214516305355</v>
      </c>
      <c r="FJ57" s="59">
        <f ca="1">AVERAGE(OFFSET($FI$3,0,0,'Données projet'!$E$16+1,1))-AVERAGE(OFFSET($H$3,0,0,'Données projet'!$E$16+1,1))</f>
        <v>319.29539841078537</v>
      </c>
      <c r="FK57" s="59">
        <f t="shared" si="48"/>
        <v>327.26871144121412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32.955402605128512</v>
      </c>
      <c r="FR57" s="21">
        <f>EXP(-LN(2)/25)*FR56+(1-EXP(-LN(2)/25))/(LN(2)/25)*Calculateur!FM57*Calculateur!FO57*VLOOKUP('Données projet'!$B$16,Paramètres!$A$1:$I$89,3,0)*0.475*44/12</f>
        <v>46.236020118091723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79.191422723220228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>
        <f>VLOOKUP(A57,'Données projet'!$A$243:$I$263,2,0)</f>
        <v>707.75</v>
      </c>
      <c r="FX57" s="12">
        <f>VLOOKUP(A57,'Données projet'!$A$243:$I$263,9,0)</f>
        <v>25.673333333333346</v>
      </c>
      <c r="FY57" s="12">
        <f t="array" ref="FY57">INDEX(FX:FX,MIN(IF(ISNUMBER(FX57:FX253),ROW(FX57:FX253),"")))</f>
        <v>25.673333333333346</v>
      </c>
      <c r="FZ57" s="12">
        <f>IF('Données projet'!$A$244&gt;35,FZ56+FY57-GH56,IF(A57&lt;'Données projet'!$A$244,$FW$205^A57,IF(A57='Données projet'!$A$244,'Données projet'!$B$244,FZ56+FY57-GH56)))</f>
        <v>707.75000000000023</v>
      </c>
      <c r="GA57" s="17">
        <f>FZ57*VLOOKUP('Données projet'!$B$17,Paramètres!$A$1:$I$89,3,0)*VLOOKUP('Données projet'!$B$17,Paramètres!$A$1:$I$89,5,0)</f>
        <v>312.82550000000015</v>
      </c>
      <c r="GB57" s="13">
        <f t="shared" si="49"/>
        <v>73.858595071350535</v>
      </c>
      <c r="GC57" s="20">
        <f t="shared" si="25"/>
        <v>673.47479891593559</v>
      </c>
      <c r="GD57" s="59">
        <f t="shared" si="26"/>
        <v>929.14119503318</v>
      </c>
      <c r="GE57" s="59">
        <f ca="1">AVERAGE(OFFSET($GD$3,0,0,'Données projet'!$E$17+1,1))-AVERAGE(OFFSET($H$3,0,0,'Données projet'!$E$17+1,1))</f>
        <v>342.89128067483233</v>
      </c>
      <c r="GF57" s="59">
        <f t="shared" si="50"/>
        <v>453.47615302202996</v>
      </c>
      <c r="GG57" s="15">
        <f>IF(ISNA(VLOOKUP(A57,'Données projet'!$A$243:$I$263,3,0)),0,VLOOKUP(A57,'Données projet'!$A$243:$I$263,3,0))</f>
        <v>7</v>
      </c>
      <c r="GH57" s="15">
        <f>IF(ISNA(VLOOKUP(A57,'Données projet'!$A$243:$I$263,4,0)),0,VLOOKUP(A57,'Données projet'!$A$243:$I$263,4,0))</f>
        <v>707.75</v>
      </c>
      <c r="GI57" s="16">
        <f>IF(ISNA(VLOOKUP(A57,'Données projet'!$A$243:$I$263,5,0)),0%,VLOOKUP(A57,'Données projet'!$A$243:$I$263,5,0)*VLOOKUP('Données projet'!$B$17,Paramètres!$A$1:$I$89,7,0))</f>
        <v>0.38500000000000001</v>
      </c>
      <c r="GJ57" s="16">
        <f>IF(ISNA(VLOOKUP(A57,'Données projet'!$A$243:$I$263,6,0)),0%,VLOOKUP(A57,'Données projet'!$A$243:$I$263,6,0)*VLOOKUP('Données projet'!$B$17,Paramètres!$A$1:$I$89,7,0))</f>
        <v>0.16500000000000001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185.87952930723455</v>
      </c>
      <c r="GM57" s="21">
        <f>EXP(-LN(2)/25)*GM56+(1-EXP(-LN(2)/25))/(LN(2)/25)*Calculateur!GH57*Calculateur!GJ57*VLOOKUP('Données projet'!$B$17,Paramètres!$A$1:$I$89,3,0)*0.475*44/12</f>
        <v>138.65294377053959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324.53247307777417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59.727198941066668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14.12</v>
      </c>
      <c r="GU57" s="12">
        <f>IF('Données projet'!$A$270&gt;35,GU56+GT57-HC56,IF(A57&lt;'Données projet'!$A$270,$GR$205^A57,IF(A57='Données projet'!$A$270,'Données projet'!$B$270,GU56+GT57-HC56)))</f>
        <v>356.2200000000002</v>
      </c>
      <c r="GV57" s="17">
        <f>GU57*VLOOKUP('Données projet'!$B$18,Paramètres!$A$1:$I$89,3,0)*VLOOKUP('Données projet'!$B$18,Paramètres!$A$1:$I$89,5,0)</f>
        <v>213.01956000000015</v>
      </c>
      <c r="GW57" s="13">
        <f t="shared" si="51"/>
        <v>52.594886266766075</v>
      </c>
      <c r="GX57" s="20">
        <f t="shared" si="28"/>
        <v>462.61182724795117</v>
      </c>
      <c r="GY57" s="59">
        <f t="shared" si="29"/>
        <v>718.27822336519557</v>
      </c>
      <c r="GZ57" s="59">
        <f ca="1">AVERAGE(OFFSET($GY$3,0,0,'Données projet'!$E$18+1,1))-AVERAGE(OFFSET($H$3,0,0,'Données projet'!$E$18+1,1))</f>
        <v>375.89365709113105</v>
      </c>
      <c r="HA57" s="59">
        <f t="shared" si="52"/>
        <v>279.39056561403834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18.262500360717112</v>
      </c>
      <c r="HH57" s="21">
        <f>EXP(-LN(2)/25)*HH56+(1-EXP(-LN(2)/25))/(LN(2)/25)*Calculateur!HC57*Calculateur!HE57*VLOOKUP('Données projet'!$B$18,Paramètres!$A$1:$I$89,3,0)*0.475*44/12</f>
        <v>36.350931161535158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54.61343152225227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178.09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187.48247700000016</v>
      </c>
      <c r="P58" s="13">
        <f t="shared" si="33"/>
        <v>46.982932911694917</v>
      </c>
      <c r="Q58" s="20">
        <f t="shared" si="53"/>
        <v>408.3605889295356</v>
      </c>
      <c r="R58" s="59">
        <f t="shared" si="0"/>
        <v>664.68042219682332</v>
      </c>
      <c r="S58" s="59">
        <f ca="1">AVERAGE(OFFSET($R$3,0,0,'Données projet'!$E$9+1,1))-AVERAGE(OFFSET($H$3,0,0,'Données projet'!$E$9+1,1))</f>
        <v>631.31712308065664</v>
      </c>
      <c r="T58" s="59">
        <f t="shared" si="34"/>
        <v>290.92244624361285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8.4679168535245335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8.4679168535245335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8.757142857142858</v>
      </c>
      <c r="AI58" s="13">
        <f>IF('Données projet'!$A$62&gt;35,AI57+AH58-AQ57,IF(A58&lt;'Données projet'!$A$62,$AF$205^A58,IF(A58='Données projet'!$A$62,'Données projet'!$B$62,AI57+AH58-AQ57)))</f>
        <v>147.5514285714286</v>
      </c>
      <c r="AJ58" s="13">
        <f>AI58*VLOOKUP('Données projet'!$B$10,Paramètres!$A$1:$I$89,3,0)*VLOOKUP('Données projet'!$B$10,Paramètres!$A$1:$I$89,5,0)</f>
        <v>124.29732342857146</v>
      </c>
      <c r="AK58" s="13">
        <f t="shared" si="35"/>
        <v>32.675217782102486</v>
      </c>
      <c r="AL58" s="20">
        <f t="shared" si="4"/>
        <v>273.39384260859043</v>
      </c>
      <c r="AM58" s="59">
        <f t="shared" si="5"/>
        <v>529.71367587587815</v>
      </c>
      <c r="AN58" s="59">
        <f ca="1">AVERAGE(OFFSET($AM$3,0,0,'Données projet'!$E$10+1,1))-AVERAGE(OFFSET($H$3,0,0,'Données projet'!$E$10+1,1))</f>
        <v>401.19166052471473</v>
      </c>
      <c r="AO58" s="59">
        <f t="shared" si="36"/>
        <v>271.10067497534271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8.4851329467833452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8.4851329467833452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210.10967250000019</v>
      </c>
      <c r="BF58" s="13">
        <f t="shared" si="37"/>
        <v>51.959551170560943</v>
      </c>
      <c r="BG58" s="20">
        <f t="shared" si="7"/>
        <v>456.43723122622731</v>
      </c>
      <c r="BH58" s="59">
        <f t="shared" si="8"/>
        <v>712.75706449351503</v>
      </c>
      <c r="BI58" s="59">
        <f ca="1">AVERAGE(OFFSET($BH$3,0,0,'Données projet'!$E$11+1,1))-AVERAGE(OFFSET($H$3,0,0,'Données projet'!$E$11+1,1))</f>
        <v>695.93700574708214</v>
      </c>
      <c r="BJ58" s="59">
        <f t="shared" si="38"/>
        <v>318.31690229208471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9.4899068186050819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9.4899068186050819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191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191.00000000000003</v>
      </c>
      <c r="BZ58" s="13">
        <f>BY58*VLOOKUP('Données projet'!$B$12,Paramètres!$A$1:$I$89,3,0)*VLOOKUP('Données projet'!$B$12,Paramètres!$A$1:$I$89,5,0)</f>
        <v>125.14320000000002</v>
      </c>
      <c r="CA58" s="13">
        <f t="shared" si="39"/>
        <v>32.871620642334328</v>
      </c>
      <c r="CB58" s="20">
        <f t="shared" si="10"/>
        <v>275.20914595206563</v>
      </c>
      <c r="CC58" s="59">
        <f t="shared" si="11"/>
        <v>531.52897921935335</v>
      </c>
      <c r="CD58" s="59">
        <f ca="1">AVERAGE(OFFSET($CC$3,0,0,'Données projet'!$E$12+1,1))-AVERAGE(OFFSET($H$3,0,0,'Données projet'!$E$12+1,1))</f>
        <v>260.25859566735949</v>
      </c>
      <c r="CE58" s="59">
        <f t="shared" si="40"/>
        <v>256.93649773468667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20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5.3321225947071937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5.3321225947071937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191</v>
      </c>
      <c r="CR58" s="12">
        <f>VLOOKUP(A58,'Données projet'!$A$139:$I$159,9,0)</f>
        <v>5.6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191.00000000000003</v>
      </c>
      <c r="CU58" s="17">
        <f>CT58*VLOOKUP('Données projet'!$B$13,Paramètres!$A$1:$I$89,3,0)*VLOOKUP('Données projet'!$B$13,Paramètres!$A$1:$I$89,5,0)</f>
        <v>125.14320000000002</v>
      </c>
      <c r="CV58" s="13">
        <f t="shared" si="41"/>
        <v>32.871620642334328</v>
      </c>
      <c r="CW58" s="20">
        <f t="shared" si="13"/>
        <v>275.20914595206563</v>
      </c>
      <c r="CX58" s="59">
        <f t="shared" si="14"/>
        <v>531.52897921935335</v>
      </c>
      <c r="CY58" s="59">
        <f ca="1">AVERAGE(OFFSET($CX$3,0,0,'Données projet'!$E$13+1,1))-AVERAGE(OFFSET($H$3,0,0,'Données projet'!$E$13+1,1))</f>
        <v>260.25859566735949</v>
      </c>
      <c r="CZ58" s="59">
        <f t="shared" si="42"/>
        <v>256.93649773468667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20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5.3321225947071937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5.3321225947071937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8.8159999999999989</v>
      </c>
      <c r="DO58" s="12">
        <f>IF('Données projet'!$A$166&gt;35,DO57+DN58-DW57,IF(A58&lt;'Données projet'!$A$166,$DL$205^A58,IF(A58='Données projet'!$A$166,'Données projet'!$B$166,DO57+DN58-DW57)))</f>
        <v>276.61199999999991</v>
      </c>
      <c r="DP58" s="17">
        <f>DO58*VLOOKUP('Données projet'!$B$14,Paramètres!$A$1:$I$89,3,0)*VLOOKUP('Données projet'!$B$14,Paramètres!$A$1:$I$89,5,0)</f>
        <v>158.22206399999996</v>
      </c>
      <c r="DQ58" s="13">
        <f t="shared" si="43"/>
        <v>40.441236551951562</v>
      </c>
      <c r="DR58" s="20">
        <f t="shared" si="16"/>
        <v>346.00524846131549</v>
      </c>
      <c r="DS58" s="59">
        <f t="shared" si="17"/>
        <v>602.32508172860321</v>
      </c>
      <c r="DT58" s="59">
        <f ca="1">AVERAGE(OFFSET($DS$3,0,0,'Données projet'!$E$14+1,1))-AVERAGE(OFFSET($H$3,0,0,'Données projet'!$E$14+1,1))</f>
        <v>349.56396446903</v>
      </c>
      <c r="DU58" s="59">
        <f t="shared" si="44"/>
        <v>270.64279448634522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6.6659699507322783</v>
      </c>
      <c r="EB58" s="21">
        <f>EXP(-LN(2)/25)*EB57+(1-EXP(-LN(2)/25))/(LN(2)/25)*Calculateur!DW58*Calculateur!DY58*VLOOKUP('Données projet'!$B$14,Paramètres!$A$1:$I$89,3,0)*0.475*44/12</f>
        <v>37.708003993082571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44.373973943814846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14.12</v>
      </c>
      <c r="EJ58" s="12">
        <f>IF('Données projet'!$A$192&gt;35,EJ57+EI58-ER57,IF(A58&lt;'Données projet'!$A$192,$EG$205^A58,IF(A58='Données projet'!$A$192,'Données projet'!$B$192,EJ57+EI58-ER57)))</f>
        <v>370.3400000000002</v>
      </c>
      <c r="EK58" s="17">
        <f>EJ58*VLOOKUP('Données projet'!$B$15,Paramètres!$A$1:$I$89,3,0)*VLOOKUP('Données projet'!$B$15,Paramètres!$A$1:$I$89,5,0)</f>
        <v>221.46332000000012</v>
      </c>
      <c r="EL58" s="13">
        <f t="shared" si="45"/>
        <v>54.432808276273747</v>
      </c>
      <c r="EM58" s="20">
        <f t="shared" si="19"/>
        <v>480.51909008117696</v>
      </c>
      <c r="EN58" s="59">
        <f t="shared" si="20"/>
        <v>736.83892334846473</v>
      </c>
      <c r="EO58" s="59">
        <f ca="1">AVERAGE(OFFSET($EN$3,0,0,'Données projet'!$E$15+1,1))-AVERAGE(OFFSET($H$3,0,0,'Données projet'!$E$15+1,1))</f>
        <v>375.89365709113105</v>
      </c>
      <c r="EP58" s="59">
        <f t="shared" si="46"/>
        <v>279.39056561403834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17.904383867668784</v>
      </c>
      <c r="EW58" s="21">
        <f>EXP(-LN(2)/25)*EW57+(1-EXP(-LN(2)/25))/(LN(2)/25)*Calculateur!ER58*Calculateur!ET58*VLOOKUP('Données projet'!$B$15,Paramètres!$A$1:$I$89,3,0)*0.475*44/12</f>
        <v>35.356913037310591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53.261296904979375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13.14</v>
      </c>
      <c r="FE58" s="12">
        <f>IF('Données projet'!$A$218&gt;35,FE57+FD58-FM57,IF(A58&lt;'Données projet'!$A$218,$FB$205^A58,IF(A58='Données projet'!$A$218,'Données projet'!$B$218,FE57+FD58-FM57)))</f>
        <v>370.63999999999993</v>
      </c>
      <c r="FF58" s="17">
        <f>FE58*VLOOKUP('Données projet'!$B$16,Paramètres!$A$1:$I$89,3,0)*VLOOKUP('Données projet'!$B$16,Paramètres!$A$1:$I$89,5,0)</f>
        <v>221.64272</v>
      </c>
      <c r="FG58" s="13">
        <f t="shared" si="47"/>
        <v>54.471768066609272</v>
      </c>
      <c r="FH58" s="20">
        <f t="shared" si="22"/>
        <v>480.89940004934442</v>
      </c>
      <c r="FI58" s="59">
        <f t="shared" si="23"/>
        <v>737.2192333166322</v>
      </c>
      <c r="FJ58" s="59">
        <f ca="1">AVERAGE(OFFSET($FI$3,0,0,'Données projet'!$E$16+1,1))-AVERAGE(OFFSET($H$3,0,0,'Données projet'!$E$16+1,1))</f>
        <v>319.29539841078537</v>
      </c>
      <c r="FK58" s="59">
        <f t="shared" si="48"/>
        <v>327.26871144121412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32.309167260852739</v>
      </c>
      <c r="FR58" s="21">
        <f>EXP(-LN(2)/25)*FR57+(1-EXP(-LN(2)/25))/(LN(2)/25)*Calculateur!FM58*Calculateur!FO58*VLOOKUP('Données projet'!$B$16,Paramètres!$A$1:$I$89,3,0)*0.475*44/12</f>
        <v>44.97169371651588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77.280860977368619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2.2737367544323206E-13</v>
      </c>
      <c r="GA58" s="17">
        <f>FZ58*VLOOKUP('Données projet'!$B$17,Paramètres!$A$1:$I$89,3,0)*VLOOKUP('Données projet'!$B$17,Paramètres!$A$1:$I$89,5,0)</f>
        <v>1.0049916454590858E-13</v>
      </c>
      <c r="GB58" s="13">
        <f t="shared" si="49"/>
        <v>1.5089081593838289E-12</v>
      </c>
      <c r="GC58" s="20">
        <f t="shared" si="25"/>
        <v>2.8030510891776262E-12</v>
      </c>
      <c r="GD58" s="59">
        <f t="shared" si="26"/>
        <v>256.31983326729051</v>
      </c>
      <c r="GE58" s="59">
        <f ca="1">AVERAGE(OFFSET($GD$3,0,0,'Données projet'!$E$17+1,1))-AVERAGE(OFFSET($H$3,0,0,'Données projet'!$E$17+1,1))</f>
        <v>342.89128067483233</v>
      </c>
      <c r="GF58" s="59">
        <f t="shared" si="50"/>
        <v>453.47615302202996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182.23454511283768</v>
      </c>
      <c r="GM58" s="21">
        <f>EXP(-LN(2)/25)*GM57+(1-EXP(-LN(2)/25))/(LN(2)/25)*Calculateur!GH58*Calculateur!GJ58*VLOOKUP('Données projet'!$B$17,Paramètres!$A$1:$I$89,3,0)*0.475*44/12</f>
        <v>134.86147173169277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317.09601684453048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59.905409072896639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14.12</v>
      </c>
      <c r="GU58" s="12">
        <f>IF('Données projet'!$A$270&gt;35,GU57+GT58-HC57,IF(A58&lt;'Données projet'!$A$270,$GR$205^A58,IF(A58='Données projet'!$A$270,'Données projet'!$B$270,GU57+GT58-HC57)))</f>
        <v>370.3400000000002</v>
      </c>
      <c r="GV58" s="17">
        <f>GU58*VLOOKUP('Données projet'!$B$18,Paramètres!$A$1:$I$89,3,0)*VLOOKUP('Données projet'!$B$18,Paramètres!$A$1:$I$89,5,0)</f>
        <v>221.46332000000012</v>
      </c>
      <c r="GW58" s="13">
        <f t="shared" si="51"/>
        <v>54.432808276273747</v>
      </c>
      <c r="GX58" s="20">
        <f t="shared" si="28"/>
        <v>480.51909008117696</v>
      </c>
      <c r="GY58" s="59">
        <f t="shared" si="29"/>
        <v>736.83892334846473</v>
      </c>
      <c r="GZ58" s="59">
        <f ca="1">AVERAGE(OFFSET($GY$3,0,0,'Données projet'!$E$18+1,1))-AVERAGE(OFFSET($H$3,0,0,'Données projet'!$E$18+1,1))</f>
        <v>375.89365709113105</v>
      </c>
      <c r="HA58" s="59">
        <f t="shared" si="52"/>
        <v>279.39056561403834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17.904383867668784</v>
      </c>
      <c r="HH58" s="21">
        <f>EXP(-LN(2)/25)*HH57+(1-EXP(-LN(2)/25))/(LN(2)/25)*Calculateur!HC58*Calculateur!HE58*VLOOKUP('Données projet'!$B$18,Paramètres!$A$1:$I$89,3,0)*0.475*44/12</f>
        <v>35.356913037310591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53.261296904979375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178.09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196.12671000000017</v>
      </c>
      <c r="P59" s="13">
        <f t="shared" si="33"/>
        <v>48.891969383051702</v>
      </c>
      <c r="Q59" s="20">
        <f t="shared" si="53"/>
        <v>426.74086659214868</v>
      </c>
      <c r="R59" s="59">
        <f t="shared" si="0"/>
        <v>683.70280133579286</v>
      </c>
      <c r="S59" s="59">
        <f ca="1">AVERAGE(OFFSET($R$3,0,0,'Données projet'!$E$9+1,1))-AVERAGE(OFFSET($H$3,0,0,'Données projet'!$E$9+1,1))</f>
        <v>631.31712308065664</v>
      </c>
      <c r="T59" s="59">
        <f t="shared" si="34"/>
        <v>290.92244624361285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8.301866168946205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8.301866168946205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8.757142857142858</v>
      </c>
      <c r="AI59" s="13">
        <f>IF('Données projet'!$A$62&gt;35,AI58+AH59-AQ58,IF(A59&lt;'Données projet'!$A$62,$AF$205^A59,IF(A59='Données projet'!$A$62,'Données projet'!$B$62,AI58+AH59-AQ58)))</f>
        <v>156.30857142857147</v>
      </c>
      <c r="AJ59" s="13">
        <f>AI59*VLOOKUP('Données projet'!$B$10,Paramètres!$A$1:$I$89,3,0)*VLOOKUP('Données projet'!$B$10,Paramètres!$A$1:$I$89,5,0)</f>
        <v>131.67434057142862</v>
      </c>
      <c r="AK59" s="13">
        <f t="shared" si="35"/>
        <v>34.382961649798958</v>
      </c>
      <c r="AL59" s="20">
        <f t="shared" si="4"/>
        <v>289.21646803530473</v>
      </c>
      <c r="AM59" s="59">
        <f t="shared" si="5"/>
        <v>546.17840277894891</v>
      </c>
      <c r="AN59" s="59">
        <f ca="1">AVERAGE(OFFSET($AM$3,0,0,'Données projet'!$E$10+1,1))-AVERAGE(OFFSET($H$3,0,0,'Données projet'!$E$10+1,1))</f>
        <v>401.19166052471473</v>
      </c>
      <c r="AO59" s="59">
        <f t="shared" si="36"/>
        <v>271.10067497534271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8.3187446651169914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8.3187446651169914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219.79717500000021</v>
      </c>
      <c r="BF59" s="13">
        <f t="shared" si="37"/>
        <v>54.070800342815986</v>
      </c>
      <c r="BG59" s="20">
        <f t="shared" si="7"/>
        <v>476.98672372207147</v>
      </c>
      <c r="BH59" s="59">
        <f t="shared" si="8"/>
        <v>733.94865846571565</v>
      </c>
      <c r="BI59" s="59">
        <f ca="1">AVERAGE(OFFSET($BH$3,0,0,'Données projet'!$E$11+1,1))-AVERAGE(OFFSET($H$3,0,0,'Données projet'!$E$11+1,1))</f>
        <v>695.93700574708214</v>
      </c>
      <c r="BJ59" s="59">
        <f t="shared" si="38"/>
        <v>318.31690229208471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9.3038155341638511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9.3038155341638511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176.00000000000003</v>
      </c>
      <c r="BZ59" s="13">
        <f>BY59*VLOOKUP('Données projet'!$B$12,Paramètres!$A$1:$I$89,3,0)*VLOOKUP('Données projet'!$B$12,Paramètres!$A$1:$I$89,5,0)</f>
        <v>115.31520000000003</v>
      </c>
      <c r="CA59" s="13">
        <f t="shared" si="39"/>
        <v>30.579827148797317</v>
      </c>
      <c r="CB59" s="20">
        <f t="shared" si="10"/>
        <v>254.10050561748869</v>
      </c>
      <c r="CC59" s="59">
        <f t="shared" si="11"/>
        <v>511.06244036113287</v>
      </c>
      <c r="CD59" s="59">
        <f ca="1">AVERAGE(OFFSET($CC$3,0,0,'Données projet'!$E$12+1,1))-AVERAGE(OFFSET($H$3,0,0,'Données projet'!$E$12+1,1))</f>
        <v>260.25859566735949</v>
      </c>
      <c r="CE59" s="59">
        <f t="shared" si="40"/>
        <v>256.93649773468667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5.2275629228986329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5.2275629228986329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</v>
      </c>
      <c r="CT59" s="12">
        <f>IF('Données projet'!$A$140&gt;35,CT58+CS59-DB58,IF(A59&lt;'Données projet'!$A$140,$CQ$205^A59,IF(A59='Données projet'!$A$140,'Données projet'!$B$140,CT58+CS59-DB58)))</f>
        <v>176.00000000000003</v>
      </c>
      <c r="CU59" s="17">
        <f>CT59*VLOOKUP('Données projet'!$B$13,Paramètres!$A$1:$I$89,3,0)*VLOOKUP('Données projet'!$B$13,Paramètres!$A$1:$I$89,5,0)</f>
        <v>115.31520000000003</v>
      </c>
      <c r="CV59" s="13">
        <f t="shared" si="41"/>
        <v>30.579827148797317</v>
      </c>
      <c r="CW59" s="20">
        <f t="shared" si="13"/>
        <v>254.10050561748869</v>
      </c>
      <c r="CX59" s="59">
        <f t="shared" si="14"/>
        <v>511.06244036113287</v>
      </c>
      <c r="CY59" s="59">
        <f ca="1">AVERAGE(OFFSET($CX$3,0,0,'Données projet'!$E$13+1,1))-AVERAGE(OFFSET($H$3,0,0,'Données projet'!$E$13+1,1))</f>
        <v>260.25859566735949</v>
      </c>
      <c r="CZ59" s="59">
        <f t="shared" si="42"/>
        <v>256.93649773468667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5.2275629228986329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5.2275629228986329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8.8159999999999989</v>
      </c>
      <c r="DO59" s="12">
        <f>IF('Données projet'!$A$166&gt;35,DO58+DN59-DW58,IF(A59&lt;'Données projet'!$A$166,$DL$205^A59,IF(A59='Données projet'!$A$166,'Données projet'!$B$166,DO58+DN59-DW58)))</f>
        <v>285.42799999999988</v>
      </c>
      <c r="DP59" s="17">
        <f>DO59*VLOOKUP('Données projet'!$B$14,Paramètres!$A$1:$I$89,3,0)*VLOOKUP('Données projet'!$B$14,Paramètres!$A$1:$I$89,5,0)</f>
        <v>163.26481599999994</v>
      </c>
      <c r="DQ59" s="13">
        <f t="shared" si="43"/>
        <v>41.578035820720821</v>
      </c>
      <c r="DR59" s="20">
        <f t="shared" si="16"/>
        <v>356.76796692108866</v>
      </c>
      <c r="DS59" s="59">
        <f t="shared" si="17"/>
        <v>613.72990166473278</v>
      </c>
      <c r="DT59" s="59">
        <f ca="1">AVERAGE(OFFSET($DS$3,0,0,'Données projet'!$E$14+1,1))-AVERAGE(OFFSET($H$3,0,0,'Données projet'!$E$14+1,1))</f>
        <v>349.56396446903</v>
      </c>
      <c r="DU59" s="59">
        <f t="shared" si="44"/>
        <v>270.64279448634522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6.5352543458386201</v>
      </c>
      <c r="EB59" s="21">
        <f>EXP(-LN(2)/25)*EB58+(1-EXP(-LN(2)/25))/(LN(2)/25)*Calculateur!DW59*Calculateur!DY59*VLOOKUP('Données projet'!$B$14,Paramètres!$A$1:$I$89,3,0)*0.475*44/12</f>
        <v>36.676876640913981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43.212130986752598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14.12</v>
      </c>
      <c r="EJ59" s="12">
        <f>IF('Données projet'!$A$192&gt;35,EJ58+EI59-ER58,IF(A59&lt;'Données projet'!$A$192,$EG$205^A59,IF(A59='Données projet'!$A$192,'Données projet'!$B$192,EJ58+EI59-ER58)))</f>
        <v>384.46000000000021</v>
      </c>
      <c r="EK59" s="17">
        <f>EJ59*VLOOKUP('Données projet'!$B$15,Paramètres!$A$1:$I$89,3,0)*VLOOKUP('Données projet'!$B$15,Paramètres!$A$1:$I$89,5,0)</f>
        <v>229.90708000000015</v>
      </c>
      <c r="EL59" s="13">
        <f t="shared" si="45"/>
        <v>56.262589582193186</v>
      </c>
      <c r="EM59" s="20">
        <f t="shared" si="19"/>
        <v>498.41217452232013</v>
      </c>
      <c r="EN59" s="59">
        <f t="shared" si="20"/>
        <v>755.37410926596431</v>
      </c>
      <c r="EO59" s="59">
        <f ca="1">AVERAGE(OFFSET($EN$3,0,0,'Données projet'!$E$15+1,1))-AVERAGE(OFFSET($H$3,0,0,'Données projet'!$E$15+1,1))</f>
        <v>375.89365709113105</v>
      </c>
      <c r="EP59" s="59">
        <f t="shared" si="46"/>
        <v>279.39056561403834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17.553289820619639</v>
      </c>
      <c r="EW59" s="21">
        <f>EXP(-LN(2)/25)*EW58+(1-EXP(-LN(2)/25))/(LN(2)/25)*Calculateur!ER59*Calculateur!ET59*VLOOKUP('Données projet'!$B$15,Paramètres!$A$1:$I$89,3,0)*0.475*44/12</f>
        <v>34.390076390966087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51.943366211585726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13.14</v>
      </c>
      <c r="FE59" s="12">
        <f>IF('Données projet'!$A$218&gt;35,FE58+FD59-FM58,IF(A59&lt;'Données projet'!$A$218,$FB$205^A59,IF(A59='Données projet'!$A$218,'Données projet'!$B$218,FE58+FD59-FM58)))</f>
        <v>383.77999999999992</v>
      </c>
      <c r="FF59" s="17">
        <f>FE59*VLOOKUP('Données projet'!$B$16,Paramètres!$A$1:$I$89,3,0)*VLOOKUP('Données projet'!$B$16,Paramètres!$A$1:$I$89,5,0)</f>
        <v>229.50043999999997</v>
      </c>
      <c r="FG59" s="13">
        <f t="shared" si="47"/>
        <v>56.174651313961498</v>
      </c>
      <c r="FH59" s="20">
        <f t="shared" si="22"/>
        <v>497.55078403848285</v>
      </c>
      <c r="FI59" s="59">
        <f t="shared" si="23"/>
        <v>754.51271878212697</v>
      </c>
      <c r="FJ59" s="59">
        <f ca="1">AVERAGE(OFFSET($FI$3,0,0,'Données projet'!$E$16+1,1))-AVERAGE(OFFSET($H$3,0,0,'Données projet'!$E$16+1,1))</f>
        <v>319.29539841078537</v>
      </c>
      <c r="FK59" s="59">
        <f t="shared" si="48"/>
        <v>327.26871144121412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31.675604197513575</v>
      </c>
      <c r="FR59" s="21">
        <f>EXP(-LN(2)/25)*FR58+(1-EXP(-LN(2)/25))/(LN(2)/25)*Calculateur!FM59*Calculateur!FO59*VLOOKUP('Données projet'!$B$16,Paramètres!$A$1:$I$89,3,0)*0.475*44/12</f>
        <v>43.741940386879165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75.417544584392743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2.2737367544323206E-13</v>
      </c>
      <c r="GA59" s="17">
        <f>FZ59*VLOOKUP('Données projet'!$B$17,Paramètres!$A$1:$I$89,3,0)*VLOOKUP('Données projet'!$B$17,Paramètres!$A$1:$I$89,5,0)</f>
        <v>1.0049916454590858E-13</v>
      </c>
      <c r="GB59" s="13">
        <f t="shared" si="49"/>
        <v>1.5089081593838289E-12</v>
      </c>
      <c r="GC59" s="20">
        <f t="shared" si="25"/>
        <v>2.8030510891776262E-12</v>
      </c>
      <c r="GD59" s="59">
        <f t="shared" si="26"/>
        <v>256.96193474364696</v>
      </c>
      <c r="GE59" s="59">
        <f ca="1">AVERAGE(OFFSET($GD$3,0,0,'Données projet'!$E$17+1,1))-AVERAGE(OFFSET($H$3,0,0,'Données projet'!$E$17+1,1))</f>
        <v>342.89128067483233</v>
      </c>
      <c r="GF59" s="59">
        <f t="shared" si="50"/>
        <v>453.47615302202996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178.66103683527209</v>
      </c>
      <c r="GM59" s="21">
        <f>EXP(-LN(2)/25)*GM58+(1-EXP(-LN(2)/25))/(LN(2)/25)*Calculateur!GH59*Calculateur!GJ59*VLOOKUP('Données projet'!$B$17,Paramètres!$A$1:$I$89,3,0)*0.475*44/12</f>
        <v>131.17367769513308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309.83471453040517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60.080527657357507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14.12</v>
      </c>
      <c r="GU59" s="12">
        <f>IF('Données projet'!$A$270&gt;35,GU58+GT59-HC58,IF(A59&lt;'Données projet'!$A$270,$GR$205^A59,IF(A59='Données projet'!$A$270,'Données projet'!$B$270,GU58+GT59-HC58)))</f>
        <v>384.46000000000021</v>
      </c>
      <c r="GV59" s="17">
        <f>GU59*VLOOKUP('Données projet'!$B$18,Paramètres!$A$1:$I$89,3,0)*VLOOKUP('Données projet'!$B$18,Paramètres!$A$1:$I$89,5,0)</f>
        <v>229.90708000000015</v>
      </c>
      <c r="GW59" s="13">
        <f t="shared" si="51"/>
        <v>56.262589582193186</v>
      </c>
      <c r="GX59" s="20">
        <f t="shared" si="28"/>
        <v>498.41217452232013</v>
      </c>
      <c r="GY59" s="59">
        <f t="shared" si="29"/>
        <v>755.37410926596431</v>
      </c>
      <c r="GZ59" s="59">
        <f ca="1">AVERAGE(OFFSET($GY$3,0,0,'Données projet'!$E$18+1,1))-AVERAGE(OFFSET($H$3,0,0,'Données projet'!$E$18+1,1))</f>
        <v>375.89365709113105</v>
      </c>
      <c r="HA59" s="59">
        <f t="shared" si="52"/>
        <v>279.39056561403834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17.553289820619639</v>
      </c>
      <c r="HH59" s="21">
        <f>EXP(-LN(2)/25)*HH58+(1-EXP(-LN(2)/25))/(LN(2)/25)*Calculateur!HC59*Calculateur!HE59*VLOOKUP('Données projet'!$B$18,Paramètres!$A$1:$I$89,3,0)*0.475*44/12</f>
        <v>34.390076390966087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51.943366211585726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178.09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204.77094300000016</v>
      </c>
      <c r="P60" s="13">
        <f t="shared" si="33"/>
        <v>50.791233664926693</v>
      </c>
      <c r="Q60" s="20">
        <f t="shared" si="53"/>
        <v>445.10412435808092</v>
      </c>
      <c r="R60" s="59">
        <f t="shared" si="0"/>
        <v>702.69702155299069</v>
      </c>
      <c r="S60" s="59">
        <f ca="1">AVERAGE(OFFSET($R$3,0,0,'Données projet'!$E$9+1,1))-AVERAGE(OFFSET($H$3,0,0,'Données projet'!$E$9+1,1))</f>
        <v>631.31712308065664</v>
      </c>
      <c r="T60" s="59">
        <f t="shared" si="34"/>
        <v>290.92244624361285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8.1390716370115399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8.1390716370115399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8.757142857142858</v>
      </c>
      <c r="AI60" s="13">
        <f>IF('Données projet'!$A$62&gt;35,AI59+AH60-AQ59,IF(A60&lt;'Données projet'!$A$62,$AF$205^A60,IF(A60='Données projet'!$A$62,'Données projet'!$B$62,AI59+AH60-AQ59)))</f>
        <v>165.06571428571434</v>
      </c>
      <c r="AJ60" s="13">
        <f>AI60*VLOOKUP('Données projet'!$B$10,Paramètres!$A$1:$I$89,3,0)*VLOOKUP('Données projet'!$B$10,Paramètres!$A$1:$I$89,5,0)</f>
        <v>139.05135771428579</v>
      </c>
      <c r="AK60" s="13">
        <f t="shared" si="35"/>
        <v>36.079598948273173</v>
      </c>
      <c r="AL60" s="20">
        <f t="shared" si="4"/>
        <v>305.01974952062346</v>
      </c>
      <c r="AM60" s="59">
        <f t="shared" si="5"/>
        <v>562.61264671553329</v>
      </c>
      <c r="AN60" s="59">
        <f ca="1">AVERAGE(OFFSET($AM$3,0,0,'Données projet'!$E$10+1,1))-AVERAGE(OFFSET($H$3,0,0,'Données projet'!$E$10+1,1))</f>
        <v>401.19166052471473</v>
      </c>
      <c r="AO60" s="59">
        <f t="shared" si="36"/>
        <v>271.10067497534271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8.1556191561672833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8.1556191561672833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229.4846775000002</v>
      </c>
      <c r="BF60" s="13">
        <f t="shared" si="37"/>
        <v>56.171242216591338</v>
      </c>
      <c r="BG60" s="20">
        <f t="shared" si="7"/>
        <v>497.51739350639696</v>
      </c>
      <c r="BH60" s="59">
        <f t="shared" si="8"/>
        <v>755.11029070130678</v>
      </c>
      <c r="BI60" s="59">
        <f ca="1">AVERAGE(OFFSET($BH$3,0,0,'Données projet'!$E$11+1,1))-AVERAGE(OFFSET($H$3,0,0,'Données projet'!$E$11+1,1))</f>
        <v>695.93700574708214</v>
      </c>
      <c r="BJ60" s="59">
        <f t="shared" si="38"/>
        <v>318.31690229208471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9.1213733863060362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9.1213733863060362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181.00000000000003</v>
      </c>
      <c r="BZ60" s="13">
        <f>BY60*VLOOKUP('Données projet'!$B$12,Paramètres!$A$1:$I$89,3,0)*VLOOKUP('Données projet'!$B$12,Paramètres!$A$1:$I$89,5,0)</f>
        <v>118.59120000000001</v>
      </c>
      <c r="CA60" s="13">
        <f t="shared" si="39"/>
        <v>31.346194334434067</v>
      </c>
      <c r="CB60" s="20">
        <f t="shared" si="10"/>
        <v>261.14096179913935</v>
      </c>
      <c r="CC60" s="59">
        <f t="shared" si="11"/>
        <v>518.73385899404911</v>
      </c>
      <c r="CD60" s="59">
        <f ca="1">AVERAGE(OFFSET($CC$3,0,0,'Données projet'!$E$12+1,1))-AVERAGE(OFFSET($H$3,0,0,'Données projet'!$E$12+1,1))</f>
        <v>260.25859566735949</v>
      </c>
      <c r="CE60" s="59">
        <f t="shared" si="40"/>
        <v>256.93649773468667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5.1250536024791353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5.1250536024791353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</v>
      </c>
      <c r="CT60" s="12">
        <f>IF('Données projet'!$A$140&gt;35,CT59+CS60-DB59,IF(A60&lt;'Données projet'!$A$140,$CQ$205^A60,IF(A60='Données projet'!$A$140,'Données projet'!$B$140,CT59+CS60-DB59)))</f>
        <v>181.00000000000003</v>
      </c>
      <c r="CU60" s="17">
        <f>CT60*VLOOKUP('Données projet'!$B$13,Paramètres!$A$1:$I$89,3,0)*VLOOKUP('Données projet'!$B$13,Paramètres!$A$1:$I$89,5,0)</f>
        <v>118.59120000000001</v>
      </c>
      <c r="CV60" s="13">
        <f t="shared" si="41"/>
        <v>31.346194334434067</v>
      </c>
      <c r="CW60" s="20">
        <f t="shared" si="13"/>
        <v>261.14096179913935</v>
      </c>
      <c r="CX60" s="59">
        <f t="shared" si="14"/>
        <v>518.73385899404911</v>
      </c>
      <c r="CY60" s="59">
        <f ca="1">AVERAGE(OFFSET($CX$3,0,0,'Données projet'!$E$13+1,1))-AVERAGE(OFFSET($H$3,0,0,'Données projet'!$E$13+1,1))</f>
        <v>260.25859566735949</v>
      </c>
      <c r="CZ60" s="59">
        <f t="shared" si="42"/>
        <v>256.93649773468667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5.1250536024791353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5.1250536024791353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8.8159999999999989</v>
      </c>
      <c r="DO60" s="12">
        <f>IF('Données projet'!$A$166&gt;35,DO59+DN60-DW59,IF(A60&lt;'Données projet'!$A$166,$DL$205^A60,IF(A60='Données projet'!$A$166,'Données projet'!$B$166,DO59+DN60-DW59)))</f>
        <v>294.24399999999986</v>
      </c>
      <c r="DP60" s="17">
        <f>DO60*VLOOKUP('Données projet'!$B$14,Paramètres!$A$1:$I$89,3,0)*VLOOKUP('Données projet'!$B$14,Paramètres!$A$1:$I$89,5,0)</f>
        <v>168.30756799999992</v>
      </c>
      <c r="DQ60" s="13">
        <f t="shared" si="43"/>
        <v>42.71075467506752</v>
      </c>
      <c r="DR60" s="20">
        <f t="shared" si="16"/>
        <v>367.52357865907578</v>
      </c>
      <c r="DS60" s="59">
        <f t="shared" si="17"/>
        <v>625.11647585398555</v>
      </c>
      <c r="DT60" s="59">
        <f ca="1">AVERAGE(OFFSET($DS$3,0,0,'Données projet'!$E$14+1,1))-AVERAGE(OFFSET($H$3,0,0,'Données projet'!$E$14+1,1))</f>
        <v>349.56396446903</v>
      </c>
      <c r="DU60" s="59">
        <f t="shared" si="44"/>
        <v>270.64279448634522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6.4071019942282801</v>
      </c>
      <c r="EB60" s="21">
        <f>EXP(-LN(2)/25)*EB59+(1-EXP(-LN(2)/25))/(LN(2)/25)*Calculateur!DW60*Calculateur!DY60*VLOOKUP('Données projet'!$B$14,Paramètres!$A$1:$I$89,3,0)*0.475*44/12</f>
        <v>35.673945520415074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42.081047514643352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14.12</v>
      </c>
      <c r="EJ60" s="12">
        <f>IF('Données projet'!$A$192&gt;35,EJ59+EI60-ER59,IF(A60&lt;'Données projet'!$A$192,$EG$205^A60,IF(A60='Données projet'!$A$192,'Données projet'!$B$192,EJ59+EI60-ER59)))</f>
        <v>398.58000000000021</v>
      </c>
      <c r="EK60" s="17">
        <f>EJ60*VLOOKUP('Données projet'!$B$15,Paramètres!$A$1:$I$89,3,0)*VLOOKUP('Données projet'!$B$15,Paramètres!$A$1:$I$89,5,0)</f>
        <v>238.35084000000015</v>
      </c>
      <c r="EL60" s="13">
        <f t="shared" si="45"/>
        <v>58.084563408326787</v>
      </c>
      <c r="EM60" s="20">
        <f t="shared" si="19"/>
        <v>516.29166093616936</v>
      </c>
      <c r="EN60" s="59">
        <f t="shared" si="20"/>
        <v>773.88455813107919</v>
      </c>
      <c r="EO60" s="59">
        <f ca="1">AVERAGE(OFFSET($EN$3,0,0,'Données projet'!$E$15+1,1))-AVERAGE(OFFSET($H$3,0,0,'Données projet'!$E$15+1,1))</f>
        <v>375.89365709113105</v>
      </c>
      <c r="EP60" s="59">
        <f t="shared" si="46"/>
        <v>279.39056561403834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17.209080513686903</v>
      </c>
      <c r="EW60" s="21">
        <f>EXP(-LN(2)/25)*EW59+(1-EXP(-LN(2)/25))/(LN(2)/25)*Calculateur!ER60*Calculateur!ET60*VLOOKUP('Données projet'!$B$15,Paramètres!$A$1:$I$89,3,0)*0.475*44/12</f>
        <v>33.4496779435596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50.658758457246506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13.14</v>
      </c>
      <c r="FE60" s="12">
        <f>IF('Données projet'!$A$218&gt;35,FE59+FD60-FM59,IF(A60&lt;'Données projet'!$A$218,$FB$205^A60,IF(A60='Données projet'!$A$218,'Données projet'!$B$218,FE59+FD60-FM59)))</f>
        <v>396.9199999999999</v>
      </c>
      <c r="FF60" s="17">
        <f>FE60*VLOOKUP('Données projet'!$B$16,Paramètres!$A$1:$I$89,3,0)*VLOOKUP('Données projet'!$B$16,Paramètres!$A$1:$I$89,5,0)</f>
        <v>237.35815999999997</v>
      </c>
      <c r="FG60" s="13">
        <f t="shared" si="47"/>
        <v>57.870760090028412</v>
      </c>
      <c r="FH60" s="20">
        <f t="shared" si="22"/>
        <v>514.19036915679942</v>
      </c>
      <c r="FI60" s="59">
        <f t="shared" si="23"/>
        <v>771.78326635170924</v>
      </c>
      <c r="FJ60" s="59">
        <f ca="1">AVERAGE(OFFSET($FI$3,0,0,'Données projet'!$E$16+1,1))-AVERAGE(OFFSET($H$3,0,0,'Données projet'!$E$16+1,1))</f>
        <v>319.29539841078537</v>
      </c>
      <c r="FK60" s="59">
        <f t="shared" si="48"/>
        <v>327.26871144121412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31.054464919411181</v>
      </c>
      <c r="FR60" s="21">
        <f>EXP(-LN(2)/25)*FR59+(1-EXP(-LN(2)/25))/(LN(2)/25)*Calculateur!FM60*Calculateur!FO60*VLOOKUP('Données projet'!$B$16,Paramètres!$A$1:$I$89,3,0)*0.475*44/12</f>
        <v>42.545814726711285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73.600279646122459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2.2737367544323206E-13</v>
      </c>
      <c r="GA60" s="17">
        <f>FZ60*VLOOKUP('Données projet'!$B$17,Paramètres!$A$1:$I$89,3,0)*VLOOKUP('Données projet'!$B$17,Paramètres!$A$1:$I$89,5,0)</f>
        <v>1.0049916454590858E-13</v>
      </c>
      <c r="GB60" s="13">
        <f t="shared" si="49"/>
        <v>1.5089081593838289E-12</v>
      </c>
      <c r="GC60" s="20">
        <f t="shared" si="25"/>
        <v>2.8030510891776262E-12</v>
      </c>
      <c r="GD60" s="59">
        <f t="shared" si="26"/>
        <v>257.59289719491261</v>
      </c>
      <c r="GE60" s="59">
        <f ca="1">AVERAGE(OFFSET($GD$3,0,0,'Données projet'!$E$17+1,1))-AVERAGE(OFFSET($H$3,0,0,'Données projet'!$E$17+1,1))</f>
        <v>342.89128067483233</v>
      </c>
      <c r="GF60" s="59">
        <f t="shared" si="50"/>
        <v>453.47615302202996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175.15760287540473</v>
      </c>
      <c r="GM60" s="21">
        <f>EXP(-LN(2)/25)*GM59+(1-EXP(-LN(2)/25))/(LN(2)/25)*Calculateur!GH60*Calculateur!GJ60*VLOOKUP('Données projet'!$B$17,Paramètres!$A$1:$I$89,3,0)*0.475*44/12</f>
        <v>127.58672658043575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302.7443294558405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60.252608325884495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14.12</v>
      </c>
      <c r="GU60" s="12">
        <f>IF('Données projet'!$A$270&gt;35,GU59+GT60-HC59,IF(A60&lt;'Données projet'!$A$270,$GR$205^A60,IF(A60='Données projet'!$A$270,'Données projet'!$B$270,GU59+GT60-HC59)))</f>
        <v>398.58000000000021</v>
      </c>
      <c r="GV60" s="17">
        <f>GU60*VLOOKUP('Données projet'!$B$18,Paramètres!$A$1:$I$89,3,0)*VLOOKUP('Données projet'!$B$18,Paramètres!$A$1:$I$89,5,0)</f>
        <v>238.35084000000015</v>
      </c>
      <c r="GW60" s="13">
        <f t="shared" si="51"/>
        <v>58.084563408326787</v>
      </c>
      <c r="GX60" s="20">
        <f t="shared" si="28"/>
        <v>516.29166093616936</v>
      </c>
      <c r="GY60" s="59">
        <f t="shared" si="29"/>
        <v>773.88455813107919</v>
      </c>
      <c r="GZ60" s="59">
        <f ca="1">AVERAGE(OFFSET($GY$3,0,0,'Données projet'!$E$18+1,1))-AVERAGE(OFFSET($H$3,0,0,'Données projet'!$E$18+1,1))</f>
        <v>375.89365709113105</v>
      </c>
      <c r="HA60" s="59">
        <f t="shared" si="52"/>
        <v>279.39056561403834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17.209080513686903</v>
      </c>
      <c r="HH60" s="21">
        <f>EXP(-LN(2)/25)*HH59+(1-EXP(-LN(2)/25))/(LN(2)/25)*Calculateur!HC60*Calculateur!HE60*VLOOKUP('Données projet'!$B$18,Paramètres!$A$1:$I$89,3,0)*0.475*44/12</f>
        <v>33.4496779435596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50.658758457246506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178.09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213.41517600000017</v>
      </c>
      <c r="P61" s="13">
        <f t="shared" si="33"/>
        <v>52.681185448853228</v>
      </c>
      <c r="Q61" s="20">
        <f t="shared" si="53"/>
        <v>463.45116285675294</v>
      </c>
      <c r="R61" s="59">
        <f t="shared" si="0"/>
        <v>721.66407671501963</v>
      </c>
      <c r="S61" s="59">
        <f ca="1">AVERAGE(OFFSET($R$3,0,0,'Données projet'!$E$9+1,1))-AVERAGE(OFFSET($H$3,0,0,'Données projet'!$E$9+1,1))</f>
        <v>631.31712308065664</v>
      </c>
      <c r="T61" s="59">
        <f t="shared" si="34"/>
        <v>290.92244624361285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13.776770157795863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13.776770157795863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8.757142857142858</v>
      </c>
      <c r="AI61" s="13">
        <f>IF('Données projet'!$A$62&gt;35,AI60+AH61-AQ60,IF(A61&lt;'Données projet'!$A$62,$AF$205^A61,IF(A61='Données projet'!$A$62,'Données projet'!$B$62,AI60+AH61-AQ60)))</f>
        <v>173.8228571428572</v>
      </c>
      <c r="AJ61" s="13">
        <f>AI61*VLOOKUP('Données projet'!$B$10,Paramètres!$A$1:$I$89,3,0)*VLOOKUP('Données projet'!$B$10,Paramètres!$A$1:$I$89,5,0)</f>
        <v>146.42837485714293</v>
      </c>
      <c r="AK61" s="13">
        <f t="shared" si="35"/>
        <v>37.765786099604732</v>
      </c>
      <c r="AL61" s="20">
        <f t="shared" si="4"/>
        <v>320.80483033300214</v>
      </c>
      <c r="AM61" s="59">
        <f t="shared" si="5"/>
        <v>579.01774419126878</v>
      </c>
      <c r="AN61" s="59">
        <f ca="1">AVERAGE(OFFSET($AM$3,0,0,'Données projet'!$E$10+1,1))-AVERAGE(OFFSET($H$3,0,0,'Données projet'!$E$10+1,1))</f>
        <v>401.19166052471473</v>
      </c>
      <c r="AO61" s="59">
        <f t="shared" si="36"/>
        <v>271.10067497534271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7.9956924389513437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7.9956924389513437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239.1721800000002</v>
      </c>
      <c r="BF61" s="13">
        <f t="shared" si="37"/>
        <v>58.261385175767472</v>
      </c>
      <c r="BG61" s="20">
        <f t="shared" si="7"/>
        <v>518.0301260144621</v>
      </c>
      <c r="BH61" s="59">
        <f t="shared" si="8"/>
        <v>776.24303987272879</v>
      </c>
      <c r="BI61" s="59">
        <f ca="1">AVERAGE(OFFSET($BH$3,0,0,'Données projet'!$E$11+1,1))-AVERAGE(OFFSET($H$3,0,0,'Données projet'!$E$11+1,1))</f>
        <v>695.93700574708214</v>
      </c>
      <c r="BJ61" s="59">
        <f t="shared" si="38"/>
        <v>318.31690229208471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15.439483797529846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15.439483797529846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186.00000000000003</v>
      </c>
      <c r="BZ61" s="13">
        <f>BY61*VLOOKUP('Données projet'!$B$12,Paramètres!$A$1:$I$89,3,0)*VLOOKUP('Données projet'!$B$12,Paramètres!$A$1:$I$89,5,0)</f>
        <v>121.86720000000001</v>
      </c>
      <c r="CA61" s="13">
        <f t="shared" si="39"/>
        <v>32.110100916567376</v>
      </c>
      <c r="CB61" s="20">
        <f t="shared" si="10"/>
        <v>268.17713242968824</v>
      </c>
      <c r="CC61" s="59">
        <f t="shared" si="11"/>
        <v>526.39004628795487</v>
      </c>
      <c r="CD61" s="59">
        <f ca="1">AVERAGE(OFFSET($CC$3,0,0,'Données projet'!$E$12+1,1))-AVERAGE(OFFSET($H$3,0,0,'Données projet'!$E$12+1,1))</f>
        <v>260.25859566735949</v>
      </c>
      <c r="CE61" s="59">
        <f t="shared" si="40"/>
        <v>256.93649773468667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5.0245544273085523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5.0245544273085523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</v>
      </c>
      <c r="CT61" s="12">
        <f>IF('Données projet'!$A$140&gt;35,CT60+CS61-DB60,IF(A61&lt;'Données projet'!$A$140,$CQ$205^A61,IF(A61='Données projet'!$A$140,'Données projet'!$B$140,CT60+CS61-DB60)))</f>
        <v>186.00000000000003</v>
      </c>
      <c r="CU61" s="17">
        <f>CT61*VLOOKUP('Données projet'!$B$13,Paramètres!$A$1:$I$89,3,0)*VLOOKUP('Données projet'!$B$13,Paramètres!$A$1:$I$89,5,0)</f>
        <v>121.86720000000001</v>
      </c>
      <c r="CV61" s="13">
        <f t="shared" si="41"/>
        <v>32.110100916567376</v>
      </c>
      <c r="CW61" s="20">
        <f t="shared" si="13"/>
        <v>268.17713242968824</v>
      </c>
      <c r="CX61" s="59">
        <f t="shared" si="14"/>
        <v>526.39004628795487</v>
      </c>
      <c r="CY61" s="59">
        <f ca="1">AVERAGE(OFFSET($CX$3,0,0,'Données projet'!$E$13+1,1))-AVERAGE(OFFSET($H$3,0,0,'Données projet'!$E$13+1,1))</f>
        <v>260.25859566735949</v>
      </c>
      <c r="CZ61" s="59">
        <f t="shared" si="42"/>
        <v>256.93649773468667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5.0245544273085523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5.0245544273085523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303.06</v>
      </c>
      <c r="DM61" s="12">
        <f>VLOOKUP(A61,'Données projet'!$A$165:$I$185,9,0)</f>
        <v>8.8159999999999989</v>
      </c>
      <c r="DN61" s="12">
        <f t="array" ref="DN61">INDEX(DM:DM,MIN(IF(ISNUMBER(DM61:DM257),ROW(DM61:DM257),"")))</f>
        <v>8.8159999999999989</v>
      </c>
      <c r="DO61" s="12">
        <f>IF('Données projet'!$A$166&gt;35,DO60+DN61-DW60,IF(A61&lt;'Données projet'!$A$166,$DL$205^A61,IF(A61='Données projet'!$A$166,'Données projet'!$B$166,DO60+DN61-DW60)))</f>
        <v>303.05999999999983</v>
      </c>
      <c r="DP61" s="17">
        <f>DO61*VLOOKUP('Données projet'!$B$14,Paramètres!$A$1:$I$89,3,0)*VLOOKUP('Données projet'!$B$14,Paramètres!$A$1:$I$89,5,0)</f>
        <v>173.35031999999993</v>
      </c>
      <c r="DQ61" s="13">
        <f t="shared" si="43"/>
        <v>43.839529404606736</v>
      </c>
      <c r="DR61" s="20">
        <f t="shared" si="16"/>
        <v>378.27232104635658</v>
      </c>
      <c r="DS61" s="59">
        <f t="shared" si="17"/>
        <v>636.48523490462321</v>
      </c>
      <c r="DT61" s="59">
        <f ca="1">AVERAGE(OFFSET($DS$3,0,0,'Données projet'!$E$14+1,1))-AVERAGE(OFFSET($H$3,0,0,'Données projet'!$E$14+1,1))</f>
        <v>349.56396446903</v>
      </c>
      <c r="DU61" s="59">
        <f t="shared" si="44"/>
        <v>270.64279448634522</v>
      </c>
      <c r="DV61" s="15">
        <f>IF(ISNA(VLOOKUP(A61,'Données projet'!$A$165:$I$185,3,0)),0,VLOOKUP(A61,'Données projet'!$A$165:$I$185,3,0))</f>
        <v>5</v>
      </c>
      <c r="DW61" s="15">
        <f>IF(ISNA(VLOOKUP(A61,'Données projet'!$A$165:$I$185,4,0)),0,VLOOKUP(A61,'Données projet'!$A$165:$I$185,4,0))</f>
        <v>53.28</v>
      </c>
      <c r="DX61" s="16">
        <f>IF(ISNA(VLOOKUP(A61,'Données projet'!$A$165:$I$185,5,0)),0%,VLOOKUP(A61,'Données projet'!$A$165:$I$185,5,0)*VLOOKUP('Données projet'!$B$14,Paramètres!$A$1:$I$89,7,0))</f>
        <v>0.315</v>
      </c>
      <c r="DY61" s="16">
        <f>IF(ISNA(VLOOKUP(A61,'Données projet'!$A$165:$I$185,6,0)),0%,VLOOKUP(A61,'Données projet'!$A$165:$I$185,6,0)*VLOOKUP('Données projet'!$B$14,Paramètres!$A$1:$I$89,7,0))</f>
        <v>0.13500000000000001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19.016468669268612</v>
      </c>
      <c r="EB61" s="21">
        <f>EXP(-LN(2)/25)*EB60+(1-EXP(-LN(2)/25))/(LN(2)/25)*Calculateur!DW61*Calculateur!DY61*VLOOKUP('Données projet'!$B$14,Paramètres!$A$1:$I$89,3,0)*0.475*44/12</f>
        <v>40.134809661011474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59.151278330280086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14.12</v>
      </c>
      <c r="EJ61" s="12">
        <f>IF('Données projet'!$A$192&gt;35,EJ60+EI61-ER60,IF(A61&lt;'Données projet'!$A$192,$EG$205^A61,IF(A61='Données projet'!$A$192,'Données projet'!$B$192,EJ60+EI61-ER60)))</f>
        <v>412.70000000000022</v>
      </c>
      <c r="EK61" s="17">
        <f>EJ61*VLOOKUP('Données projet'!$B$15,Paramètres!$A$1:$I$89,3,0)*VLOOKUP('Données projet'!$B$15,Paramètres!$A$1:$I$89,5,0)</f>
        <v>246.79460000000014</v>
      </c>
      <c r="EL61" s="13">
        <f t="shared" si="45"/>
        <v>59.899038030532552</v>
      </c>
      <c r="EM61" s="20">
        <f t="shared" si="19"/>
        <v>534.15808623651117</v>
      </c>
      <c r="EN61" s="59">
        <f t="shared" si="20"/>
        <v>792.37100009477786</v>
      </c>
      <c r="EO61" s="59">
        <f ca="1">AVERAGE(OFFSET($EN$3,0,0,'Données projet'!$E$15+1,1))-AVERAGE(OFFSET($H$3,0,0,'Données projet'!$E$15+1,1))</f>
        <v>375.89365709113105</v>
      </c>
      <c r="EP61" s="59">
        <f t="shared" si="46"/>
        <v>279.39056561403834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16.871620941316174</v>
      </c>
      <c r="EW61" s="21">
        <f>EXP(-LN(2)/25)*EW60+(1-EXP(-LN(2)/25))/(LN(2)/25)*Calculateur!ER61*Calculateur!ET61*VLOOKUP('Données projet'!$B$15,Paramètres!$A$1:$I$89,3,0)*0.475*44/12</f>
        <v>32.534994741150847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49.40661568246702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13.14</v>
      </c>
      <c r="FE61" s="12">
        <f>IF('Données projet'!$A$218&gt;35,FE60+FD61-FM60,IF(A61&lt;'Données projet'!$A$218,$FB$205^A61,IF(A61='Données projet'!$A$218,'Données projet'!$B$218,FE60+FD61-FM60)))</f>
        <v>410.05999999999989</v>
      </c>
      <c r="FF61" s="17">
        <f>FE61*VLOOKUP('Données projet'!$B$16,Paramètres!$A$1:$I$89,3,0)*VLOOKUP('Données projet'!$B$16,Paramètres!$A$1:$I$89,5,0)</f>
        <v>245.21587999999994</v>
      </c>
      <c r="FG61" s="13">
        <f t="shared" si="47"/>
        <v>59.560344378839609</v>
      </c>
      <c r="FH61" s="20">
        <f t="shared" si="22"/>
        <v>530.81859079314563</v>
      </c>
      <c r="FI61" s="59">
        <f t="shared" si="23"/>
        <v>789.03150465141232</v>
      </c>
      <c r="FJ61" s="59">
        <f ca="1">AVERAGE(OFFSET($FI$3,0,0,'Données projet'!$E$16+1,1))-AVERAGE(OFFSET($H$3,0,0,'Données projet'!$E$16+1,1))</f>
        <v>319.29539841078537</v>
      </c>
      <c r="FK61" s="59">
        <f t="shared" si="48"/>
        <v>327.26871144121412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30.445505803694825</v>
      </c>
      <c r="FR61" s="21">
        <f>EXP(-LN(2)/25)*FR60+(1-EXP(-LN(2)/25))/(LN(2)/25)*Calculateur!FM61*Calculateur!FO61*VLOOKUP('Données projet'!$B$16,Paramètres!$A$1:$I$89,3,0)*0.475*44/12</f>
        <v>41.38239718562221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71.827902989317039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2.2737367544323206E-13</v>
      </c>
      <c r="GA61" s="17">
        <f>FZ61*VLOOKUP('Données projet'!$B$17,Paramètres!$A$1:$I$89,3,0)*VLOOKUP('Données projet'!$B$17,Paramètres!$A$1:$I$89,5,0)</f>
        <v>1.0049916454590858E-13</v>
      </c>
      <c r="GB61" s="13">
        <f t="shared" si="49"/>
        <v>1.5089081593838289E-12</v>
      </c>
      <c r="GC61" s="20">
        <f t="shared" si="25"/>
        <v>2.8030510891776262E-12</v>
      </c>
      <c r="GD61" s="59">
        <f t="shared" si="26"/>
        <v>258.21291385826947</v>
      </c>
      <c r="GE61" s="59">
        <f ca="1">AVERAGE(OFFSET($GD$3,0,0,'Données projet'!$E$17+1,1))-AVERAGE(OFFSET($H$3,0,0,'Données projet'!$E$17+1,1))</f>
        <v>342.89128067483233</v>
      </c>
      <c r="GF61" s="59">
        <f t="shared" si="50"/>
        <v>453.47615302202996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171.72286911860667</v>
      </c>
      <c r="GM61" s="21">
        <f>EXP(-LN(2)/25)*GM60+(1-EXP(-LN(2)/25))/(LN(2)/25)*Calculateur!GH61*Calculateur!GJ61*VLOOKUP('Données projet'!$B$17,Paramètres!$A$1:$I$89,3,0)*0.475*44/12</f>
        <v>124.09786083259939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295.82072995120609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60.421703779527277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14.12</v>
      </c>
      <c r="GU61" s="12">
        <f>IF('Données projet'!$A$270&gt;35,GU60+GT61-HC60,IF(A61&lt;'Données projet'!$A$270,$GR$205^A61,IF(A61='Données projet'!$A$270,'Données projet'!$B$270,GU60+GT61-HC60)))</f>
        <v>412.70000000000022</v>
      </c>
      <c r="GV61" s="17">
        <f>GU61*VLOOKUP('Données projet'!$B$18,Paramètres!$A$1:$I$89,3,0)*VLOOKUP('Données projet'!$B$18,Paramètres!$A$1:$I$89,5,0)</f>
        <v>246.79460000000014</v>
      </c>
      <c r="GW61" s="13">
        <f t="shared" si="51"/>
        <v>59.899038030532552</v>
      </c>
      <c r="GX61" s="20">
        <f t="shared" si="28"/>
        <v>534.15808623651117</v>
      </c>
      <c r="GY61" s="59">
        <f t="shared" si="29"/>
        <v>792.37100009477786</v>
      </c>
      <c r="GZ61" s="59">
        <f ca="1">AVERAGE(OFFSET($GY$3,0,0,'Données projet'!$E$18+1,1))-AVERAGE(OFFSET($H$3,0,0,'Données projet'!$E$18+1,1))</f>
        <v>375.89365709113105</v>
      </c>
      <c r="HA61" s="59">
        <f t="shared" si="52"/>
        <v>279.39056561403834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16.871620941316174</v>
      </c>
      <c r="HH61" s="21">
        <f>EXP(-LN(2)/25)*HH60+(1-EXP(-LN(2)/25))/(LN(2)/25)*Calculateur!HC61*Calculateur!HE61*VLOOKUP('Données projet'!$B$18,Paramètres!$A$1:$I$89,3,0)*0.475*44/12</f>
        <v>32.534994741150847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49.40661568246702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178.09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181.13417400000017</v>
      </c>
      <c r="P62" s="13">
        <f t="shared" si="33"/>
        <v>45.574426667354729</v>
      </c>
      <c r="Q62" s="20">
        <f t="shared" si="53"/>
        <v>394.85081282897653</v>
      </c>
      <c r="R62" s="59">
        <f t="shared" si="0"/>
        <v>653.67298744764048</v>
      </c>
      <c r="S62" s="59">
        <f ca="1">AVERAGE(OFFSET($R$3,0,0,'Données projet'!$E$9+1,1))-AVERAGE(OFFSET($H$3,0,0,'Données projet'!$E$9+1,1))</f>
        <v>631.31712308065664</v>
      </c>
      <c r="T62" s="59">
        <f t="shared" si="34"/>
        <v>290.92244624361285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13.506616098001555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13.506616098001555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182.58</v>
      </c>
      <c r="AG62" s="12">
        <f>VLOOKUP(A62,'Données projet'!$A$61:$I$81,9,0)</f>
        <v>8.757142857142858</v>
      </c>
      <c r="AH62" s="12">
        <f t="array" ref="AH62">INDEX(AG:AG,MIN(IF(ISNUMBER(AG62:AG258),ROW(AG62:AG258),"")))</f>
        <v>8.757142857142858</v>
      </c>
      <c r="AI62" s="13">
        <f>IF('Données projet'!$A$62&gt;35,AI61+AH62-AQ61,IF(A62&lt;'Données projet'!$A$62,$AF$205^A62,IF(A62='Données projet'!$A$62,'Données projet'!$B$62,AI61+AH62-AQ61)))</f>
        <v>182.58000000000007</v>
      </c>
      <c r="AJ62" s="13">
        <f>AI62*VLOOKUP('Données projet'!$B$10,Paramètres!$A$1:$I$89,3,0)*VLOOKUP('Données projet'!$B$10,Paramètres!$A$1:$I$89,5,0)</f>
        <v>153.80539200000007</v>
      </c>
      <c r="AK62" s="13">
        <f t="shared" si="35"/>
        <v>39.442109649056263</v>
      </c>
      <c r="AL62" s="20">
        <f t="shared" si="4"/>
        <v>336.57273203877315</v>
      </c>
      <c r="AM62" s="59">
        <f t="shared" si="5"/>
        <v>595.3949066574371</v>
      </c>
      <c r="AN62" s="59">
        <f ca="1">AVERAGE(OFFSET($AM$3,0,0,'Données projet'!$E$10+1,1))-AVERAGE(OFFSET($H$3,0,0,'Données projet'!$E$10+1,1))</f>
        <v>401.19166052471473</v>
      </c>
      <c r="AO62" s="59">
        <f t="shared" si="36"/>
        <v>271.10067497534271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38.119999999999997</v>
      </c>
      <c r="AR62" s="16">
        <f>IF(ISNA(VLOOKUP(A62,'Données projet'!$A$61:$I$81,5,0)),0%,VLOOKUP(A62,'Données projet'!$A$61:$I$81,5,0)*VLOOKUP('Données projet'!$B$10,Paramètres!$A$1:$I$89,7,0))</f>
        <v>0.129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12.418296420305392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12.418296420305392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202.99519500000022</v>
      </c>
      <c r="BF62" s="13">
        <f t="shared" si="37"/>
        <v>50.40185036856122</v>
      </c>
      <c r="BG62" s="20">
        <f t="shared" si="7"/>
        <v>441.33318735024449</v>
      </c>
      <c r="BH62" s="59">
        <f t="shared" si="8"/>
        <v>700.15536196890844</v>
      </c>
      <c r="BI62" s="59">
        <f ca="1">AVERAGE(OFFSET($BH$3,0,0,'Données projet'!$E$11+1,1))-AVERAGE(OFFSET($H$3,0,0,'Données projet'!$E$11+1,1))</f>
        <v>695.93700574708214</v>
      </c>
      <c r="BJ62" s="59">
        <f t="shared" si="38"/>
        <v>318.31690229208471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15.136724937415535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15.136724937415535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191.00000000000003</v>
      </c>
      <c r="BZ62" s="13">
        <f>BY62*VLOOKUP('Données projet'!$B$12,Paramètres!$A$1:$I$89,3,0)*VLOOKUP('Données projet'!$B$12,Paramètres!$A$1:$I$89,5,0)</f>
        <v>125.14320000000002</v>
      </c>
      <c r="CA62" s="13">
        <f t="shared" si="39"/>
        <v>32.871620642334328</v>
      </c>
      <c r="CB62" s="20">
        <f t="shared" si="10"/>
        <v>275.20914595206563</v>
      </c>
      <c r="CC62" s="59">
        <f t="shared" si="11"/>
        <v>534.03132057072958</v>
      </c>
      <c r="CD62" s="59">
        <f ca="1">AVERAGE(OFFSET($CC$3,0,0,'Données projet'!$E$12+1,1))-AVERAGE(OFFSET($H$3,0,0,'Données projet'!$E$12+1,1))</f>
        <v>260.25859566735949</v>
      </c>
      <c r="CE62" s="59">
        <f t="shared" si="40"/>
        <v>256.93649773468667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4.9260259796646206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4.9260259796646206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</v>
      </c>
      <c r="CT62" s="12">
        <f>IF('Données projet'!$A$140&gt;35,CT61+CS62-DB61,IF(A62&lt;'Données projet'!$A$140,$CQ$205^A62,IF(A62='Données projet'!$A$140,'Données projet'!$B$140,CT61+CS62-DB61)))</f>
        <v>191.00000000000003</v>
      </c>
      <c r="CU62" s="17">
        <f>CT62*VLOOKUP('Données projet'!$B$13,Paramètres!$A$1:$I$89,3,0)*VLOOKUP('Données projet'!$B$13,Paramètres!$A$1:$I$89,5,0)</f>
        <v>125.14320000000002</v>
      </c>
      <c r="CV62" s="13">
        <f t="shared" si="41"/>
        <v>32.871620642334328</v>
      </c>
      <c r="CW62" s="20">
        <f t="shared" si="13"/>
        <v>275.20914595206563</v>
      </c>
      <c r="CX62" s="59">
        <f t="shared" si="14"/>
        <v>534.03132057072958</v>
      </c>
      <c r="CY62" s="59">
        <f ca="1">AVERAGE(OFFSET($CX$3,0,0,'Données projet'!$E$13+1,1))-AVERAGE(OFFSET($H$3,0,0,'Données projet'!$E$13+1,1))</f>
        <v>260.25859566735949</v>
      </c>
      <c r="CZ62" s="59">
        <f t="shared" si="42"/>
        <v>256.93649773468667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4.9260259796646206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4.9260259796646206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7.6099999999999994</v>
      </c>
      <c r="DO62" s="12">
        <f>IF('Données projet'!$A$166&gt;35,DO61+DN62-DW61,IF(A62&lt;'Données projet'!$A$166,$DL$205^A62,IF(A62='Données projet'!$A$166,'Données projet'!$B$166,DO61+DN62-DW61)))</f>
        <v>257.38999999999987</v>
      </c>
      <c r="DP62" s="17">
        <f>DO62*VLOOKUP('Données projet'!$B$14,Paramètres!$A$1:$I$89,3,0)*VLOOKUP('Données projet'!$B$14,Paramètres!$A$1:$I$89,5,0)</f>
        <v>147.22707999999992</v>
      </c>
      <c r="DQ62" s="13">
        <f t="shared" si="43"/>
        <v>37.947746909995267</v>
      </c>
      <c r="DR62" s="20">
        <f t="shared" si="16"/>
        <v>322.51282353490825</v>
      </c>
      <c r="DS62" s="59">
        <f t="shared" si="17"/>
        <v>581.3349981535722</v>
      </c>
      <c r="DT62" s="59">
        <f ca="1">AVERAGE(OFFSET($DS$3,0,0,'Données projet'!$E$14+1,1))-AVERAGE(OFFSET($H$3,0,0,'Données projet'!$E$14+1,1))</f>
        <v>349.56396446903</v>
      </c>
      <c r="DU62" s="59">
        <f t="shared" si="44"/>
        <v>270.64279448634522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18.643567317564845</v>
      </c>
      <c r="EB62" s="21">
        <f>EXP(-LN(2)/25)*EB61+(1-EXP(-LN(2)/25))/(LN(2)/25)*Calculateur!DW62*Calculateur!DY62*VLOOKUP('Données projet'!$B$14,Paramètres!$A$1:$I$89,3,0)*0.475*44/12</f>
        <v>39.037321180233207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57.680888497798051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14.12</v>
      </c>
      <c r="EJ62" s="12">
        <f>IF('Données projet'!$A$192&gt;35,EJ61+EI62-ER61,IF(A62&lt;'Données projet'!$A$192,$EG$205^A62,IF(A62='Données projet'!$A$192,'Données projet'!$B$192,EJ61+EI62-ER61)))</f>
        <v>426.82000000000022</v>
      </c>
      <c r="EK62" s="17">
        <f>EJ62*VLOOKUP('Données projet'!$B$15,Paramètres!$A$1:$I$89,3,0)*VLOOKUP('Données projet'!$B$15,Paramètres!$A$1:$I$89,5,0)</f>
        <v>255.23836000000014</v>
      </c>
      <c r="EL62" s="13">
        <f t="shared" si="45"/>
        <v>61.706299433596136</v>
      </c>
      <c r="EM62" s="20">
        <f t="shared" si="19"/>
        <v>552.0119485135134</v>
      </c>
      <c r="EN62" s="59">
        <f t="shared" si="20"/>
        <v>810.83412313217741</v>
      </c>
      <c r="EO62" s="59">
        <f ca="1">AVERAGE(OFFSET($EN$3,0,0,'Données projet'!$E$15+1,1))-AVERAGE(OFFSET($H$3,0,0,'Données projet'!$E$15+1,1))</f>
        <v>375.89365709113105</v>
      </c>
      <c r="EP62" s="59">
        <f t="shared" si="46"/>
        <v>279.39056561403834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16.540778745329618</v>
      </c>
      <c r="EW62" s="21">
        <f>EXP(-LN(2)/25)*EW61+(1-EXP(-LN(2)/25))/(LN(2)/25)*Calculateur!ER62*Calculateur!ET62*VLOOKUP('Données projet'!$B$15,Paramètres!$A$1:$I$89,3,0)*0.475*44/12</f>
        <v>31.645323599013064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48.186102344342686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13.14</v>
      </c>
      <c r="FE62" s="12">
        <f>IF('Données projet'!$A$218&gt;35,FE61+FD62-FM61,IF(A62&lt;'Données projet'!$A$218,$FB$205^A62,IF(A62='Données projet'!$A$218,'Données projet'!$B$218,FE61+FD62-FM61)))</f>
        <v>423.19999999999987</v>
      </c>
      <c r="FF62" s="17">
        <f>FE62*VLOOKUP('Données projet'!$B$16,Paramètres!$A$1:$I$89,3,0)*VLOOKUP('Données projet'!$B$16,Paramètres!$A$1:$I$89,5,0)</f>
        <v>253.07359999999994</v>
      </c>
      <c r="FG62" s="13">
        <f t="shared" si="47"/>
        <v>61.243637233758619</v>
      </c>
      <c r="FH62" s="20">
        <f t="shared" si="22"/>
        <v>547.43585484879611</v>
      </c>
      <c r="FI62" s="59">
        <f t="shared" si="23"/>
        <v>806.25802946746012</v>
      </c>
      <c r="FJ62" s="59">
        <f ca="1">AVERAGE(OFFSET($FI$3,0,0,'Données projet'!$E$16+1,1))-AVERAGE(OFFSET($H$3,0,0,'Données projet'!$E$16+1,1))</f>
        <v>319.29539841078537</v>
      </c>
      <c r="FK62" s="59">
        <f t="shared" si="48"/>
        <v>327.26871144121412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29.848488004809283</v>
      </c>
      <c r="FR62" s="21">
        <f>EXP(-LN(2)/25)*FR61+(1-EXP(-LN(2)/25))/(LN(2)/25)*Calculateur!FM62*Calculateur!FO62*VLOOKUP('Données projet'!$B$16,Paramètres!$A$1:$I$89,3,0)*0.475*44/12</f>
        <v>40.250793358375681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70.099281363184957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2.2737367544323206E-13</v>
      </c>
      <c r="GA62" s="17">
        <f>FZ62*VLOOKUP('Données projet'!$B$17,Paramètres!$A$1:$I$89,3,0)*VLOOKUP('Données projet'!$B$17,Paramètres!$A$1:$I$89,5,0)</f>
        <v>1.0049916454590858E-13</v>
      </c>
      <c r="GB62" s="13">
        <f t="shared" si="49"/>
        <v>1.5089081593838289E-12</v>
      </c>
      <c r="GC62" s="20">
        <f t="shared" si="25"/>
        <v>2.8030510891776262E-12</v>
      </c>
      <c r="GD62" s="59">
        <f t="shared" si="26"/>
        <v>258.82217461866674</v>
      </c>
      <c r="GE62" s="59">
        <f ca="1">AVERAGE(OFFSET($GD$3,0,0,'Données projet'!$E$17+1,1))-AVERAGE(OFFSET($H$3,0,0,'Données projet'!$E$17+1,1))</f>
        <v>342.89128067483233</v>
      </c>
      <c r="GF62" s="59">
        <f t="shared" si="50"/>
        <v>453.47615302202996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168.35548839579869</v>
      </c>
      <c r="GM62" s="21">
        <f>EXP(-LN(2)/25)*GM61+(1-EXP(-LN(2)/25))/(LN(2)/25)*Calculateur!GH62*Calculateur!GJ62*VLOOKUP('Données projet'!$B$17,Paramètres!$A$1:$I$89,3,0)*0.475*44/12</f>
        <v>120.7043983021091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289.05988669790781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60.587865805090161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14.12</v>
      </c>
      <c r="GU62" s="12">
        <f>IF('Données projet'!$A$270&gt;35,GU61+GT62-HC61,IF(A62&lt;'Données projet'!$A$270,$GR$205^A62,IF(A62='Données projet'!$A$270,'Données projet'!$B$270,GU61+GT62-HC61)))</f>
        <v>426.82000000000022</v>
      </c>
      <c r="GV62" s="17">
        <f>GU62*VLOOKUP('Données projet'!$B$18,Paramètres!$A$1:$I$89,3,0)*VLOOKUP('Données projet'!$B$18,Paramètres!$A$1:$I$89,5,0)</f>
        <v>255.23836000000014</v>
      </c>
      <c r="GW62" s="13">
        <f t="shared" si="51"/>
        <v>61.706299433596136</v>
      </c>
      <c r="GX62" s="20">
        <f t="shared" si="28"/>
        <v>552.0119485135134</v>
      </c>
      <c r="GY62" s="59">
        <f t="shared" si="29"/>
        <v>810.83412313217741</v>
      </c>
      <c r="GZ62" s="59">
        <f ca="1">AVERAGE(OFFSET($GY$3,0,0,'Données projet'!$E$18+1,1))-AVERAGE(OFFSET($H$3,0,0,'Données projet'!$E$18+1,1))</f>
        <v>375.89365709113105</v>
      </c>
      <c r="HA62" s="59">
        <f t="shared" si="52"/>
        <v>279.39056561403834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16.540778745329618</v>
      </c>
      <c r="HH62" s="21">
        <f>EXP(-LN(2)/25)*HH61+(1-EXP(-LN(2)/25))/(LN(2)/25)*Calculateur!HC62*Calculateur!HE62*VLOOKUP('Données projet'!$B$18,Paramètres!$A$1:$I$89,3,0)*0.475*44/12</f>
        <v>31.645323599013064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48.186102344342686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178.09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189.50583600000016</v>
      </c>
      <c r="P63" s="13">
        <f t="shared" si="33"/>
        <v>47.430683653447495</v>
      </c>
      <c r="Q63" s="20">
        <f t="shared" si="53"/>
        <v>412.6644383964213</v>
      </c>
      <c r="R63" s="59">
        <f t="shared" si="0"/>
        <v>672.08530446339262</v>
      </c>
      <c r="S63" s="59">
        <f ca="1">AVERAGE(OFFSET($R$3,0,0,'Données projet'!$E$9+1,1))-AVERAGE(OFFSET($H$3,0,0,'Données projet'!$E$9+1,1))</f>
        <v>631.31712308065664</v>
      </c>
      <c r="T63" s="59">
        <f t="shared" si="34"/>
        <v>290.92244624361285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13.241759594542106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13.241759594542106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8.5500000000000007</v>
      </c>
      <c r="AI63" s="13">
        <f>IF('Données projet'!$A$62&gt;35,AI62+AH63-AQ62,IF(A63&lt;'Données projet'!$A$62,$AF$205^A63,IF(A63='Données projet'!$A$62,'Données projet'!$B$62,AI62+AH63-AQ62)))</f>
        <v>153.01000000000008</v>
      </c>
      <c r="AJ63" s="13">
        <f>AI63*VLOOKUP('Données projet'!$B$10,Paramètres!$A$1:$I$89,3,0)*VLOOKUP('Données projet'!$B$10,Paramètres!$A$1:$I$89,5,0)</f>
        <v>128.89562400000008</v>
      </c>
      <c r="AK63" s="13">
        <f t="shared" si="35"/>
        <v>33.741043892711964</v>
      </c>
      <c r="AL63" s="20">
        <f t="shared" si="4"/>
        <v>283.25886324647348</v>
      </c>
      <c r="AM63" s="59">
        <f t="shared" si="5"/>
        <v>542.6797293134448</v>
      </c>
      <c r="AN63" s="59">
        <f ca="1">AVERAGE(OFFSET($AM$3,0,0,'Données projet'!$E$10+1,1))-AVERAGE(OFFSET($H$3,0,0,'Données projet'!$E$10+1,1))</f>
        <v>401.19166052471473</v>
      </c>
      <c r="AO63" s="59">
        <f t="shared" si="36"/>
        <v>271.10067497534271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12.174781201916108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12.174781201916108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212.3772300000002</v>
      </c>
      <c r="BF63" s="13">
        <f t="shared" si="37"/>
        <v>52.454729443519689</v>
      </c>
      <c r="BG63" s="20">
        <f t="shared" si="7"/>
        <v>461.24899603079712</v>
      </c>
      <c r="BH63" s="59">
        <f t="shared" si="8"/>
        <v>720.66986209776837</v>
      </c>
      <c r="BI63" s="59">
        <f ca="1">AVERAGE(OFFSET($BH$3,0,0,'Données projet'!$E$11+1,1))-AVERAGE(OFFSET($H$3,0,0,'Données projet'!$E$11+1,1))</f>
        <v>695.93700574708214</v>
      </c>
      <c r="BJ63" s="59">
        <f t="shared" si="38"/>
        <v>318.31690229208471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14.839902993883396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14.839902993883396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196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196.00000000000003</v>
      </c>
      <c r="BZ63" s="13">
        <f>BY63*VLOOKUP('Données projet'!$B$12,Paramètres!$A$1:$I$89,3,0)*VLOOKUP('Données projet'!$B$12,Paramètres!$A$1:$I$89,5,0)</f>
        <v>128.41920000000002</v>
      </c>
      <c r="CA63" s="13">
        <f t="shared" si="39"/>
        <v>33.630823177860762</v>
      </c>
      <c r="CB63" s="20">
        <f t="shared" si="10"/>
        <v>282.23712370144091</v>
      </c>
      <c r="CC63" s="59">
        <f t="shared" si="11"/>
        <v>541.65798976841222</v>
      </c>
      <c r="CD63" s="59">
        <f ca="1">AVERAGE(OFFSET($CC$3,0,0,'Données projet'!$E$12+1,1))-AVERAGE(OFFSET($H$3,0,0,'Données projet'!$E$12+1,1))</f>
        <v>260.25859566735949</v>
      </c>
      <c r="CE63" s="59">
        <f t="shared" si="40"/>
        <v>256.93649773468667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19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6.6046991910167101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6.6046991910167101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196</v>
      </c>
      <c r="CR63" s="12">
        <f>VLOOKUP(A63,'Données projet'!$A$139:$I$159,9,0)</f>
        <v>5</v>
      </c>
      <c r="CS63" s="12">
        <f t="array" ref="CS63">INDEX(CR:CR,MIN(IF(ISNUMBER(CR63:CR259),ROW(CR63:CR259),"")))</f>
        <v>5</v>
      </c>
      <c r="CT63" s="12">
        <f>IF('Données projet'!$A$140&gt;35,CT62+CS63-DB62,IF(A63&lt;'Données projet'!$A$140,$CQ$205^A63,IF(A63='Données projet'!$A$140,'Données projet'!$B$140,CT62+CS63-DB62)))</f>
        <v>196.00000000000003</v>
      </c>
      <c r="CU63" s="17">
        <f>CT63*VLOOKUP('Données projet'!$B$13,Paramètres!$A$1:$I$89,3,0)*VLOOKUP('Données projet'!$B$13,Paramètres!$A$1:$I$89,5,0)</f>
        <v>128.41920000000002</v>
      </c>
      <c r="CV63" s="13">
        <f t="shared" si="41"/>
        <v>33.630823177860762</v>
      </c>
      <c r="CW63" s="20">
        <f t="shared" si="13"/>
        <v>282.23712370144091</v>
      </c>
      <c r="CX63" s="59">
        <f t="shared" si="14"/>
        <v>541.65798976841222</v>
      </c>
      <c r="CY63" s="59">
        <f ca="1">AVERAGE(OFFSET($CX$3,0,0,'Données projet'!$E$13+1,1))-AVERAGE(OFFSET($H$3,0,0,'Données projet'!$E$13+1,1))</f>
        <v>260.25859566735949</v>
      </c>
      <c r="CZ63" s="59">
        <f t="shared" si="42"/>
        <v>256.93649773468667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19</v>
      </c>
      <c r="DC63" s="16">
        <f>IF(ISNA(VLOOKUP(A63,'Données projet'!$A$139:$I$159,5,0)),0%,VLOOKUP(A63,'Données projet'!$A$139:$I$159,5,0)*VLOOKUP('Données projet'!$B$13,Paramètres!$A$1:$I$89,7,0))</f>
        <v>0.129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6.6046991910167101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6.6046991910167101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7.6099999999999994</v>
      </c>
      <c r="DO63" s="12">
        <f>IF('Données projet'!$A$166&gt;35,DO62+DN63-DW62,IF(A63&lt;'Données projet'!$A$166,$DL$205^A63,IF(A63='Données projet'!$A$166,'Données projet'!$B$166,DO62+DN63-DW62)))</f>
        <v>264.99999999999989</v>
      </c>
      <c r="DP63" s="17">
        <f>DO63*VLOOKUP('Données projet'!$B$14,Paramètres!$A$1:$I$89,3,0)*VLOOKUP('Données projet'!$B$14,Paramètres!$A$1:$I$89,5,0)</f>
        <v>151.57999999999996</v>
      </c>
      <c r="DQ63" s="13">
        <f t="shared" si="43"/>
        <v>38.937427029960126</v>
      </c>
      <c r="DR63" s="20">
        <f t="shared" si="16"/>
        <v>331.81785207718048</v>
      </c>
      <c r="DS63" s="59">
        <f t="shared" si="17"/>
        <v>591.23871814415179</v>
      </c>
      <c r="DT63" s="59">
        <f ca="1">AVERAGE(OFFSET($DS$3,0,0,'Données projet'!$E$14+1,1))-AVERAGE(OFFSET($H$3,0,0,'Données projet'!$E$14+1,1))</f>
        <v>349.56396446903</v>
      </c>
      <c r="DU63" s="59">
        <f t="shared" si="44"/>
        <v>270.64279448634522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18.277978333920625</v>
      </c>
      <c r="EB63" s="21">
        <f>EXP(-LN(2)/25)*EB62+(1-EXP(-LN(2)/25))/(LN(2)/25)*Calculateur!DW63*Calculateur!DY63*VLOOKUP('Données projet'!$B$14,Paramètres!$A$1:$I$89,3,0)*0.475*44/12</f>
        <v>37.96984357967623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56.247821913596852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440.94</v>
      </c>
      <c r="EH63" s="12">
        <f>VLOOKUP(A63,'Données projet'!$A$191:$I$211,9,0)</f>
        <v>14.12</v>
      </c>
      <c r="EI63" s="12">
        <f t="array" ref="EI63">INDEX(EH:EH,MIN(IF(ISNUMBER(EH63:EH259),ROW(EH63:EH259),"")))</f>
        <v>14.12</v>
      </c>
      <c r="EJ63" s="12">
        <f>IF('Données projet'!$A$192&gt;35,EJ62+EI63-ER62,IF(A63&lt;'Données projet'!$A$192,$EG$205^A63,IF(A63='Données projet'!$A$192,'Données projet'!$B$192,EJ62+EI63-ER62)))</f>
        <v>440.94000000000023</v>
      </c>
      <c r="EK63" s="17">
        <f>EJ63*VLOOKUP('Données projet'!$B$15,Paramètres!$A$1:$I$89,3,0)*VLOOKUP('Données projet'!$B$15,Paramètres!$A$1:$I$89,5,0)</f>
        <v>263.68212000000017</v>
      </c>
      <c r="EL63" s="13">
        <f t="shared" si="45"/>
        <v>63.506613606650063</v>
      </c>
      <c r="EM63" s="20">
        <f t="shared" si="19"/>
        <v>569.85371103158241</v>
      </c>
      <c r="EN63" s="59">
        <f t="shared" si="20"/>
        <v>829.27457709855366</v>
      </c>
      <c r="EO63" s="59">
        <f ca="1">AVERAGE(OFFSET($EN$3,0,0,'Données projet'!$E$15+1,1))-AVERAGE(OFFSET($H$3,0,0,'Données projet'!$E$15+1,1))</f>
        <v>375.89365709113105</v>
      </c>
      <c r="EP63" s="59">
        <f t="shared" si="46"/>
        <v>279.39056561403834</v>
      </c>
      <c r="EQ63" s="15">
        <f>IF(ISNA(VLOOKUP(A63,'Données projet'!$A$191:$I$211,3,0)),0,VLOOKUP(A63,'Données projet'!$A$191:$I$211,3,0))</f>
        <v>6</v>
      </c>
      <c r="ER63" s="15">
        <f>IF(ISNA(VLOOKUP(A63,'Données projet'!$A$191:$I$211,4,0)),0,VLOOKUP(A63,'Données projet'!$A$191:$I$211,4,0))</f>
        <v>69.849999999999994</v>
      </c>
      <c r="ES63" s="16">
        <f>IF(ISNA(VLOOKUP(A63,'Données projet'!$A$191:$I$211,5,0)),0%,VLOOKUP(A63,'Données projet'!$A$191:$I$211,5,0)*VLOOKUP('Données projet'!$B$15,Paramètres!$A$1:$I$89,7,0))</f>
        <v>0.315</v>
      </c>
      <c r="ET63" s="16">
        <f>IF(ISNA(VLOOKUP(A63,'Données projet'!$A$191:$I$211,6,0)),0%,VLOOKUP(A63,'Données projet'!$A$191:$I$211,6,0)*VLOOKUP('Données projet'!$B$15,Paramètres!$A$1:$I$89,7,0))</f>
        <v>0.13500000000000001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33.670887674022104</v>
      </c>
      <c r="EW63" s="21">
        <f>EXP(-LN(2)/25)*EW62+(1-EXP(-LN(2)/25))/(LN(2)/25)*Calculateur!ER63*Calculateur!ET63*VLOOKUP('Données projet'!$B$15,Paramètres!$A$1:$I$89,3,0)*0.475*44/12</f>
        <v>38.231011405683404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71.901899079705515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436.34</v>
      </c>
      <c r="FC63" s="12">
        <f>VLOOKUP(A63,'Données projet'!$A$217:$I$237,9,0)</f>
        <v>13.14</v>
      </c>
      <c r="FD63" s="12">
        <f t="array" ref="FD63">INDEX(FC:FC,MIN(IF(ISNUMBER(FC63:FC259),ROW(FC63:FC259),"")))</f>
        <v>13.14</v>
      </c>
      <c r="FE63" s="12">
        <f>IF('Données projet'!$A$218&gt;35,FE62+FD63-FM62,IF(A63&lt;'Données projet'!$A$218,$FB$205^A63,IF(A63='Données projet'!$A$218,'Données projet'!$B$218,FE62+FD63-FM62)))</f>
        <v>436.33999999999986</v>
      </c>
      <c r="FF63" s="17">
        <f>FE63*VLOOKUP('Données projet'!$B$16,Paramètres!$A$1:$I$89,3,0)*VLOOKUP('Données projet'!$B$16,Paramètres!$A$1:$I$89,5,0)</f>
        <v>260.93131999999991</v>
      </c>
      <c r="FG63" s="13">
        <f t="shared" si="47"/>
        <v>62.92085641383472</v>
      </c>
      <c r="FH63" s="20">
        <f t="shared" si="22"/>
        <v>564.04254058742856</v>
      </c>
      <c r="FI63" s="59">
        <f t="shared" si="23"/>
        <v>823.46340665439993</v>
      </c>
      <c r="FJ63" s="59">
        <f ca="1">AVERAGE(OFFSET($FI$3,0,0,'Données projet'!$E$16+1,1))-AVERAGE(OFFSET($H$3,0,0,'Données projet'!$E$16+1,1))</f>
        <v>319.29539841078537</v>
      </c>
      <c r="FK63" s="59">
        <f t="shared" si="48"/>
        <v>327.26871144121412</v>
      </c>
      <c r="FL63" s="15">
        <f>IF(ISNA(VLOOKUP(A63,'Données projet'!$A$217:$I$237,3,0)),0,VLOOKUP(A63,'Données projet'!$A$217:$I$237,3,0))</f>
        <v>7</v>
      </c>
      <c r="FM63" s="15">
        <f>IF(ISNA(VLOOKUP(A63,'Données projet'!$A$217:$I$237,4,0)),0,VLOOKUP(A63,'Données projet'!$A$217:$I$237,4,0))</f>
        <v>436.34</v>
      </c>
      <c r="FN63" s="16">
        <f>IF(ISNA(VLOOKUP(A63,'Données projet'!$A$217:$I$237,5,0)),0%,VLOOKUP(A63,'Données projet'!$A$217:$I$237,5,0)*VLOOKUP('Données projet'!$B$16,Paramètres!$A$1:$I$89,7,0))</f>
        <v>0.315</v>
      </c>
      <c r="FO63" s="16">
        <f>IF(ISNA(VLOOKUP(A63,'Données projet'!$A$217:$I$237,6,0)),0%,VLOOKUP(A63,'Données projet'!$A$217:$I$237,6,0)*VLOOKUP('Données projet'!$B$16,Paramètres!$A$1:$I$89,7,0))</f>
        <v>0.13500000000000001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138.2979749040349</v>
      </c>
      <c r="FR63" s="21">
        <f>EXP(-LN(2)/25)*FR62+(1-EXP(-LN(2)/25))/(LN(2)/25)*Calculateur!FM63*Calculateur!FO63*VLOOKUP('Données projet'!$B$16,Paramètres!$A$1:$I$89,3,0)*0.475*44/12</f>
        <v>85.695341582912519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223.99331648694744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2.2737367544323206E-13</v>
      </c>
      <c r="GA63" s="17">
        <f>FZ63*VLOOKUP('Données projet'!$B$17,Paramètres!$A$1:$I$89,3,0)*VLOOKUP('Données projet'!$B$17,Paramètres!$A$1:$I$89,5,0)</f>
        <v>1.0049916454590858E-13</v>
      </c>
      <c r="GB63" s="13">
        <f t="shared" si="49"/>
        <v>1.5089081593838289E-12</v>
      </c>
      <c r="GC63" s="20">
        <f t="shared" si="25"/>
        <v>2.8030510891776262E-12</v>
      </c>
      <c r="GD63" s="59">
        <f t="shared" si="26"/>
        <v>259.4208660669741</v>
      </c>
      <c r="GE63" s="59">
        <f ca="1">AVERAGE(OFFSET($GD$3,0,0,'Données projet'!$E$17+1,1))-AVERAGE(OFFSET($H$3,0,0,'Données projet'!$E$17+1,1))</f>
        <v>342.89128067483233</v>
      </c>
      <c r="GF63" s="59">
        <f t="shared" si="50"/>
        <v>453.47615302202996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165.05413995506552</v>
      </c>
      <c r="GM63" s="21">
        <f>EXP(-LN(2)/25)*GM62+(1-EXP(-LN(2)/25))/(LN(2)/25)*Calculateur!GH63*Calculateur!GJ63*VLOOKUP('Données projet'!$B$17,Paramètres!$A$1:$I$89,3,0)*0.475*44/12</f>
        <v>117.4037301829695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282.45787013803499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60.75114529099217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440.94</v>
      </c>
      <c r="GS63" s="12">
        <f>VLOOKUP(A63,'Données projet'!$A$269:$I$289,9,0)</f>
        <v>14.12</v>
      </c>
      <c r="GT63" s="12">
        <f t="array" ref="GT63">INDEX(GS:GS,MIN(IF(ISNUMBER(GS63:GS259),ROW(GS63:GS259),"")))</f>
        <v>14.12</v>
      </c>
      <c r="GU63" s="12">
        <f>IF('Données projet'!$A$270&gt;35,GU62+GT63-HC62,IF(A63&lt;'Données projet'!$A$270,$GR$205^A63,IF(A63='Données projet'!$A$270,'Données projet'!$B$270,GU62+GT63-HC62)))</f>
        <v>440.94000000000023</v>
      </c>
      <c r="GV63" s="17">
        <f>GU63*VLOOKUP('Données projet'!$B$18,Paramètres!$A$1:$I$89,3,0)*VLOOKUP('Données projet'!$B$18,Paramètres!$A$1:$I$89,5,0)</f>
        <v>263.68212000000017</v>
      </c>
      <c r="GW63" s="13">
        <f t="shared" si="51"/>
        <v>63.506613606650063</v>
      </c>
      <c r="GX63" s="20">
        <f t="shared" si="28"/>
        <v>569.85371103158241</v>
      </c>
      <c r="GY63" s="59">
        <f t="shared" si="29"/>
        <v>829.27457709855366</v>
      </c>
      <c r="GZ63" s="59">
        <f ca="1">AVERAGE(OFFSET($GY$3,0,0,'Données projet'!$E$18+1,1))-AVERAGE(OFFSET($H$3,0,0,'Données projet'!$E$18+1,1))</f>
        <v>375.89365709113105</v>
      </c>
      <c r="HA63" s="59">
        <f t="shared" si="52"/>
        <v>279.39056561403834</v>
      </c>
      <c r="HB63" s="15">
        <f>IF(ISNA(VLOOKUP(A63,'Données projet'!$A$269:$I$289,3,0)),0,VLOOKUP(A63,'Données projet'!$A$269:$I$289,3,0))</f>
        <v>6</v>
      </c>
      <c r="HC63" s="15">
        <f>IF(ISNA(VLOOKUP(A63,'Données projet'!$A$269:$I$289,4,0)),0,VLOOKUP(A63,'Données projet'!$A$269:$I$289,4,0))</f>
        <v>69.849999999999994</v>
      </c>
      <c r="HD63" s="16">
        <f>IF(ISNA(VLOOKUP(A63,'Données projet'!$A$269:$I$289,5,0)),0%,VLOOKUP(A63,'Données projet'!$A$269:$I$289,5,0)*VLOOKUP('Données projet'!$B$18,Paramètres!$A$1:$I$89,7,0))</f>
        <v>0.315</v>
      </c>
      <c r="HE63" s="16">
        <f>IF(ISNA(VLOOKUP(A63,'Données projet'!$A$269:$I$289,6,0)),0%,VLOOKUP(A63,'Données projet'!$A$269:$I$289,6,0)*VLOOKUP('Données projet'!$B$18,Paramètres!$A$1:$I$89,7,0))</f>
        <v>0.13500000000000001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33.670887674022104</v>
      </c>
      <c r="HH63" s="21">
        <f>EXP(-LN(2)/25)*HH62+(1-EXP(-LN(2)/25))/(LN(2)/25)*Calculateur!HC63*Calculateur!HE63*VLOOKUP('Données projet'!$B$18,Paramètres!$A$1:$I$89,3,0)*0.475*44/12</f>
        <v>38.231011405683404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71.901899079705515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178.09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197.87749800000014</v>
      </c>
      <c r="P64" s="13">
        <f t="shared" si="33"/>
        <v>49.277416774103372</v>
      </c>
      <c r="Q64" s="20">
        <f t="shared" si="53"/>
        <v>430.46147656489694</v>
      </c>
      <c r="R64" s="59">
        <f t="shared" si="0"/>
        <v>690.47064812202098</v>
      </c>
      <c r="S64" s="59">
        <f ca="1">AVERAGE(OFFSET($R$3,0,0,'Données projet'!$E$9+1,1))-AVERAGE(OFFSET($H$3,0,0,'Données projet'!$E$9+1,1))</f>
        <v>631.31712308065664</v>
      </c>
      <c r="T64" s="59">
        <f t="shared" si="34"/>
        <v>290.92244624361285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12.982096765568983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12.982096765568983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8.5500000000000007</v>
      </c>
      <c r="AI64" s="13">
        <f>IF('Données projet'!$A$62&gt;35,AI63+AH64-AQ63,IF(A64&lt;'Données projet'!$A$62,$AF$205^A64,IF(A64='Données projet'!$A$62,'Données projet'!$B$62,AI63+AH64-AQ63)))</f>
        <v>161.56000000000009</v>
      </c>
      <c r="AJ64" s="13">
        <f>AI64*VLOOKUP('Données projet'!$B$10,Paramètres!$A$1:$I$89,3,0)*VLOOKUP('Données projet'!$B$10,Paramètres!$A$1:$I$89,5,0)</f>
        <v>136.09814400000008</v>
      </c>
      <c r="AK64" s="13">
        <f t="shared" si="35"/>
        <v>35.401679921027657</v>
      </c>
      <c r="AL64" s="20">
        <f t="shared" si="4"/>
        <v>298.69552666245664</v>
      </c>
      <c r="AM64" s="59">
        <f t="shared" si="5"/>
        <v>558.70469821958068</v>
      </c>
      <c r="AN64" s="59">
        <f ca="1">AVERAGE(OFFSET($AM$3,0,0,'Données projet'!$E$10+1,1))-AVERAGE(OFFSET($H$3,0,0,'Données projet'!$E$10+1,1))</f>
        <v>401.19166052471473</v>
      </c>
      <c r="AO64" s="59">
        <f t="shared" si="36"/>
        <v>271.10067497534271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11.936041168429821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11.936041168429821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221.7592650000002</v>
      </c>
      <c r="BF64" s="13">
        <f t="shared" si="37"/>
        <v>54.497075847509379</v>
      </c>
      <c r="BG64" s="20">
        <f t="shared" si="7"/>
        <v>481.14646030941248</v>
      </c>
      <c r="BH64" s="59">
        <f t="shared" si="8"/>
        <v>741.15563186653651</v>
      </c>
      <c r="BI64" s="59">
        <f ca="1">AVERAGE(OFFSET($BH$3,0,0,'Données projet'!$E$11+1,1))-AVERAGE(OFFSET($H$3,0,0,'Données projet'!$E$11+1,1))</f>
        <v>695.93700574708214</v>
      </c>
      <c r="BJ64" s="59">
        <f t="shared" si="38"/>
        <v>318.31690229208471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14.548901547620412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14.548901547620412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4.8</v>
      </c>
      <c r="BY64" s="12">
        <f>IF('Données projet'!$A$114&gt;35,BY63+BX64-CG63,IF(A64&lt;'Données projet'!$A$114,$BV$205^A64,IF(A64='Données projet'!$A$114,'Données projet'!$B$114,BY63+BX64-CG63)))</f>
        <v>181.80000000000004</v>
      </c>
      <c r="BZ64" s="13">
        <f>BY64*VLOOKUP('Données projet'!$B$12,Paramètres!$A$1:$I$89,3,0)*VLOOKUP('Données projet'!$B$12,Paramètres!$A$1:$I$89,5,0)</f>
        <v>119.11536000000002</v>
      </c>
      <c r="CA64" s="13">
        <f t="shared" si="39"/>
        <v>31.468582772748093</v>
      </c>
      <c r="CB64" s="20">
        <f t="shared" si="10"/>
        <v>262.26703366253628</v>
      </c>
      <c r="CC64" s="59">
        <f t="shared" si="11"/>
        <v>522.27620521966037</v>
      </c>
      <c r="CD64" s="59">
        <f ca="1">AVERAGE(OFFSET($CC$3,0,0,'Données projet'!$E$12+1,1))-AVERAGE(OFFSET($H$3,0,0,'Données projet'!$E$12+1,1))</f>
        <v>260.25859566735949</v>
      </c>
      <c r="CE64" s="59">
        <f t="shared" si="40"/>
        <v>256.93649773468667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6.4751850683496004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6.4751850683496004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4.8</v>
      </c>
      <c r="CT64" s="12">
        <f>IF('Données projet'!$A$140&gt;35,CT63+CS64-DB63,IF(A64&lt;'Données projet'!$A$140,$CQ$205^A64,IF(A64='Données projet'!$A$140,'Données projet'!$B$140,CT63+CS64-DB63)))</f>
        <v>181.80000000000004</v>
      </c>
      <c r="CU64" s="17">
        <f>CT64*VLOOKUP('Données projet'!$B$13,Paramètres!$A$1:$I$89,3,0)*VLOOKUP('Données projet'!$B$13,Paramètres!$A$1:$I$89,5,0)</f>
        <v>119.11536000000002</v>
      </c>
      <c r="CV64" s="13">
        <f t="shared" si="41"/>
        <v>31.468582772748093</v>
      </c>
      <c r="CW64" s="20">
        <f t="shared" si="13"/>
        <v>262.26703366253628</v>
      </c>
      <c r="CX64" s="59">
        <f t="shared" si="14"/>
        <v>522.27620521966037</v>
      </c>
      <c r="CY64" s="59">
        <f ca="1">AVERAGE(OFFSET($CX$3,0,0,'Données projet'!$E$13+1,1))-AVERAGE(OFFSET($H$3,0,0,'Données projet'!$E$13+1,1))</f>
        <v>260.25859566735949</v>
      </c>
      <c r="CZ64" s="59">
        <f t="shared" si="42"/>
        <v>256.93649773468667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6.4751850683496004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6.4751850683496004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7.6099999999999994</v>
      </c>
      <c r="DO64" s="12">
        <f>IF('Données projet'!$A$166&gt;35,DO63+DN64-DW63,IF(A64&lt;'Données projet'!$A$166,$DL$205^A64,IF(A64='Données projet'!$A$166,'Données projet'!$B$166,DO63+DN64-DW63)))</f>
        <v>272.6099999999999</v>
      </c>
      <c r="DP64" s="17">
        <f>DO64*VLOOKUP('Données projet'!$B$14,Paramètres!$A$1:$I$89,3,0)*VLOOKUP('Données projet'!$B$14,Paramètres!$A$1:$I$89,5,0)</f>
        <v>155.93291999999994</v>
      </c>
      <c r="DQ64" s="13">
        <f t="shared" si="43"/>
        <v>39.923804032293539</v>
      </c>
      <c r="DR64" s="20">
        <f t="shared" si="16"/>
        <v>341.11712768957779</v>
      </c>
      <c r="DS64" s="59">
        <f t="shared" si="17"/>
        <v>601.12629924670182</v>
      </c>
      <c r="DT64" s="59">
        <f ca="1">AVERAGE(OFFSET($DS$3,0,0,'Données projet'!$E$14+1,1))-AVERAGE(OFFSET($H$3,0,0,'Données projet'!$E$14+1,1))</f>
        <v>349.56396446903</v>
      </c>
      <c r="DU64" s="59">
        <f t="shared" si="44"/>
        <v>270.64279448634522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17.919558327258407</v>
      </c>
      <c r="EB64" s="21">
        <f>EXP(-LN(2)/25)*EB63+(1-EXP(-LN(2)/25))/(LN(2)/25)*Calculateur!DW64*Calculateur!DY64*VLOOKUP('Données projet'!$B$14,Paramètres!$A$1:$I$89,3,0)*0.475*44/12</f>
        <v>36.93155621024269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54.851114537501097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11.896999999999997</v>
      </c>
      <c r="EJ64" s="12">
        <f>IF('Données projet'!$A$192&gt;35,EJ63+EI64-ER63,IF(A64&lt;'Données projet'!$A$192,$EG$205^A64,IF(A64='Données projet'!$A$192,'Données projet'!$B$192,EJ63+EI64-ER63)))</f>
        <v>382.98700000000019</v>
      </c>
      <c r="EK64" s="17">
        <f>EJ64*VLOOKUP('Données projet'!$B$15,Paramètres!$A$1:$I$89,3,0)*VLOOKUP('Données projet'!$B$15,Paramètres!$A$1:$I$89,5,0)</f>
        <v>229.02622600000012</v>
      </c>
      <c r="EL64" s="13">
        <f t="shared" si="45"/>
        <v>56.072076861881605</v>
      </c>
      <c r="EM64" s="20">
        <f t="shared" si="19"/>
        <v>496.54621081777736</v>
      </c>
      <c r="EN64" s="59">
        <f t="shared" si="20"/>
        <v>756.55538237490146</v>
      </c>
      <c r="EO64" s="59">
        <f ca="1">AVERAGE(OFFSET($EN$3,0,0,'Données projet'!$E$15+1,1))-AVERAGE(OFFSET($H$3,0,0,'Données projet'!$E$15+1,1))</f>
        <v>375.89365709113105</v>
      </c>
      <c r="EP64" s="59">
        <f t="shared" si="46"/>
        <v>279.39056561403834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33.01062210394813</v>
      </c>
      <c r="EW64" s="21">
        <f>EXP(-LN(2)/25)*EW63+(1-EXP(-LN(2)/25))/(LN(2)/25)*Calculateur!ER64*Calculateur!ET64*VLOOKUP('Données projet'!$B$15,Paramètres!$A$1:$I$89,3,0)*0.475*44/12</f>
        <v>37.185582388313478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70.196204492261614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-1.1368683772161603E-13</v>
      </c>
      <c r="FF64" s="17">
        <f>FE64*VLOOKUP('Données projet'!$B$16,Paramètres!$A$1:$I$89,3,0)*VLOOKUP('Données projet'!$B$16,Paramètres!$A$1:$I$89,5,0)</f>
        <v>-6.7984728957526396E-14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319.29539841078537</v>
      </c>
      <c r="FK64" s="59">
        <f t="shared" si="48"/>
        <v>327.26871144121412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135.58603596960225</v>
      </c>
      <c r="FR64" s="21">
        <f>EXP(-LN(2)/25)*FR63+(1-EXP(-LN(2)/25))/(LN(2)/25)*Calculateur!FM64*Calculateur!FO64*VLOOKUP('Données projet'!$B$16,Paramètres!$A$1:$I$89,3,0)*0.475*44/12</f>
        <v>83.351997960805619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218.93803393040787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2.2737367544323206E-13</v>
      </c>
      <c r="GA64" s="17">
        <f>FZ64*VLOOKUP('Données projet'!$B$17,Paramètres!$A$1:$I$89,3,0)*VLOOKUP('Données projet'!$B$17,Paramètres!$A$1:$I$89,5,0)</f>
        <v>1.0049916454590858E-13</v>
      </c>
      <c r="GB64" s="13">
        <f t="shared" si="49"/>
        <v>1.5089081593838289E-12</v>
      </c>
      <c r="GC64" s="20">
        <f t="shared" si="25"/>
        <v>2.8030510891776262E-12</v>
      </c>
      <c r="GD64" s="59">
        <f t="shared" si="26"/>
        <v>260.00917155712682</v>
      </c>
      <c r="GE64" s="59">
        <f ca="1">AVERAGE(OFFSET($GD$3,0,0,'Données projet'!$E$17+1,1))-AVERAGE(OFFSET($H$3,0,0,'Données projet'!$E$17+1,1))</f>
        <v>342.89128067483233</v>
      </c>
      <c r="GF64" s="59">
        <f t="shared" si="50"/>
        <v>453.47615302202996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161.81752894363143</v>
      </c>
      <c r="GM64" s="21">
        <f>EXP(-LN(2)/25)*GM63+(1-EXP(-LN(2)/25))/(LN(2)/25)*Calculateur!GH64*Calculateur!GJ64*VLOOKUP('Données projet'!$B$17,Paramètres!$A$1:$I$89,3,0)*0.475*44/12</f>
        <v>114.19331900712235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276.01084795075377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60.911592242852016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11.896999999999997</v>
      </c>
      <c r="GU64" s="12">
        <f>IF('Données projet'!$A$270&gt;35,GU63+GT64-HC63,IF(A64&lt;'Données projet'!$A$270,$GR$205^A64,IF(A64='Données projet'!$A$270,'Données projet'!$B$270,GU63+GT64-HC63)))</f>
        <v>382.98700000000019</v>
      </c>
      <c r="GV64" s="17">
        <f>GU64*VLOOKUP('Données projet'!$B$18,Paramètres!$A$1:$I$89,3,0)*VLOOKUP('Données projet'!$B$18,Paramètres!$A$1:$I$89,5,0)</f>
        <v>229.02622600000012</v>
      </c>
      <c r="GW64" s="13">
        <f t="shared" si="51"/>
        <v>56.072076861881605</v>
      </c>
      <c r="GX64" s="20">
        <f t="shared" si="28"/>
        <v>496.54621081777736</v>
      </c>
      <c r="GY64" s="59">
        <f t="shared" si="29"/>
        <v>756.55538237490146</v>
      </c>
      <c r="GZ64" s="59">
        <f ca="1">AVERAGE(OFFSET($GY$3,0,0,'Données projet'!$E$18+1,1))-AVERAGE(OFFSET($H$3,0,0,'Données projet'!$E$18+1,1))</f>
        <v>375.89365709113105</v>
      </c>
      <c r="HA64" s="59">
        <f t="shared" si="52"/>
        <v>279.39056561403834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33.01062210394813</v>
      </c>
      <c r="HH64" s="21">
        <f>EXP(-LN(2)/25)*HH63+(1-EXP(-LN(2)/25))/(LN(2)/25)*Calculateur!HC64*Calculateur!HE64*VLOOKUP('Données projet'!$B$18,Paramètres!$A$1:$I$89,3,0)*0.475*44/12</f>
        <v>37.185582388313478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70.196204492261614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178.09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206.24916000000016</v>
      </c>
      <c r="P65" s="13">
        <f t="shared" si="33"/>
        <v>51.115075026737237</v>
      </c>
      <c r="Q65" s="20">
        <f t="shared" si="53"/>
        <v>448.24270933823431</v>
      </c>
      <c r="R65" s="59">
        <f t="shared" si="0"/>
        <v>708.82998060051102</v>
      </c>
      <c r="S65" s="59">
        <f ca="1">AVERAGE(OFFSET($R$3,0,0,'Données projet'!$E$9+1,1))-AVERAGE(OFFSET($H$3,0,0,'Données projet'!$E$9+1,1))</f>
        <v>631.31712308065664</v>
      </c>
      <c r="T65" s="59">
        <f t="shared" si="34"/>
        <v>290.92244624361285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12.727525766293335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12.727525766293335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8.5500000000000007</v>
      </c>
      <c r="AI65" s="13">
        <f>IF('Données projet'!$A$62&gt;35,AI64+AH65-AQ64,IF(A65&lt;'Données projet'!$A$62,$AF$205^A65,IF(A65='Données projet'!$A$62,'Données projet'!$B$62,AI64+AH65-AQ64)))</f>
        <v>170.1100000000001</v>
      </c>
      <c r="AJ65" s="13">
        <f>AI65*VLOOKUP('Données projet'!$B$10,Paramètres!$A$1:$I$89,3,0)*VLOOKUP('Données projet'!$B$10,Paramètres!$A$1:$I$89,5,0)</f>
        <v>143.3006640000001</v>
      </c>
      <c r="AK65" s="13">
        <f t="shared" si="35"/>
        <v>37.052112739725779</v>
      </c>
      <c r="AL65" s="20">
        <f t="shared" si="4"/>
        <v>314.11441948835591</v>
      </c>
      <c r="AM65" s="59">
        <f t="shared" si="5"/>
        <v>574.70169075063268</v>
      </c>
      <c r="AN65" s="59">
        <f ca="1">AVERAGE(OFFSET($AM$3,0,0,'Données projet'!$E$10+1,1))-AVERAGE(OFFSET($H$3,0,0,'Données projet'!$E$10+1,1))</f>
        <v>401.19166052471473</v>
      </c>
      <c r="AO65" s="59">
        <f t="shared" si="36"/>
        <v>271.10067497534271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11.701982681383159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11.701982681383159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231.1413000000002</v>
      </c>
      <c r="BF65" s="13">
        <f t="shared" si="37"/>
        <v>56.529386137528874</v>
      </c>
      <c r="BG65" s="20">
        <f t="shared" si="7"/>
        <v>501.02644502286307</v>
      </c>
      <c r="BH65" s="59">
        <f t="shared" si="8"/>
        <v>761.61371628513984</v>
      </c>
      <c r="BI65" s="59">
        <f ca="1">AVERAGE(OFFSET($BH$3,0,0,'Données projet'!$E$11+1,1))-AVERAGE(OFFSET($H$3,0,0,'Données projet'!$E$11+1,1))</f>
        <v>695.93700574708214</v>
      </c>
      <c r="BJ65" s="59">
        <f t="shared" si="38"/>
        <v>318.31690229208471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14.26360646222529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14.26360646222529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4.8</v>
      </c>
      <c r="BY65" s="12">
        <f>IF('Données projet'!$A$114&gt;35,BY64+BX65-CG64,IF(A65&lt;'Données projet'!$A$114,$BV$205^A65,IF(A65='Données projet'!$A$114,'Données projet'!$B$114,BY64+BX65-CG64)))</f>
        <v>186.60000000000005</v>
      </c>
      <c r="BZ65" s="13">
        <f>BY65*VLOOKUP('Données projet'!$B$12,Paramètres!$A$1:$I$89,3,0)*VLOOKUP('Données projet'!$B$12,Paramètres!$A$1:$I$89,5,0)</f>
        <v>122.26032000000002</v>
      </c>
      <c r="CA65" s="13">
        <f t="shared" si="39"/>
        <v>32.2016078999482</v>
      </c>
      <c r="CB65" s="20">
        <f t="shared" si="10"/>
        <v>269.02119109240982</v>
      </c>
      <c r="CC65" s="59">
        <f t="shared" si="11"/>
        <v>529.60846235468648</v>
      </c>
      <c r="CD65" s="59">
        <f ca="1">AVERAGE(OFFSET($CC$3,0,0,'Données projet'!$E$12+1,1))-AVERAGE(OFFSET($H$3,0,0,'Données projet'!$E$12+1,1))</f>
        <v>260.25859566735949</v>
      </c>
      <c r="CE65" s="59">
        <f t="shared" si="40"/>
        <v>256.93649773468667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6.3482106386321782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6.3482106386321782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4.8</v>
      </c>
      <c r="CT65" s="12">
        <f>IF('Données projet'!$A$140&gt;35,CT64+CS65-DB64,IF(A65&lt;'Données projet'!$A$140,$CQ$205^A65,IF(A65='Données projet'!$A$140,'Données projet'!$B$140,CT64+CS65-DB64)))</f>
        <v>186.60000000000005</v>
      </c>
      <c r="CU65" s="17">
        <f>CT65*VLOOKUP('Données projet'!$B$13,Paramètres!$A$1:$I$89,3,0)*VLOOKUP('Données projet'!$B$13,Paramètres!$A$1:$I$89,5,0)</f>
        <v>122.26032000000002</v>
      </c>
      <c r="CV65" s="13">
        <f t="shared" si="41"/>
        <v>32.2016078999482</v>
      </c>
      <c r="CW65" s="20">
        <f t="shared" si="13"/>
        <v>269.02119109240982</v>
      </c>
      <c r="CX65" s="59">
        <f t="shared" si="14"/>
        <v>529.60846235468648</v>
      </c>
      <c r="CY65" s="59">
        <f ca="1">AVERAGE(OFFSET($CX$3,0,0,'Données projet'!$E$13+1,1))-AVERAGE(OFFSET($H$3,0,0,'Données projet'!$E$13+1,1))</f>
        <v>260.25859566735949</v>
      </c>
      <c r="CZ65" s="59">
        <f t="shared" si="42"/>
        <v>256.93649773468667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6.3482106386321782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6.3482106386321782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7.6099999999999994</v>
      </c>
      <c r="DO65" s="12">
        <f>IF('Données projet'!$A$166&gt;35,DO64+DN65-DW64,IF(A65&lt;'Données projet'!$A$166,$DL$205^A65,IF(A65='Données projet'!$A$166,'Données projet'!$B$166,DO64+DN65-DW64)))</f>
        <v>280.21999999999991</v>
      </c>
      <c r="DP65" s="17">
        <f>DO65*VLOOKUP('Données projet'!$B$14,Paramètres!$A$1:$I$89,3,0)*VLOOKUP('Données projet'!$B$14,Paramètres!$A$1:$I$89,5,0)</f>
        <v>160.28583999999995</v>
      </c>
      <c r="DQ65" s="13">
        <f t="shared" si="43"/>
        <v>40.906980717590812</v>
      </c>
      <c r="DR65" s="20">
        <f t="shared" si="16"/>
        <v>350.41082941647056</v>
      </c>
      <c r="DS65" s="59">
        <f t="shared" si="17"/>
        <v>610.99810067874728</v>
      </c>
      <c r="DT65" s="59">
        <f ca="1">AVERAGE(OFFSET($DS$3,0,0,'Données projet'!$E$14+1,1))-AVERAGE(OFFSET($H$3,0,0,'Données projet'!$E$14+1,1))</f>
        <v>349.56396446903</v>
      </c>
      <c r="DU65" s="59">
        <f t="shared" si="44"/>
        <v>270.64279448634522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17.568166718312217</v>
      </c>
      <c r="EB65" s="21">
        <f>EXP(-LN(2)/25)*EB64+(1-EXP(-LN(2)/25))/(LN(2)/25)*Calculateur!DW65*Calculateur!DY65*VLOOKUP('Données projet'!$B$14,Paramètres!$A$1:$I$89,3,0)*0.475*44/12</f>
        <v>35.921660863527471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53.489827581839691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11.896999999999997</v>
      </c>
      <c r="EJ65" s="12">
        <f>IF('Données projet'!$A$192&gt;35,EJ64+EI65-ER64,IF(A65&lt;'Données projet'!$A$192,$EG$205^A65,IF(A65='Données projet'!$A$192,'Données projet'!$B$192,EJ64+EI65-ER64)))</f>
        <v>394.88400000000019</v>
      </c>
      <c r="EK65" s="17">
        <f>EJ65*VLOOKUP('Données projet'!$B$15,Paramètres!$A$1:$I$89,3,0)*VLOOKUP('Données projet'!$B$15,Paramètres!$A$1:$I$89,5,0)</f>
        <v>236.14063200000015</v>
      </c>
      <c r="EL65" s="13">
        <f t="shared" si="45"/>
        <v>57.608386833134347</v>
      </c>
      <c r="EM65" s="20">
        <f t="shared" si="19"/>
        <v>511.61287446770933</v>
      </c>
      <c r="EN65" s="59">
        <f t="shared" si="20"/>
        <v>772.20014572998605</v>
      </c>
      <c r="EO65" s="59">
        <f ca="1">AVERAGE(OFFSET($EN$3,0,0,'Données projet'!$E$15+1,1))-AVERAGE(OFFSET($H$3,0,0,'Données projet'!$E$15+1,1))</f>
        <v>375.89365709113105</v>
      </c>
      <c r="EP65" s="59">
        <f t="shared" si="46"/>
        <v>279.39056561403834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32.363303938981076</v>
      </c>
      <c r="EW65" s="21">
        <f>EXP(-LN(2)/25)*EW64+(1-EXP(-LN(2)/25))/(LN(2)/25)*Calculateur!ER65*Calculateur!ET65*VLOOKUP('Données projet'!$B$15,Paramètres!$A$1:$I$89,3,0)*0.475*44/12</f>
        <v>36.168740682400255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68.532044621381331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-1.1368683772161603E-13</v>
      </c>
      <c r="FF65" s="17">
        <f>FE65*VLOOKUP('Données projet'!$B$16,Paramètres!$A$1:$I$89,3,0)*VLOOKUP('Données projet'!$B$16,Paramètres!$A$1:$I$89,5,0)</f>
        <v>-6.7984728957526396E-14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319.29539841078537</v>
      </c>
      <c r="FK65" s="59">
        <f t="shared" si="48"/>
        <v>327.26871144121412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132.92727650355442</v>
      </c>
      <c r="FR65" s="21">
        <f>EXP(-LN(2)/25)*FR64+(1-EXP(-LN(2)/25))/(LN(2)/25)*Calculateur!FM65*Calculateur!FO65*VLOOKUP('Données projet'!$B$16,Paramètres!$A$1:$I$89,3,0)*0.475*44/12</f>
        <v>81.072733193276321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214.00000969683074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2.2737367544323206E-13</v>
      </c>
      <c r="GA65" s="17">
        <f>FZ65*VLOOKUP('Données projet'!$B$17,Paramètres!$A$1:$I$89,3,0)*VLOOKUP('Données projet'!$B$17,Paramètres!$A$1:$I$89,5,0)</f>
        <v>1.0049916454590858E-13</v>
      </c>
      <c r="GB65" s="13">
        <f t="shared" si="49"/>
        <v>1.5089081593838289E-12</v>
      </c>
      <c r="GC65" s="20">
        <f t="shared" si="25"/>
        <v>2.8030510891776262E-12</v>
      </c>
      <c r="GD65" s="59">
        <f t="shared" si="26"/>
        <v>260.5872712622795</v>
      </c>
      <c r="GE65" s="59">
        <f ca="1">AVERAGE(OFFSET($GD$3,0,0,'Données projet'!$E$17+1,1))-AVERAGE(OFFSET($H$3,0,0,'Données projet'!$E$17+1,1))</f>
        <v>342.89128067483233</v>
      </c>
      <c r="GF65" s="59">
        <f t="shared" si="50"/>
        <v>453.47615302202996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158.64438589999375</v>
      </c>
      <c r="GM65" s="21">
        <f>EXP(-LN(2)/25)*GM64+(1-EXP(-LN(2)/25))/(LN(2)/25)*Calculateur!GH65*Calculateur!GJ65*VLOOKUP('Données projet'!$B$17,Paramètres!$A$1:$I$89,3,0)*0.475*44/12</f>
        <v>111.07069669370694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269.71508259370069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61.069255798802743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11.896999999999997</v>
      </c>
      <c r="GU65" s="12">
        <f>IF('Données projet'!$A$270&gt;35,GU64+GT65-HC64,IF(A65&lt;'Données projet'!$A$270,$GR$205^A65,IF(A65='Données projet'!$A$270,'Données projet'!$B$270,GU64+GT65-HC64)))</f>
        <v>394.88400000000019</v>
      </c>
      <c r="GV65" s="17">
        <f>GU65*VLOOKUP('Données projet'!$B$18,Paramètres!$A$1:$I$89,3,0)*VLOOKUP('Données projet'!$B$18,Paramètres!$A$1:$I$89,5,0)</f>
        <v>236.14063200000015</v>
      </c>
      <c r="GW65" s="13">
        <f t="shared" si="51"/>
        <v>57.608386833134347</v>
      </c>
      <c r="GX65" s="20">
        <f t="shared" si="28"/>
        <v>511.61287446770933</v>
      </c>
      <c r="GY65" s="59">
        <f t="shared" si="29"/>
        <v>772.20014572998605</v>
      </c>
      <c r="GZ65" s="59">
        <f ca="1">AVERAGE(OFFSET($GY$3,0,0,'Données projet'!$E$18+1,1))-AVERAGE(OFFSET($H$3,0,0,'Données projet'!$E$18+1,1))</f>
        <v>375.89365709113105</v>
      </c>
      <c r="HA65" s="59">
        <f t="shared" si="52"/>
        <v>279.39056561403834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32.363303938981076</v>
      </c>
      <c r="HH65" s="21">
        <f>EXP(-LN(2)/25)*HH64+(1-EXP(-LN(2)/25))/(LN(2)/25)*Calculateur!HC65*Calculateur!HE65*VLOOKUP('Données projet'!$B$18,Paramètres!$A$1:$I$89,3,0)*0.475*44/12</f>
        <v>36.168740682400255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68.532044621381331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178.09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214.62082200000015</v>
      </c>
      <c r="P66" s="13">
        <f t="shared" si="33"/>
        <v>52.944068896315315</v>
      </c>
      <c r="Q66" s="20">
        <f t="shared" si="53"/>
        <v>466.0088516444161</v>
      </c>
      <c r="R66" s="59">
        <f t="shared" si="0"/>
        <v>727.16419387439839</v>
      </c>
      <c r="S66" s="59">
        <f ca="1">AVERAGE(OFFSET($R$3,0,0,'Données projet'!$E$9+1,1))-AVERAGE(OFFSET($H$3,0,0,'Données projet'!$E$9+1,1))</f>
        <v>631.31712308065664</v>
      </c>
      <c r="T66" s="59">
        <f t="shared" si="34"/>
        <v>290.92244624361285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12.477946749040505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12.477946749040505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8.5500000000000007</v>
      </c>
      <c r="AI66" s="13">
        <f>IF('Données projet'!$A$62&gt;35,AI65+AH66-AQ65,IF(A66&lt;'Données projet'!$A$62,$AF$205^A66,IF(A66='Données projet'!$A$62,'Données projet'!$B$62,AI65+AH66-AQ65)))</f>
        <v>178.66000000000011</v>
      </c>
      <c r="AJ66" s="13">
        <f>AI66*VLOOKUP('Données projet'!$B$10,Paramètres!$A$1:$I$89,3,0)*VLOOKUP('Données projet'!$B$10,Paramètres!$A$1:$I$89,5,0)</f>
        <v>150.50318400000012</v>
      </c>
      <c r="AK66" s="13">
        <f t="shared" si="35"/>
        <v>38.692913693042001</v>
      </c>
      <c r="AL66" s="20">
        <f t="shared" si="4"/>
        <v>329.5165368153817</v>
      </c>
      <c r="AM66" s="59">
        <f t="shared" si="5"/>
        <v>590.67187904536399</v>
      </c>
      <c r="AN66" s="59">
        <f ca="1">AVERAGE(OFFSET($AM$3,0,0,'Données projet'!$E$10+1,1))-AVERAGE(OFFSET($H$3,0,0,'Données projet'!$E$10+1,1))</f>
        <v>401.19166052471473</v>
      </c>
      <c r="AO66" s="59">
        <f t="shared" si="36"/>
        <v>271.10067497534271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11.472513938505902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11.472513938505902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240.52333500000023</v>
      </c>
      <c r="BF66" s="13">
        <f t="shared" si="37"/>
        <v>58.552114278737164</v>
      </c>
      <c r="BG66" s="20">
        <f t="shared" si="7"/>
        <v>520.88974082713423</v>
      </c>
      <c r="BH66" s="59">
        <f t="shared" si="8"/>
        <v>782.04508305711647</v>
      </c>
      <c r="BI66" s="59">
        <f ca="1">AVERAGE(OFFSET($BH$3,0,0,'Données projet'!$E$11+1,1))-AVERAGE(OFFSET($H$3,0,0,'Données projet'!$E$11+1,1))</f>
        <v>695.93700574708214</v>
      </c>
      <c r="BJ66" s="59">
        <f t="shared" si="38"/>
        <v>318.31690229208471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13.983905839441947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13.983905839441947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4.8</v>
      </c>
      <c r="BY66" s="12">
        <f>IF('Données projet'!$A$114&gt;35,BY65+BX66-CG65,IF(A66&lt;'Données projet'!$A$114,$BV$205^A66,IF(A66='Données projet'!$A$114,'Données projet'!$B$114,BY65+BX66-CG65)))</f>
        <v>191.40000000000006</v>
      </c>
      <c r="BZ66" s="13">
        <f>BY66*VLOOKUP('Données projet'!$B$12,Paramètres!$A$1:$I$89,3,0)*VLOOKUP('Données projet'!$B$12,Paramètres!$A$1:$I$89,5,0)</f>
        <v>125.40528000000003</v>
      </c>
      <c r="CA66" s="13">
        <f t="shared" si="39"/>
        <v>32.932441221531526</v>
      </c>
      <c r="CB66" s="20">
        <f t="shared" si="10"/>
        <v>275.77153112750079</v>
      </c>
      <c r="CC66" s="59">
        <f t="shared" si="11"/>
        <v>536.92687335748315</v>
      </c>
      <c r="CD66" s="59">
        <f ca="1">AVERAGE(OFFSET($CC$3,0,0,'Données projet'!$E$12+1,1))-AVERAGE(OFFSET($H$3,0,0,'Données projet'!$E$12+1,1))</f>
        <v>260.25859566735949</v>
      </c>
      <c r="CE66" s="59">
        <f t="shared" si="40"/>
        <v>256.93649773468667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6.2237261000347601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6.2237261000347601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4.8</v>
      </c>
      <c r="CT66" s="12">
        <f>IF('Données projet'!$A$140&gt;35,CT65+CS66-DB65,IF(A66&lt;'Données projet'!$A$140,$CQ$205^A66,IF(A66='Données projet'!$A$140,'Données projet'!$B$140,CT65+CS66-DB65)))</f>
        <v>191.40000000000006</v>
      </c>
      <c r="CU66" s="17">
        <f>CT66*VLOOKUP('Données projet'!$B$13,Paramètres!$A$1:$I$89,3,0)*VLOOKUP('Données projet'!$B$13,Paramètres!$A$1:$I$89,5,0)</f>
        <v>125.40528000000003</v>
      </c>
      <c r="CV66" s="13">
        <f t="shared" si="41"/>
        <v>32.932441221531526</v>
      </c>
      <c r="CW66" s="20">
        <f t="shared" si="13"/>
        <v>275.77153112750079</v>
      </c>
      <c r="CX66" s="59">
        <f t="shared" si="14"/>
        <v>536.92687335748315</v>
      </c>
      <c r="CY66" s="59">
        <f ca="1">AVERAGE(OFFSET($CX$3,0,0,'Données projet'!$E$13+1,1))-AVERAGE(OFFSET($H$3,0,0,'Données projet'!$E$13+1,1))</f>
        <v>260.25859566735949</v>
      </c>
      <c r="CZ66" s="59">
        <f t="shared" si="42"/>
        <v>256.93649773468667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6.2237261000347601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6.2237261000347601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7.6099999999999994</v>
      </c>
      <c r="DO66" s="12">
        <f>IF('Données projet'!$A$166&gt;35,DO65+DN66-DW65,IF(A66&lt;'Données projet'!$A$166,$DL$205^A66,IF(A66='Données projet'!$A$166,'Données projet'!$B$166,DO65+DN66-DW65)))</f>
        <v>287.82999999999993</v>
      </c>
      <c r="DP66" s="17">
        <f>DO66*VLOOKUP('Données projet'!$B$14,Paramètres!$A$1:$I$89,3,0)*VLOOKUP('Données projet'!$B$14,Paramètres!$A$1:$I$89,5,0)</f>
        <v>164.63875999999996</v>
      </c>
      <c r="DQ66" s="13">
        <f t="shared" si="43"/>
        <v>41.88705398506174</v>
      </c>
      <c r="DR66" s="20">
        <f t="shared" si="16"/>
        <v>359.69912602398244</v>
      </c>
      <c r="DS66" s="59">
        <f t="shared" si="17"/>
        <v>620.8544682539648</v>
      </c>
      <c r="DT66" s="59">
        <f ca="1">AVERAGE(OFFSET($DS$3,0,0,'Données projet'!$E$14+1,1))-AVERAGE(OFFSET($H$3,0,0,'Données projet'!$E$14+1,1))</f>
        <v>349.56396446903</v>
      </c>
      <c r="DU66" s="59">
        <f t="shared" si="44"/>
        <v>270.64279448634522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17.223665684489742</v>
      </c>
      <c r="EB66" s="21">
        <f>EXP(-LN(2)/25)*EB65+(1-EXP(-LN(2)/25))/(LN(2)/25)*Calculateur!DW66*Calculateur!DY66*VLOOKUP('Données projet'!$B$14,Paramètres!$A$1:$I$89,3,0)*0.475*44/12</f>
        <v>34.939381158176268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52.163046842666006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11.896999999999997</v>
      </c>
      <c r="EJ66" s="12">
        <f>IF('Données projet'!$A$192&gt;35,EJ65+EI66-ER65,IF(A66&lt;'Données projet'!$A$192,$EG$205^A66,IF(A66='Données projet'!$A$192,'Données projet'!$B$192,EJ65+EI66-ER65)))</f>
        <v>406.78100000000018</v>
      </c>
      <c r="EK66" s="17">
        <f>EJ66*VLOOKUP('Données projet'!$B$15,Paramètres!$A$1:$I$89,3,0)*VLOOKUP('Données projet'!$B$15,Paramètres!$A$1:$I$89,5,0)</f>
        <v>243.25503800000013</v>
      </c>
      <c r="EL66" s="13">
        <f t="shared" si="45"/>
        <v>59.139317725784991</v>
      </c>
      <c r="EM66" s="20">
        <f t="shared" si="19"/>
        <v>526.6701695557424</v>
      </c>
      <c r="EN66" s="59">
        <f t="shared" si="20"/>
        <v>787.82551178572476</v>
      </c>
      <c r="EO66" s="59">
        <f ca="1">AVERAGE(OFFSET($EN$3,0,0,'Données projet'!$E$15+1,1))-AVERAGE(OFFSET($H$3,0,0,'Données projet'!$E$15+1,1))</f>
        <v>375.89365709113105</v>
      </c>
      <c r="EP66" s="59">
        <f t="shared" si="46"/>
        <v>279.39056561403834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31.728679288403931</v>
      </c>
      <c r="EW66" s="21">
        <f>EXP(-LN(2)/25)*EW65+(1-EXP(-LN(2)/25))/(LN(2)/25)*Calculateur!ER66*Calculateur!ET66*VLOOKUP('Données projet'!$B$15,Paramètres!$A$1:$I$89,3,0)*0.475*44/12</f>
        <v>35.17970456640861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66.908383854812541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-1.1368683772161603E-13</v>
      </c>
      <c r="FF66" s="17">
        <f>FE66*VLOOKUP('Données projet'!$B$16,Paramètres!$A$1:$I$89,3,0)*VLOOKUP('Données projet'!$B$16,Paramètres!$A$1:$I$89,5,0)</f>
        <v>-6.7984728957526396E-14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319.29539841078537</v>
      </c>
      <c r="FK66" s="59">
        <f t="shared" si="48"/>
        <v>327.26871144121412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130.32065368895263</v>
      </c>
      <c r="FR66" s="21">
        <f>EXP(-LN(2)/25)*FR65+(1-EXP(-LN(2)/25))/(LN(2)/25)*Calculateur!FM66*Calculateur!FO66*VLOOKUP('Données projet'!$B$16,Paramètres!$A$1:$I$89,3,0)*0.475*44/12</f>
        <v>78.855795040676441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209.17644872962907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2.2737367544323206E-13</v>
      </c>
      <c r="GA66" s="17">
        <f>FZ66*VLOOKUP('Données projet'!$B$17,Paramètres!$A$1:$I$89,3,0)*VLOOKUP('Données projet'!$B$17,Paramètres!$A$1:$I$89,5,0)</f>
        <v>1.0049916454590858E-13</v>
      </c>
      <c r="GB66" s="13">
        <f t="shared" si="49"/>
        <v>1.5089081593838289E-12</v>
      </c>
      <c r="GC66" s="20">
        <f t="shared" si="25"/>
        <v>2.8030510891776262E-12</v>
      </c>
      <c r="GD66" s="59">
        <f t="shared" si="26"/>
        <v>261.15534222998508</v>
      </c>
      <c r="GE66" s="59">
        <f ca="1">AVERAGE(OFFSET($GD$3,0,0,'Données projet'!$E$17+1,1))-AVERAGE(OFFSET($H$3,0,0,'Données projet'!$E$17+1,1))</f>
        <v>342.89128067483233</v>
      </c>
      <c r="GF66" s="59">
        <f t="shared" si="50"/>
        <v>453.47615302202996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155.53346625601566</v>
      </c>
      <c r="GM66" s="21">
        <f>EXP(-LN(2)/25)*GM65+(1-EXP(-LN(2)/25))/(LN(2)/25)*Calculateur!GH66*Calculateur!GJ66*VLOOKUP('Données projet'!$B$17,Paramètres!$A$1:$I$89,3,0)*0.475*44/12</f>
        <v>108.03346265166344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263.56692890767908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61.224184244540616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11.896999999999997</v>
      </c>
      <c r="GU66" s="12">
        <f>IF('Données projet'!$A$270&gt;35,GU65+GT66-HC65,IF(A66&lt;'Données projet'!$A$270,$GR$205^A66,IF(A66='Données projet'!$A$270,'Données projet'!$B$270,GU65+GT66-HC65)))</f>
        <v>406.78100000000018</v>
      </c>
      <c r="GV66" s="17">
        <f>GU66*VLOOKUP('Données projet'!$B$18,Paramètres!$A$1:$I$89,3,0)*VLOOKUP('Données projet'!$B$18,Paramètres!$A$1:$I$89,5,0)</f>
        <v>243.25503800000013</v>
      </c>
      <c r="GW66" s="13">
        <f t="shared" si="51"/>
        <v>59.139317725784991</v>
      </c>
      <c r="GX66" s="20">
        <f t="shared" si="28"/>
        <v>526.6701695557424</v>
      </c>
      <c r="GY66" s="59">
        <f t="shared" si="29"/>
        <v>787.82551178572476</v>
      </c>
      <c r="GZ66" s="59">
        <f ca="1">AVERAGE(OFFSET($GY$3,0,0,'Données projet'!$E$18+1,1))-AVERAGE(OFFSET($H$3,0,0,'Données projet'!$E$18+1,1))</f>
        <v>375.89365709113105</v>
      </c>
      <c r="HA66" s="59">
        <f t="shared" si="52"/>
        <v>279.39056561403834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31.728679288403931</v>
      </c>
      <c r="HH66" s="21">
        <f>EXP(-LN(2)/25)*HH65+(1-EXP(-LN(2)/25))/(LN(2)/25)*Calculateur!HC66*Calculateur!HE66*VLOOKUP('Données projet'!$B$18,Paramètres!$A$1:$I$89,3,0)*0.475*44/12</f>
        <v>35.17970456640861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66.908383854812541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178.09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222.99248400000016</v>
      </c>
      <c r="P67" s="13">
        <f t="shared" si="33"/>
        <v>54.764775031234961</v>
      </c>
      <c r="Q67" s="20">
        <f t="shared" ref="Q67:Q98" si="54">(O67+P67)*0.475*44/12</f>
        <v>483.76055947940108</v>
      </c>
      <c r="R67" s="59">
        <f t="shared" ref="R67:R130" si="55">Q67+(I67+J67)*44/12</f>
        <v>745.47411791581567</v>
      </c>
      <c r="S67" s="59">
        <f ca="1">AVERAGE(OFFSET($R$3,0,0,'Données projet'!$E$9+1,1))-AVERAGE(OFFSET($H$3,0,0,'Données projet'!$E$9+1,1))</f>
        <v>631.31712308065664</v>
      </c>
      <c r="T67" s="59">
        <f t="shared" si="34"/>
        <v>290.92244624361285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12.233261824087835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12.233261824087835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8.5500000000000007</v>
      </c>
      <c r="AI67" s="13">
        <f>IF('Données projet'!$A$62&gt;35,AI66+AH67-AQ66,IF(A67&lt;'Données projet'!$A$62,$AF$205^A67,IF(A67='Données projet'!$A$62,'Données projet'!$B$62,AI66+AH67-AQ66)))</f>
        <v>187.21000000000012</v>
      </c>
      <c r="AJ67" s="13">
        <f>AI67*VLOOKUP('Données projet'!$B$10,Paramètres!$A$1:$I$89,3,0)*VLOOKUP('Données projet'!$B$10,Paramètres!$A$1:$I$89,5,0)</f>
        <v>157.70570400000011</v>
      </c>
      <c r="AK67" s="13">
        <f t="shared" si="35"/>
        <v>40.324596350517368</v>
      </c>
      <c r="AL67" s="20">
        <f t="shared" si="4"/>
        <v>344.90277311048459</v>
      </c>
      <c r="AM67" s="59">
        <f t="shared" si="5"/>
        <v>606.61633154689912</v>
      </c>
      <c r="AN67" s="59">
        <f ca="1">AVERAGE(OFFSET($AM$3,0,0,'Données projet'!$E$10+1,1))-AVERAGE(OFFSET($H$3,0,0,'Données projet'!$E$10+1,1))</f>
        <v>401.19166052471473</v>
      </c>
      <c r="AO67" s="59">
        <f t="shared" si="36"/>
        <v>271.10067497534271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11.247544937714354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11.247544937714354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249.9053700000002</v>
      </c>
      <c r="BF67" s="13">
        <f t="shared" si="37"/>
        <v>60.565676815620975</v>
      </c>
      <c r="BG67" s="20">
        <f t="shared" si="7"/>
        <v>540.73707320387359</v>
      </c>
      <c r="BH67" s="59">
        <f t="shared" si="8"/>
        <v>802.45063164028807</v>
      </c>
      <c r="BI67" s="59">
        <f ca="1">AVERAGE(OFFSET($BH$3,0,0,'Données projet'!$E$11+1,1))-AVERAGE(OFFSET($H$3,0,0,'Données projet'!$E$11+1,1))</f>
        <v>695.93700574708214</v>
      </c>
      <c r="BJ67" s="59">
        <f t="shared" si="38"/>
        <v>318.31690229208471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13.70968997527085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13.70968997527085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4.8</v>
      </c>
      <c r="BY67" s="12">
        <f>IF('Données projet'!$A$114&gt;35,BY66+BX67-CG66,IF(A67&lt;'Données projet'!$A$114,$BV$205^A67,IF(A67='Données projet'!$A$114,'Données projet'!$B$114,BY66+BX67-CG66)))</f>
        <v>196.20000000000007</v>
      </c>
      <c r="BZ67" s="13">
        <f>BY67*VLOOKUP('Données projet'!$B$12,Paramètres!$A$1:$I$89,3,0)*VLOOKUP('Données projet'!$B$12,Paramètres!$A$1:$I$89,5,0)</f>
        <v>128.55024000000003</v>
      </c>
      <c r="CA67" s="13">
        <f t="shared" si="39"/>
        <v>33.661144026076663</v>
      </c>
      <c r="CB67" s="20">
        <f t="shared" si="10"/>
        <v>282.51816051208363</v>
      </c>
      <c r="CC67" s="59">
        <f t="shared" si="11"/>
        <v>544.23171894849816</v>
      </c>
      <c r="CD67" s="59">
        <f ca="1">AVERAGE(OFFSET($CC$3,0,0,'Données projet'!$E$12+1,1))-AVERAGE(OFFSET($H$3,0,0,'Données projet'!$E$12+1,1))</f>
        <v>260.25859566735949</v>
      </c>
      <c r="CE67" s="59">
        <f t="shared" si="40"/>
        <v>256.93649773468667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6.101682627311166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6.101682627311166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4.8</v>
      </c>
      <c r="CT67" s="12">
        <f>IF('Données projet'!$A$140&gt;35,CT66+CS67-DB66,IF(A67&lt;'Données projet'!$A$140,$CQ$205^A67,IF(A67='Données projet'!$A$140,'Données projet'!$B$140,CT66+CS67-DB66)))</f>
        <v>196.20000000000007</v>
      </c>
      <c r="CU67" s="17">
        <f>CT67*VLOOKUP('Données projet'!$B$13,Paramètres!$A$1:$I$89,3,0)*VLOOKUP('Données projet'!$B$13,Paramètres!$A$1:$I$89,5,0)</f>
        <v>128.55024000000003</v>
      </c>
      <c r="CV67" s="13">
        <f t="shared" si="41"/>
        <v>33.661144026076663</v>
      </c>
      <c r="CW67" s="20">
        <f t="shared" si="13"/>
        <v>282.51816051208363</v>
      </c>
      <c r="CX67" s="59">
        <f t="shared" si="14"/>
        <v>544.23171894849816</v>
      </c>
      <c r="CY67" s="59">
        <f ca="1">AVERAGE(OFFSET($CX$3,0,0,'Données projet'!$E$13+1,1))-AVERAGE(OFFSET($H$3,0,0,'Données projet'!$E$13+1,1))</f>
        <v>260.25859566735949</v>
      </c>
      <c r="CZ67" s="59">
        <f t="shared" si="42"/>
        <v>256.93649773468667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6.101682627311166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6.101682627311166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7.6099999999999994</v>
      </c>
      <c r="DO67" s="12">
        <f>IF('Données projet'!$A$166&gt;35,DO66+DN67-DW66,IF(A67&lt;'Données projet'!$A$166,$DL$205^A67,IF(A67='Données projet'!$A$166,'Données projet'!$B$166,DO66+DN67-DW66)))</f>
        <v>295.43999999999994</v>
      </c>
      <c r="DP67" s="17">
        <f>DO67*VLOOKUP('Données projet'!$B$14,Paramètres!$A$1:$I$89,3,0)*VLOOKUP('Données projet'!$B$14,Paramètres!$A$1:$I$89,5,0)</f>
        <v>168.99168</v>
      </c>
      <c r="DQ67" s="13">
        <f t="shared" si="43"/>
        <v>42.864115318257525</v>
      </c>
      <c r="DR67" s="20">
        <f t="shared" si="16"/>
        <v>368.98217684596511</v>
      </c>
      <c r="DS67" s="59">
        <f t="shared" si="17"/>
        <v>630.6957352823797</v>
      </c>
      <c r="DT67" s="59">
        <f ca="1">AVERAGE(OFFSET($DS$3,0,0,'Données projet'!$E$14+1,1))-AVERAGE(OFFSET($H$3,0,0,'Données projet'!$E$14+1,1))</f>
        <v>349.56396446903</v>
      </c>
      <c r="DU67" s="59">
        <f t="shared" si="44"/>
        <v>270.64279448634522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16.885920105815643</v>
      </c>
      <c r="EB67" s="21">
        <f>EXP(-LN(2)/25)*EB66+(1-EXP(-LN(2)/25))/(LN(2)/25)*Calculateur!DW67*Calculateur!DY67*VLOOKUP('Données projet'!$B$14,Paramètres!$A$1:$I$89,3,0)*0.475*44/12</f>
        <v>33.983961943023736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50.869882048839379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11.896999999999997</v>
      </c>
      <c r="EJ67" s="12">
        <f>IF('Données projet'!$A$192&gt;35,EJ66+EI67-ER66,IF(A67&lt;'Données projet'!$A$192,$EG$205^A67,IF(A67='Données projet'!$A$192,'Données projet'!$B$192,EJ66+EI67-ER66)))</f>
        <v>418.67800000000017</v>
      </c>
      <c r="EK67" s="17">
        <f>EJ67*VLOOKUP('Données projet'!$B$15,Paramètres!$A$1:$I$89,3,0)*VLOOKUP('Données projet'!$B$15,Paramètres!$A$1:$I$89,5,0)</f>
        <v>250.36944400000013</v>
      </c>
      <c r="EL67" s="13">
        <f t="shared" si="45"/>
        <v>60.665044924256527</v>
      </c>
      <c r="EM67" s="20">
        <f t="shared" si="19"/>
        <v>541.71840154308029</v>
      </c>
      <c r="EN67" s="59">
        <f t="shared" si="20"/>
        <v>803.43195997949488</v>
      </c>
      <c r="EO67" s="59">
        <f ca="1">AVERAGE(OFFSET($EN$3,0,0,'Données projet'!$E$15+1,1))-AVERAGE(OFFSET($H$3,0,0,'Données projet'!$E$15+1,1))</f>
        <v>375.89365709113105</v>
      </c>
      <c r="EP67" s="59">
        <f t="shared" si="46"/>
        <v>279.39056561403834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31.106499240141787</v>
      </c>
      <c r="EW67" s="21">
        <f>EXP(-LN(2)/25)*EW66+(1-EXP(-LN(2)/25))/(LN(2)/25)*Calculateur!ER67*Calculateur!ET67*VLOOKUP('Données projet'!$B$15,Paramètres!$A$1:$I$89,3,0)*0.475*44/12</f>
        <v>34.21771369501991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65.324212935161697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-1.1368683772161603E-13</v>
      </c>
      <c r="FF67" s="17">
        <f>FE67*VLOOKUP('Données projet'!$B$16,Paramètres!$A$1:$I$89,3,0)*VLOOKUP('Données projet'!$B$16,Paramètres!$A$1:$I$89,5,0)</f>
        <v>-6.7984728957526396E-14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319.29539841078537</v>
      </c>
      <c r="FK67" s="59">
        <f t="shared" si="48"/>
        <v>327.26871144121412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127.76514515786226</v>
      </c>
      <c r="FR67" s="21">
        <f>EXP(-LN(2)/25)*FR66+(1-EXP(-LN(2)/25))/(LN(2)/25)*Calculateur!FM67*Calculateur!FO67*VLOOKUP('Données projet'!$B$16,Paramètres!$A$1:$I$89,3,0)*0.475*44/12</f>
        <v>76.699479178443113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204.46462433630538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2.2737367544323206E-13</v>
      </c>
      <c r="GA67" s="17">
        <f>FZ67*VLOOKUP('Données projet'!$B$17,Paramètres!$A$1:$I$89,3,0)*VLOOKUP('Données projet'!$B$17,Paramètres!$A$1:$I$89,5,0)</f>
        <v>1.0049916454590858E-13</v>
      </c>
      <c r="GB67" s="13">
        <f t="shared" si="49"/>
        <v>1.5089081593838289E-12</v>
      </c>
      <c r="GC67" s="20">
        <f t="shared" si="25"/>
        <v>2.8030510891776262E-12</v>
      </c>
      <c r="GD67" s="59">
        <f t="shared" si="26"/>
        <v>261.71355843641732</v>
      </c>
      <c r="GE67" s="59">
        <f ca="1">AVERAGE(OFFSET($GD$3,0,0,'Données projet'!$E$17+1,1))-AVERAGE(OFFSET($H$3,0,0,'Données projet'!$E$17+1,1))</f>
        <v>342.89128067483233</v>
      </c>
      <c r="GF67" s="59">
        <f t="shared" si="50"/>
        <v>453.47615302202996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152.48354984878236</v>
      </c>
      <c r="GM67" s="21">
        <f>EXP(-LN(2)/25)*GM66+(1-EXP(-LN(2)/25))/(LN(2)/25)*Calculateur!GH67*Calculateur!GJ67*VLOOKUP('Données projet'!$B$17,Paramètres!$A$1:$I$89,3,0)*0.475*44/12</f>
        <v>105.07928193422082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257.56283178300316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61.376425028113069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11.896999999999997</v>
      </c>
      <c r="GU67" s="12">
        <f>IF('Données projet'!$A$270&gt;35,GU66+GT67-HC66,IF(A67&lt;'Données projet'!$A$270,$GR$205^A67,IF(A67='Données projet'!$A$270,'Données projet'!$B$270,GU66+GT67-HC66)))</f>
        <v>418.67800000000017</v>
      </c>
      <c r="GV67" s="17">
        <f>GU67*VLOOKUP('Données projet'!$B$18,Paramètres!$A$1:$I$89,3,0)*VLOOKUP('Données projet'!$B$18,Paramètres!$A$1:$I$89,5,0)</f>
        <v>250.36944400000013</v>
      </c>
      <c r="GW67" s="13">
        <f t="shared" si="51"/>
        <v>60.665044924256527</v>
      </c>
      <c r="GX67" s="20">
        <f t="shared" si="28"/>
        <v>541.71840154308029</v>
      </c>
      <c r="GY67" s="59">
        <f t="shared" si="29"/>
        <v>803.43195997949488</v>
      </c>
      <c r="GZ67" s="59">
        <f ca="1">AVERAGE(OFFSET($GY$3,0,0,'Données projet'!$E$18+1,1))-AVERAGE(OFFSET($H$3,0,0,'Données projet'!$E$18+1,1))</f>
        <v>375.89365709113105</v>
      </c>
      <c r="HA67" s="59">
        <f t="shared" si="52"/>
        <v>279.39056561403834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31.106499240141787</v>
      </c>
      <c r="HH67" s="21">
        <f>EXP(-LN(2)/25)*HH66+(1-EXP(-LN(2)/25))/(LN(2)/25)*Calculateur!HC67*Calculateur!HE67*VLOOKUP('Données projet'!$B$18,Paramètres!$A$1:$I$89,3,0)*0.475*44/12</f>
        <v>34.21771369501991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65.324212935161697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178.09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231.36414600000015</v>
      </c>
      <c r="P68" s="13">
        <f t="shared" si="33"/>
        <v>56.57754019728695</v>
      </c>
      <c r="Q68" s="20">
        <f t="shared" si="54"/>
        <v>501.49843679360833</v>
      </c>
      <c r="R68" s="59">
        <f t="shared" si="55"/>
        <v>763.76052763325811</v>
      </c>
      <c r="S68" s="59">
        <f ca="1">AVERAGE(OFFSET($R$3,0,0,'Données projet'!$E$9+1,1))-AVERAGE(OFFSET($H$3,0,0,'Données projet'!$E$9+1,1))</f>
        <v>631.31712308065664</v>
      </c>
      <c r="T68" s="59">
        <f t="shared" si="34"/>
        <v>290.92244624361285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11.993375021270419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11.993375021270419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8.5500000000000007</v>
      </c>
      <c r="AI68" s="13">
        <f>IF('Données projet'!$A$62&gt;35,AI67+AH68-AQ67,IF(A68&lt;'Données projet'!$A$62,$AF$205^A68,IF(A68='Données projet'!$A$62,'Données projet'!$B$62,AI67+AH68-AQ67)))</f>
        <v>195.76000000000013</v>
      </c>
      <c r="AJ68" s="13">
        <f>AI68*VLOOKUP('Données projet'!$B$10,Paramètres!$A$1:$I$89,3,0)*VLOOKUP('Données projet'!$B$10,Paramètres!$A$1:$I$89,5,0)</f>
        <v>164.90822400000013</v>
      </c>
      <c r="AK68" s="13">
        <f t="shared" si="35"/>
        <v>41.947624720052197</v>
      </c>
      <c r="AL68" s="20">
        <f t="shared" ref="AL68:AL131" si="58">(AJ68+AK68)*0.475*44/12</f>
        <v>360.27393652075779</v>
      </c>
      <c r="AM68" s="59">
        <f t="shared" ref="AM68:AM131" si="59">AL68+(AD68+AE68)*44/12</f>
        <v>622.53602736040762</v>
      </c>
      <c r="AN68" s="59">
        <f ca="1">AVERAGE(OFFSET($AM$3,0,0,'Données projet'!$E$10+1,1))-AVERAGE(OFFSET($H$3,0,0,'Données projet'!$E$10+1,1))</f>
        <v>401.19166052471473</v>
      </c>
      <c r="AO68" s="59">
        <f t="shared" si="36"/>
        <v>271.10067497534271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11.026987441810787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11.026987441810787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259.28740500000021</v>
      </c>
      <c r="BF68" s="13">
        <f t="shared" si="37"/>
        <v>62.570457244776364</v>
      </c>
      <c r="BG68" s="20">
        <f t="shared" ref="BG68:BG131" si="61">(BE68+BF68)*0.475*44/12</f>
        <v>560.56911007631913</v>
      </c>
      <c r="BH68" s="59">
        <f t="shared" ref="BH68:BH131" si="62">BG68+(AY68+AZ68)*44/12</f>
        <v>822.83120091596891</v>
      </c>
      <c r="BI68" s="59">
        <f ca="1">AVERAGE(OFFSET($BH$3,0,0,'Données projet'!$E$11+1,1))-AVERAGE(OFFSET($H$3,0,0,'Données projet'!$E$11+1,1))</f>
        <v>695.93700574708214</v>
      </c>
      <c r="BJ68" s="59">
        <f t="shared" si="38"/>
        <v>318.31690229208471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13.440851316940986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13.440851316940986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201</v>
      </c>
      <c r="BW68" s="12">
        <f>VLOOKUP(A68,'Données projet'!$A$113:$I$133,9,0)</f>
        <v>4.8</v>
      </c>
      <c r="BX68" s="12">
        <f t="array" ref="BX68">INDEX(BW:BW,MIN(IF(ISNUMBER(BW68:BW264),ROW(BW68:BW264),"")))</f>
        <v>4.8</v>
      </c>
      <c r="BY68" s="12">
        <f>IF('Données projet'!$A$114&gt;35,BY67+BX68-CG67,IF(A68&lt;'Données projet'!$A$114,$BV$205^A68,IF(A68='Données projet'!$A$114,'Données projet'!$B$114,BY67+BX68-CG67)))</f>
        <v>201.00000000000009</v>
      </c>
      <c r="BZ68" s="13">
        <f>BY68*VLOOKUP('Données projet'!$B$12,Paramètres!$A$1:$I$89,3,0)*VLOOKUP('Données projet'!$B$12,Paramètres!$A$1:$I$89,5,0)</f>
        <v>131.69520000000006</v>
      </c>
      <c r="CA68" s="13">
        <f t="shared" si="39"/>
        <v>34.387774432362271</v>
      </c>
      <c r="CB68" s="20">
        <f t="shared" ref="CB68:CB131" si="64">(BZ68+CA68)*0.475*44/12</f>
        <v>289.26118046969771</v>
      </c>
      <c r="CC68" s="59">
        <f t="shared" ref="CC68:CC131" si="65">CB68+(BT68+BU68)*44/12</f>
        <v>551.52327130934748</v>
      </c>
      <c r="CD68" s="59">
        <f ca="1">AVERAGE(OFFSET($CC$3,0,0,'Données projet'!$E$12+1,1))-AVERAGE(OFFSET($H$3,0,0,'Données projet'!$E$12+1,1))</f>
        <v>260.25859566735949</v>
      </c>
      <c r="CE68" s="59">
        <f t="shared" si="40"/>
        <v>256.93649773468667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18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9.3457010234079423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9.3457010234079423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201</v>
      </c>
      <c r="CR68" s="12">
        <f>VLOOKUP(A68,'Données projet'!$A$139:$I$159,9,0)</f>
        <v>4.8</v>
      </c>
      <c r="CS68" s="12">
        <f t="array" ref="CS68">INDEX(CR:CR,MIN(IF(ISNUMBER(CR68:CR264),ROW(CR68:CR264),"")))</f>
        <v>4.8</v>
      </c>
      <c r="CT68" s="12">
        <f>IF('Données projet'!$A$140&gt;35,CT67+CS68-DB67,IF(A68&lt;'Données projet'!$A$140,$CQ$205^A68,IF(A68='Données projet'!$A$140,'Données projet'!$B$140,CT67+CS68-DB67)))</f>
        <v>201.00000000000009</v>
      </c>
      <c r="CU68" s="17">
        <f>CT68*VLOOKUP('Données projet'!$B$13,Paramètres!$A$1:$I$89,3,0)*VLOOKUP('Données projet'!$B$13,Paramètres!$A$1:$I$89,5,0)</f>
        <v>131.69520000000006</v>
      </c>
      <c r="CV68" s="13">
        <f t="shared" si="41"/>
        <v>34.387774432362271</v>
      </c>
      <c r="CW68" s="20">
        <f t="shared" ref="CW68:CW131" si="67">(CU68+CV68)*0.475*44/12</f>
        <v>289.26118046969771</v>
      </c>
      <c r="CX68" s="59">
        <f t="shared" ref="CX68:CX131" si="68">CW68+(CO68+CP68)*44/12</f>
        <v>551.52327130934748</v>
      </c>
      <c r="CY68" s="59">
        <f ca="1">AVERAGE(OFFSET($CX$3,0,0,'Données projet'!$E$13+1,1))-AVERAGE(OFFSET($H$3,0,0,'Données projet'!$E$13+1,1))</f>
        <v>260.25859566735949</v>
      </c>
      <c r="CZ68" s="59">
        <f t="shared" si="42"/>
        <v>256.93649773468667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18</v>
      </c>
      <c r="DC68" s="16">
        <f>IF(ISNA(VLOOKUP(A68,'Données projet'!$A$139:$I$159,5,0)),0%,VLOOKUP(A68,'Données projet'!$A$139:$I$159,5,0)*VLOOKUP('Données projet'!$B$13,Paramètres!$A$1:$I$89,7,0))</f>
        <v>0.25800000000000001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9.3457010234079423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9.3457010234079423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7.6099999999999994</v>
      </c>
      <c r="DO68" s="12">
        <f>IF('Données projet'!$A$166&gt;35,DO67+DN68-DW67,IF(A68&lt;'Données projet'!$A$166,$DL$205^A68,IF(A68='Données projet'!$A$166,'Données projet'!$B$166,DO67+DN68-DW67)))</f>
        <v>303.04999999999995</v>
      </c>
      <c r="DP68" s="17">
        <f>DO68*VLOOKUP('Données projet'!$B$14,Paramètres!$A$1:$I$89,3,0)*VLOOKUP('Données projet'!$B$14,Paramètres!$A$1:$I$89,5,0)</f>
        <v>173.34459999999999</v>
      </c>
      <c r="DQ68" s="13">
        <f t="shared" si="43"/>
        <v>43.838251219344002</v>
      </c>
      <c r="DR68" s="20">
        <f t="shared" ref="DR68:DR131" si="70">(DP68+DQ68)*0.475*44/12</f>
        <v>378.26013254035746</v>
      </c>
      <c r="DS68" s="59">
        <f t="shared" ref="DS68:DS131" si="71">DR68+(DJ68+DK68)*44/12</f>
        <v>640.52222338000729</v>
      </c>
      <c r="DT68" s="59">
        <f ca="1">AVERAGE(OFFSET($DS$3,0,0,'Données projet'!$E$14+1,1))-AVERAGE(OFFSET($H$3,0,0,'Données projet'!$E$14+1,1))</f>
        <v>349.56396446903</v>
      </c>
      <c r="DU68" s="59">
        <f t="shared" si="44"/>
        <v>270.64279448634522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16.554797511934883</v>
      </c>
      <c r="EB68" s="21">
        <f>EXP(-LN(2)/25)*EB67+(1-EXP(-LN(2)/25))/(LN(2)/25)*Calculateur!DW68*Calculateur!DY68*VLOOKUP('Données projet'!$B$14,Paramètres!$A$1:$I$89,3,0)*0.475*44/12</f>
        <v>33.054668716552868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49.609466228487747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11.896999999999997</v>
      </c>
      <c r="EJ68" s="12">
        <f>IF('Données projet'!$A$192&gt;35,EJ67+EI68-ER67,IF(A68&lt;'Données projet'!$A$192,$EG$205^A68,IF(A68='Données projet'!$A$192,'Données projet'!$B$192,EJ67+EI68-ER67)))</f>
        <v>430.57500000000016</v>
      </c>
      <c r="EK68" s="17">
        <f>EJ68*VLOOKUP('Données projet'!$B$15,Paramètres!$A$1:$I$89,3,0)*VLOOKUP('Données projet'!$B$15,Paramètres!$A$1:$I$89,5,0)</f>
        <v>257.48385000000013</v>
      </c>
      <c r="EL68" s="13">
        <f t="shared" si="45"/>
        <v>62.185733278690435</v>
      </c>
      <c r="EM68" s="20">
        <f t="shared" ref="EM68:EM131" si="73">(EK68+EL68)*0.475*44/12</f>
        <v>556.7578575437193</v>
      </c>
      <c r="EN68" s="59">
        <f t="shared" ref="EN68:EN131" si="74">EM68+(EE68+EF68)*44/12</f>
        <v>819.01994838336907</v>
      </c>
      <c r="EO68" s="59">
        <f ca="1">AVERAGE(OFFSET($EN$3,0,0,'Données projet'!$E$15+1,1))-AVERAGE(OFFSET($H$3,0,0,'Données projet'!$E$15+1,1))</f>
        <v>375.89365709113105</v>
      </c>
      <c r="EP68" s="59">
        <f t="shared" si="46"/>
        <v>279.39056561403834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30.496519763133705</v>
      </c>
      <c r="EW68" s="21">
        <f>EXP(-LN(2)/25)*EW67+(1-EXP(-LN(2)/25))/(LN(2)/25)*Calculateur!ER68*Calculateur!ET68*VLOOKUP('Données projet'!$B$15,Paramètres!$A$1:$I$89,3,0)*0.475*44/12</f>
        <v>33.282028514598231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63.778548277731936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-1.1368683772161603E-13</v>
      </c>
      <c r="FF68" s="17">
        <f>FE68*VLOOKUP('Données projet'!$B$16,Paramètres!$A$1:$I$89,3,0)*VLOOKUP('Données projet'!$B$16,Paramètres!$A$1:$I$89,5,0)</f>
        <v>-6.7984728957526396E-14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319.29539841078537</v>
      </c>
      <c r="FK68" s="59">
        <f t="shared" si="48"/>
        <v>327.26871144121412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125.25974859036027</v>
      </c>
      <c r="FR68" s="21">
        <f>EXP(-LN(2)/25)*FR67+(1-EXP(-LN(2)/25))/(LN(2)/25)*Calculateur!FM68*Calculateur!FO68*VLOOKUP('Données projet'!$B$16,Paramètres!$A$1:$I$89,3,0)*0.475*44/12</f>
        <v>74.60212788685827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199.86187647721854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2.2737367544323206E-13</v>
      </c>
      <c r="GA68" s="17">
        <f>FZ68*VLOOKUP('Données projet'!$B$17,Paramètres!$A$1:$I$89,3,0)*VLOOKUP('Données projet'!$B$17,Paramètres!$A$1:$I$89,5,0)</f>
        <v>1.0049916454590858E-13</v>
      </c>
      <c r="GB68" s="13">
        <f t="shared" si="49"/>
        <v>1.5089081593838289E-12</v>
      </c>
      <c r="GC68" s="20">
        <f t="shared" ref="GC68:GC131" si="79">(GA68+GB68)*0.475*44/12</f>
        <v>2.8030510891776262E-12</v>
      </c>
      <c r="GD68" s="59">
        <f t="shared" ref="GD68:GD131" si="80">GC68+(FU68+FV68)*44/12</f>
        <v>262.26209083965256</v>
      </c>
      <c r="GE68" s="59">
        <f ca="1">AVERAGE(OFFSET($GD$3,0,0,'Données projet'!$E$17+1,1))-AVERAGE(OFFSET($H$3,0,0,'Données projet'!$E$17+1,1))</f>
        <v>342.89128067483233</v>
      </c>
      <c r="GF68" s="59">
        <f t="shared" si="50"/>
        <v>453.47615302202996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149.49344044202959</v>
      </c>
      <c r="GM68" s="21">
        <f>EXP(-LN(2)/25)*GM67+(1-EXP(-LN(2)/25))/(LN(2)/25)*Calculateur!GH68*Calculateur!GJ68*VLOOKUP('Données projet'!$B$17,Paramètres!$A$1:$I$89,3,0)*0.475*44/12</f>
        <v>102.20588344385027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251.69932388587986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61.526024774449937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11.896999999999997</v>
      </c>
      <c r="GU68" s="12">
        <f>IF('Données projet'!$A$270&gt;35,GU67+GT68-HC67,IF(A68&lt;'Données projet'!$A$270,$GR$205^A68,IF(A68='Données projet'!$A$270,'Données projet'!$B$270,GU67+GT68-HC67)))</f>
        <v>430.57500000000016</v>
      </c>
      <c r="GV68" s="17">
        <f>GU68*VLOOKUP('Données projet'!$B$18,Paramètres!$A$1:$I$89,3,0)*VLOOKUP('Données projet'!$B$18,Paramètres!$A$1:$I$89,5,0)</f>
        <v>257.48385000000013</v>
      </c>
      <c r="GW68" s="13">
        <f t="shared" si="51"/>
        <v>62.185733278690435</v>
      </c>
      <c r="GX68" s="20">
        <f t="shared" ref="GX68:GX131" si="82">(GV68+GW68)*0.475*44/12</f>
        <v>556.7578575437193</v>
      </c>
      <c r="GY68" s="59">
        <f t="shared" ref="GY68:GY131" si="83">GX68+(GP68+GQ68)*44/12</f>
        <v>819.01994838336907</v>
      </c>
      <c r="GZ68" s="59">
        <f ca="1">AVERAGE(OFFSET($GY$3,0,0,'Données projet'!$E$18+1,1))-AVERAGE(OFFSET($H$3,0,0,'Données projet'!$E$18+1,1))</f>
        <v>375.89365709113105</v>
      </c>
      <c r="HA68" s="59">
        <f t="shared" si="52"/>
        <v>279.39056561403834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30.496519763133705</v>
      </c>
      <c r="HH68" s="21">
        <f>EXP(-LN(2)/25)*HH67+(1-EXP(-LN(2)/25))/(LN(2)/25)*Calculateur!HC68*Calculateur!HE68*VLOOKUP('Données projet'!$B$18,Paramètres!$A$1:$I$89,3,0)*0.475*44/12</f>
        <v>33.282028514598231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63.778548277731936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178.09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239.73580800000011</v>
      </c>
      <c r="P69" s="13">
        <f t="shared" ref="P69:P132" si="87">EXP(-1.0587+0.8836*LN(O69)+0.284)</f>
        <v>58.38268464325516</v>
      </c>
      <c r="Q69" s="20">
        <f t="shared" si="54"/>
        <v>519.22304135366949</v>
      </c>
      <c r="R69" s="59">
        <f t="shared" si="55"/>
        <v>782.024148785693</v>
      </c>
      <c r="S69" s="59">
        <f ca="1">AVERAGE(OFFSET($R$3,0,0,'Données projet'!$E$9+1,1))-AVERAGE(OFFSET($H$3,0,0,'Données projet'!$E$9+1,1))</f>
        <v>631.31712308065664</v>
      </c>
      <c r="T69" s="59">
        <f t="shared" ref="T69:T132" si="88">$T$3</f>
        <v>290.92244624361285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24.637928753319876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24.637928753319876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8.5500000000000007</v>
      </c>
      <c r="AI69" s="13">
        <f>IF('Données projet'!$A$62&gt;35,AI68+AH69-AQ68,IF(A69&lt;'Données projet'!$A$62,$AF$205^A69,IF(A69='Données projet'!$A$62,'Données projet'!$B$62,AI68+AH69-AQ68)))</f>
        <v>204.31000000000014</v>
      </c>
      <c r="AJ69" s="13">
        <f>AI69*VLOOKUP('Données projet'!$B$10,Paramètres!$A$1:$I$89,3,0)*VLOOKUP('Données projet'!$B$10,Paramètres!$A$1:$I$89,5,0)</f>
        <v>172.11074400000012</v>
      </c>
      <c r="AK69" s="13">
        <f t="shared" ref="AK69:AK132" si="89">EXP(-1.0587+0.8836*LN(AJ69)+0.284)</f>
        <v>43.562419985615136</v>
      </c>
      <c r="AL69" s="20">
        <f t="shared" si="58"/>
        <v>375.63076060827984</v>
      </c>
      <c r="AM69" s="59">
        <f t="shared" si="59"/>
        <v>638.43186804030336</v>
      </c>
      <c r="AN69" s="59">
        <f ca="1">AVERAGE(OFFSET($AM$3,0,0,'Données projet'!$E$10+1,1))-AVERAGE(OFFSET($H$3,0,0,'Données projet'!$E$10+1,1))</f>
        <v>401.19166052471473</v>
      </c>
      <c r="AO69" s="59">
        <f t="shared" ref="AO69:AO132" si="90">$AO$3</f>
        <v>271.10067497534271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10.8107549438751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10.8107549438751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268.66944000000018</v>
      </c>
      <c r="BF69" s="13">
        <f t="shared" ref="BF69:BF132" si="91">EXP(-1.0587+0.8836*LN(BE69)+0.284)</f>
        <v>64.566809737006352</v>
      </c>
      <c r="BG69" s="20">
        <f t="shared" si="61"/>
        <v>580.38646829195295</v>
      </c>
      <c r="BH69" s="59">
        <f t="shared" si="62"/>
        <v>843.18757572397647</v>
      </c>
      <c r="BI69" s="59">
        <f ca="1">AVERAGE(OFFSET($BH$3,0,0,'Données projet'!$E$11+1,1))-AVERAGE(OFFSET($H$3,0,0,'Données projet'!$E$11+1,1))</f>
        <v>695.93700574708214</v>
      </c>
      <c r="BJ69" s="59">
        <f t="shared" ref="BJ69:BJ132" si="92">$BJ$3</f>
        <v>318.31690229208471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27.611471878720558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27.611471878720558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4.4000000000000004</v>
      </c>
      <c r="BY69" s="12">
        <f>IF('Données projet'!$A$114&gt;35,BY68+BX69-CG68,IF(A69&lt;'Données projet'!$A$114,$BV$205^A69,IF(A69='Données projet'!$A$114,'Données projet'!$B$114,BY68+BX69-CG68)))</f>
        <v>187.40000000000009</v>
      </c>
      <c r="BZ69" s="13">
        <f>BY69*VLOOKUP('Données projet'!$B$12,Paramètres!$A$1:$I$89,3,0)*VLOOKUP('Données projet'!$B$12,Paramètres!$A$1:$I$89,5,0)</f>
        <v>122.78448000000007</v>
      </c>
      <c r="CA69" s="13">
        <f t="shared" ref="CA69:CA132" si="93">EXP(-1.0587+0.8836*LN(BZ69)+0.284)</f>
        <v>32.323563966100259</v>
      </c>
      <c r="CB69" s="20">
        <f t="shared" si="64"/>
        <v>270.1465099076247</v>
      </c>
      <c r="CC69" s="59">
        <f t="shared" si="65"/>
        <v>532.94761733964822</v>
      </c>
      <c r="CD69" s="59">
        <f ca="1">AVERAGE(OFFSET($CC$3,0,0,'Données projet'!$E$12+1,1))-AVERAGE(OFFSET($H$3,0,0,'Données projet'!$E$12+1,1))</f>
        <v>260.25859566735949</v>
      </c>
      <c r="CE69" s="59">
        <f t="shared" ref="CE69:CE132" si="94">$CE$3</f>
        <v>256.93649773468667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9.1624375266536777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9.1624375266536777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4.4000000000000004</v>
      </c>
      <c r="CT69" s="12">
        <f>IF('Données projet'!$A$140&gt;35,CT68+CS69-DB68,IF(A69&lt;'Données projet'!$A$140,$CQ$205^A69,IF(A69='Données projet'!$A$140,'Données projet'!$B$140,CT68+CS69-DB68)))</f>
        <v>187.40000000000009</v>
      </c>
      <c r="CU69" s="17">
        <f>CT69*VLOOKUP('Données projet'!$B$13,Paramètres!$A$1:$I$89,3,0)*VLOOKUP('Données projet'!$B$13,Paramètres!$A$1:$I$89,5,0)</f>
        <v>122.78448000000007</v>
      </c>
      <c r="CV69" s="13">
        <f t="shared" ref="CV69:CV132" si="95">EXP(-1.0587+0.8836*LN(CU69)+0.284)</f>
        <v>32.323563966100259</v>
      </c>
      <c r="CW69" s="20">
        <f t="shared" si="67"/>
        <v>270.1465099076247</v>
      </c>
      <c r="CX69" s="59">
        <f t="shared" si="68"/>
        <v>532.94761733964822</v>
      </c>
      <c r="CY69" s="59">
        <f ca="1">AVERAGE(OFFSET($CX$3,0,0,'Données projet'!$E$13+1,1))-AVERAGE(OFFSET($H$3,0,0,'Données projet'!$E$13+1,1))</f>
        <v>260.25859566735949</v>
      </c>
      <c r="CZ69" s="59">
        <f t="shared" ref="CZ69:CZ132" si="96">$CZ$3</f>
        <v>256.93649773468667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9.1624375266536777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9.1624375266536777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7.6099999999999994</v>
      </c>
      <c r="DO69" s="12">
        <f>IF('Données projet'!$A$166&gt;35,DO68+DN69-DW68,IF(A69&lt;'Données projet'!$A$166,$DL$205^A69,IF(A69='Données projet'!$A$166,'Données projet'!$B$166,DO68+DN69-DW68)))</f>
        <v>310.65999999999997</v>
      </c>
      <c r="DP69" s="17">
        <f>DO69*VLOOKUP('Données projet'!$B$14,Paramètres!$A$1:$I$89,3,0)*VLOOKUP('Données projet'!$B$14,Paramètres!$A$1:$I$89,5,0)</f>
        <v>177.69752</v>
      </c>
      <c r="DQ69" s="13">
        <f t="shared" ref="DQ69:DQ132" si="97">EXP(-1.0587+0.8836*LN(DP69)+0.284)</f>
        <v>44.809543598526119</v>
      </c>
      <c r="DR69" s="20">
        <f t="shared" si="70"/>
        <v>387.53313576743295</v>
      </c>
      <c r="DS69" s="59">
        <f t="shared" si="71"/>
        <v>650.33424319945652</v>
      </c>
      <c r="DT69" s="59">
        <f ca="1">AVERAGE(OFFSET($DS$3,0,0,'Données projet'!$E$14+1,1))-AVERAGE(OFFSET($H$3,0,0,'Données projet'!$E$14+1,1))</f>
        <v>349.56396446903</v>
      </c>
      <c r="DU69" s="59">
        <f t="shared" ref="DU69:DU132" si="98">$DU$3</f>
        <v>270.64279448634522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16.230168030155284</v>
      </c>
      <c r="EB69" s="21">
        <f>EXP(-LN(2)/25)*EB68+(1-EXP(-LN(2)/25))/(LN(2)/25)*Calculateur!DW69*Calculateur!DY69*VLOOKUP('Données projet'!$B$14,Paramètres!$A$1:$I$89,3,0)*0.475*44/12</f>
        <v>32.150787062229249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48.380955092384532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11.896999999999997</v>
      </c>
      <c r="EJ69" s="12">
        <f>IF('Données projet'!$A$192&gt;35,EJ68+EI69-ER68,IF(A69&lt;'Données projet'!$A$192,$EG$205^A69,IF(A69='Données projet'!$A$192,'Données projet'!$B$192,EJ68+EI69-ER68)))</f>
        <v>442.47200000000015</v>
      </c>
      <c r="EK69" s="17">
        <f>EJ69*VLOOKUP('Données projet'!$B$15,Paramètres!$A$1:$I$89,3,0)*VLOOKUP('Données projet'!$B$15,Paramètres!$A$1:$I$89,5,0)</f>
        <v>264.59825600000011</v>
      </c>
      <c r="EL69" s="13">
        <f t="shared" ref="EL69:EL132" si="99">EXP(-1.0587+0.8836*LN(EK69)+0.284)</f>
        <v>63.701538011039567</v>
      </c>
      <c r="EM69" s="20">
        <f t="shared" si="73"/>
        <v>571.78880790256073</v>
      </c>
      <c r="EN69" s="59">
        <f t="shared" si="74"/>
        <v>834.58991533458425</v>
      </c>
      <c r="EO69" s="59">
        <f ca="1">AVERAGE(OFFSET($EN$3,0,0,'Données projet'!$E$15+1,1))-AVERAGE(OFFSET($H$3,0,0,'Données projet'!$E$15+1,1))</f>
        <v>375.89365709113105</v>
      </c>
      <c r="EP69" s="59">
        <f t="shared" ref="EP69:EP132" si="100">$EP$3</f>
        <v>279.39056561403834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29.898501611619007</v>
      </c>
      <c r="EW69" s="21">
        <f>EXP(-LN(2)/25)*EW68+(1-EXP(-LN(2)/25))/(LN(2)/25)*Calculateur!ER69*Calculateur!ET69*VLOOKUP('Données projet'!$B$15,Paramètres!$A$1:$I$89,3,0)*0.475*44/12</f>
        <v>32.371929694640727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62.270431306259738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-1.1368683772161603E-13</v>
      </c>
      <c r="FF69" s="17">
        <f>FE69*VLOOKUP('Données projet'!$B$16,Paramètres!$A$1:$I$89,3,0)*VLOOKUP('Données projet'!$B$16,Paramètres!$A$1:$I$89,5,0)</f>
        <v>-6.7984728957526396E-14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319.29539841078537</v>
      </c>
      <c r="FK69" s="59">
        <f t="shared" ref="FK69:FK132" si="102">$FK$3</f>
        <v>327.26871144121412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122.80348132140598</v>
      </c>
      <c r="FR69" s="21">
        <f>EXP(-LN(2)/25)*FR68+(1-EXP(-LN(2)/25))/(LN(2)/25)*Calculateur!FM69*Calculateur!FO69*VLOOKUP('Données projet'!$B$16,Paramètres!$A$1:$I$89,3,0)*0.475*44/12</f>
        <v>72.562128776636726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195.36561009804271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2.2737367544323206E-13</v>
      </c>
      <c r="GA69" s="17">
        <f>FZ69*VLOOKUP('Données projet'!$B$17,Paramètres!$A$1:$I$89,3,0)*VLOOKUP('Données projet'!$B$17,Paramètres!$A$1:$I$89,5,0)</f>
        <v>1.0049916454590858E-13</v>
      </c>
      <c r="GB69" s="13">
        <f t="shared" ref="GB69:GB132" si="103">EXP(-1.0587+0.8836*LN(GA69)+0.284)</f>
        <v>1.5089081593838289E-12</v>
      </c>
      <c r="GC69" s="20">
        <f t="shared" si="79"/>
        <v>2.8030510891776262E-12</v>
      </c>
      <c r="GD69" s="59">
        <f t="shared" si="80"/>
        <v>262.8011074320263</v>
      </c>
      <c r="GE69" s="59">
        <f ca="1">AVERAGE(OFFSET($GD$3,0,0,'Données projet'!$E$17+1,1))-AVERAGE(OFFSET($H$3,0,0,'Données projet'!$E$17+1,1))</f>
        <v>342.89128067483233</v>
      </c>
      <c r="GF69" s="59">
        <f t="shared" ref="GF69:GF132" si="104">$GF$3</f>
        <v>453.47615302202996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146.5619652569566</v>
      </c>
      <c r="GM69" s="21">
        <f>EXP(-LN(2)/25)*GM68+(1-EXP(-LN(2)/25))/(LN(2)/25)*Calculateur!GH69*Calculateur!GJ69*VLOOKUP('Données projet'!$B$17,Paramètres!$A$1:$I$89,3,0)*0.475*44/12</f>
        <v>99.411058186304373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245.97302344326096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61.673029299642778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11.896999999999997</v>
      </c>
      <c r="GU69" s="12">
        <f>IF('Données projet'!$A$270&gt;35,GU68+GT69-HC68,IF(A69&lt;'Données projet'!$A$270,$GR$205^A69,IF(A69='Données projet'!$A$270,'Données projet'!$B$270,GU68+GT69-HC68)))</f>
        <v>442.47200000000015</v>
      </c>
      <c r="GV69" s="17">
        <f>GU69*VLOOKUP('Données projet'!$B$18,Paramètres!$A$1:$I$89,3,0)*VLOOKUP('Données projet'!$B$18,Paramètres!$A$1:$I$89,5,0)</f>
        <v>264.59825600000011</v>
      </c>
      <c r="GW69" s="13">
        <f t="shared" ref="GW69:GW132" si="105">EXP(-1.0587+0.8836*LN(GV69)+0.284)</f>
        <v>63.701538011039567</v>
      </c>
      <c r="GX69" s="20">
        <f t="shared" si="82"/>
        <v>571.78880790256073</v>
      </c>
      <c r="GY69" s="59">
        <f t="shared" si="83"/>
        <v>834.58991533458425</v>
      </c>
      <c r="GZ69" s="59">
        <f ca="1">AVERAGE(OFFSET($GY$3,0,0,'Données projet'!$E$18+1,1))-AVERAGE(OFFSET($H$3,0,0,'Données projet'!$E$18+1,1))</f>
        <v>375.89365709113105</v>
      </c>
      <c r="HA69" s="59">
        <f t="shared" ref="HA69:HA132" si="106">$HA$3</f>
        <v>279.39056561403834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29.898501611619007</v>
      </c>
      <c r="HH69" s="21">
        <f>EXP(-LN(2)/25)*HH68+(1-EXP(-LN(2)/25))/(LN(2)/25)*Calculateur!HC69*Calculateur!HE69*VLOOKUP('Données projet'!$B$18,Paramètres!$A$1:$I$89,3,0)*0.475*44/12</f>
        <v>32.371929694640727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62.270431306259738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178.09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202.59942300000012</v>
      </c>
      <c r="P70" s="13">
        <f t="shared" si="87"/>
        <v>50.315012169520465</v>
      </c>
      <c r="Q70" s="20">
        <f t="shared" si="54"/>
        <v>440.49264125358167</v>
      </c>
      <c r="R70" s="59">
        <f t="shared" si="55"/>
        <v>703.823414545162</v>
      </c>
      <c r="S70" s="59">
        <f ca="1">AVERAGE(OFFSET($R$3,0,0,'Données projet'!$E$9+1,1))-AVERAGE(OFFSET($H$3,0,0,'Données projet'!$E$9+1,1))</f>
        <v>631.31712308065664</v>
      </c>
      <c r="T70" s="59">
        <f t="shared" si="88"/>
        <v>290.92244624361285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24.154793998119956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24.154793998119956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212.86</v>
      </c>
      <c r="AG70" s="12">
        <f>VLOOKUP(A70,'Données projet'!$A$61:$I$81,9,0)</f>
        <v>8.5500000000000007</v>
      </c>
      <c r="AH70" s="12">
        <f t="array" ref="AH70">INDEX(AG:AG,MIN(IF(ISNUMBER(AG70:AG266),ROW(AG70:AG266),"")))</f>
        <v>8.5500000000000007</v>
      </c>
      <c r="AI70" s="13">
        <f>IF('Données projet'!$A$62&gt;35,AI69+AH70-AQ69,IF(A70&lt;'Données projet'!$A$62,$AF$205^A70,IF(A70='Données projet'!$A$62,'Données projet'!$B$62,AI69+AH70-AQ69)))</f>
        <v>212.86000000000016</v>
      </c>
      <c r="AJ70" s="13">
        <f>AI70*VLOOKUP('Données projet'!$B$10,Paramètres!$A$1:$I$89,3,0)*VLOOKUP('Données projet'!$B$10,Paramètres!$A$1:$I$89,5,0)</f>
        <v>179.31326400000015</v>
      </c>
      <c r="AK70" s="13">
        <f t="shared" si="89"/>
        <v>45.169366085324434</v>
      </c>
      <c r="AL70" s="20">
        <f t="shared" si="58"/>
        <v>390.97391406527368</v>
      </c>
      <c r="AM70" s="59">
        <f t="shared" si="59"/>
        <v>654.30468735685395</v>
      </c>
      <c r="AN70" s="59">
        <f ca="1">AVERAGE(OFFSET($AM$3,0,0,'Données projet'!$E$10+1,1))-AVERAGE(OFFSET($H$3,0,0,'Données projet'!$E$10+1,1))</f>
        <v>401.19166052471473</v>
      </c>
      <c r="AO70" s="59">
        <f t="shared" si="90"/>
        <v>271.10067497534271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38.229999999999997</v>
      </c>
      <c r="AR70" s="16">
        <f>IF(ISNA(VLOOKUP(A70,'Données projet'!$A$61:$I$81,5,0)),0%,VLOOKUP(A70,'Données projet'!$A$61:$I$81,5,0)*VLOOKUP('Données projet'!$B$10,Paramètres!$A$1:$I$89,7,0))</f>
        <v>0.25800000000000001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19.783980724987487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19.783980724987487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227.05107750000016</v>
      </c>
      <c r="BF70" s="13">
        <f t="shared" si="91"/>
        <v>55.644577455036639</v>
      </c>
      <c r="BG70" s="20">
        <f t="shared" si="61"/>
        <v>492.36159904668904</v>
      </c>
      <c r="BH70" s="59">
        <f t="shared" si="62"/>
        <v>755.69237233826925</v>
      </c>
      <c r="BI70" s="59">
        <f ca="1">AVERAGE(OFFSET($BH$3,0,0,'Données projet'!$E$11+1,1))-AVERAGE(OFFSET($H$3,0,0,'Données projet'!$E$11+1,1))</f>
        <v>695.93700574708214</v>
      </c>
      <c r="BJ70" s="59">
        <f t="shared" si="92"/>
        <v>318.31690229208471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27.070027756513749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27.070027756513749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4.4000000000000004</v>
      </c>
      <c r="BY70" s="12">
        <f>IF('Données projet'!$A$114&gt;35,BY69+BX70-CG69,IF(A70&lt;'Données projet'!$A$114,$BV$205^A70,IF(A70='Données projet'!$A$114,'Données projet'!$B$114,BY69+BX70-CG69)))</f>
        <v>191.8000000000001</v>
      </c>
      <c r="BZ70" s="13">
        <f>BY70*VLOOKUP('Données projet'!$B$12,Paramètres!$A$1:$I$89,3,0)*VLOOKUP('Données projet'!$B$12,Paramètres!$A$1:$I$89,5,0)</f>
        <v>125.66736000000007</v>
      </c>
      <c r="CA70" s="13">
        <f t="shared" si="93"/>
        <v>32.993247007291167</v>
      </c>
      <c r="CB70" s="20">
        <f t="shared" si="64"/>
        <v>276.33389053769889</v>
      </c>
      <c r="CC70" s="59">
        <f t="shared" si="65"/>
        <v>539.66466382927911</v>
      </c>
      <c r="CD70" s="59">
        <f ca="1">AVERAGE(OFFSET($CC$3,0,0,'Données projet'!$E$12+1,1))-AVERAGE(OFFSET($H$3,0,0,'Données projet'!$E$12+1,1))</f>
        <v>260.25859566735949</v>
      </c>
      <c r="CE70" s="59">
        <f t="shared" si="94"/>
        <v>256.93649773468667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8.9827677152910681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8.9827677152910681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4.4000000000000004</v>
      </c>
      <c r="CT70" s="12">
        <f>IF('Données projet'!$A$140&gt;35,CT69+CS70-DB69,IF(A70&lt;'Données projet'!$A$140,$CQ$205^A70,IF(A70='Données projet'!$A$140,'Données projet'!$B$140,CT69+CS70-DB69)))</f>
        <v>191.8000000000001</v>
      </c>
      <c r="CU70" s="17">
        <f>CT70*VLOOKUP('Données projet'!$B$13,Paramètres!$A$1:$I$89,3,0)*VLOOKUP('Données projet'!$B$13,Paramètres!$A$1:$I$89,5,0)</f>
        <v>125.66736000000007</v>
      </c>
      <c r="CV70" s="13">
        <f t="shared" si="95"/>
        <v>32.993247007291167</v>
      </c>
      <c r="CW70" s="20">
        <f t="shared" si="67"/>
        <v>276.33389053769889</v>
      </c>
      <c r="CX70" s="59">
        <f t="shared" si="68"/>
        <v>539.66466382927911</v>
      </c>
      <c r="CY70" s="59">
        <f ca="1">AVERAGE(OFFSET($CX$3,0,0,'Données projet'!$E$13+1,1))-AVERAGE(OFFSET($H$3,0,0,'Données projet'!$E$13+1,1))</f>
        <v>260.25859566735949</v>
      </c>
      <c r="CZ70" s="59">
        <f t="shared" si="96"/>
        <v>256.93649773468667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8.9827677152910681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8.9827677152910681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7.6099999999999994</v>
      </c>
      <c r="DO70" s="12">
        <f>IF('Données projet'!$A$166&gt;35,DO69+DN70-DW69,IF(A70&lt;'Données projet'!$A$166,$DL$205^A70,IF(A70='Données projet'!$A$166,'Données projet'!$B$166,DO69+DN70-DW69)))</f>
        <v>318.27</v>
      </c>
      <c r="DP70" s="17">
        <f>DO70*VLOOKUP('Données projet'!$B$14,Paramètres!$A$1:$I$89,3,0)*VLOOKUP('Données projet'!$B$14,Paramètres!$A$1:$I$89,5,0)</f>
        <v>182.05043999999998</v>
      </c>
      <c r="DQ70" s="13">
        <f t="shared" si="97"/>
        <v>45.778070124240379</v>
      </c>
      <c r="DR70" s="20">
        <f t="shared" si="70"/>
        <v>396.80132179971861</v>
      </c>
      <c r="DS70" s="59">
        <f t="shared" si="71"/>
        <v>660.13209509129888</v>
      </c>
      <c r="DT70" s="59">
        <f ca="1">AVERAGE(OFFSET($DS$3,0,0,'Données projet'!$E$14+1,1))-AVERAGE(OFFSET($H$3,0,0,'Données projet'!$E$14+1,1))</f>
        <v>349.56396446903</v>
      </c>
      <c r="DU70" s="59">
        <f t="shared" si="98"/>
        <v>270.64279448634522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15.91190433450895</v>
      </c>
      <c r="EB70" s="21">
        <f>EXP(-LN(2)/25)*EB69+(1-EXP(-LN(2)/25))/(LN(2)/25)*Calculateur!DW70*Calculateur!DY70*VLOOKUP('Données projet'!$B$14,Paramètres!$A$1:$I$89,3,0)*0.475*44/12</f>
        <v>31.271622099276179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47.183526433785133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11.896999999999997</v>
      </c>
      <c r="EJ70" s="12">
        <f>IF('Données projet'!$A$192&gt;35,EJ69+EI70-ER69,IF(A70&lt;'Données projet'!$A$192,$EG$205^A70,IF(A70='Données projet'!$A$192,'Données projet'!$B$192,EJ69+EI70-ER69)))</f>
        <v>454.36900000000014</v>
      </c>
      <c r="EK70" s="17">
        <f>EJ70*VLOOKUP('Données projet'!$B$15,Paramètres!$A$1:$I$89,3,0)*VLOOKUP('Données projet'!$B$15,Paramètres!$A$1:$I$89,5,0)</f>
        <v>271.71266200000014</v>
      </c>
      <c r="EL70" s="13">
        <f t="shared" si="99"/>
        <v>65.212605520968935</v>
      </c>
      <c r="EM70" s="20">
        <f t="shared" si="73"/>
        <v>586.81150759902118</v>
      </c>
      <c r="EN70" s="59">
        <f t="shared" si="74"/>
        <v>850.14228089060146</v>
      </c>
      <c r="EO70" s="59">
        <f ca="1">AVERAGE(OFFSET($EN$3,0,0,'Données projet'!$E$15+1,1))-AVERAGE(OFFSET($H$3,0,0,'Données projet'!$E$15+1,1))</f>
        <v>375.89365709113105</v>
      </c>
      <c r="EP70" s="59">
        <f t="shared" si="100"/>
        <v>279.39056561403834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29.312210231300458</v>
      </c>
      <c r="EW70" s="21">
        <f>EXP(-LN(2)/25)*EW69+(1-EXP(-LN(2)/25))/(LN(2)/25)*Calculateur!ER70*Calculateur!ET70*VLOOKUP('Données projet'!$B$15,Paramètres!$A$1:$I$89,3,0)*0.475*44/12</f>
        <v>31.486717574774982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60.79892780607544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-1.1368683772161603E-13</v>
      </c>
      <c r="FF70" s="17">
        <f>FE70*VLOOKUP('Données projet'!$B$16,Paramètres!$A$1:$I$89,3,0)*VLOOKUP('Données projet'!$B$16,Paramètres!$A$1:$I$89,5,0)</f>
        <v>-6.7984728957526396E-14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319.29539841078537</v>
      </c>
      <c r="FK70" s="59">
        <f t="shared" si="102"/>
        <v>327.26871144121412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120.39537995542079</v>
      </c>
      <c r="FR70" s="21">
        <f>EXP(-LN(2)/25)*FR69+(1-EXP(-LN(2)/25))/(LN(2)/25)*Calculateur!FM70*Calculateur!FO70*VLOOKUP('Données projet'!$B$16,Paramètres!$A$1:$I$89,3,0)*0.475*44/12</f>
        <v>70.577913549363089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190.9732935047839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2.2737367544323206E-13</v>
      </c>
      <c r="GA70" s="17">
        <f>FZ70*VLOOKUP('Données projet'!$B$17,Paramètres!$A$1:$I$89,3,0)*VLOOKUP('Données projet'!$B$17,Paramètres!$A$1:$I$89,5,0)</f>
        <v>1.0049916454590858E-13</v>
      </c>
      <c r="GB70" s="13">
        <f t="shared" si="103"/>
        <v>1.5089081593838289E-12</v>
      </c>
      <c r="GC70" s="20">
        <f t="shared" si="79"/>
        <v>2.8030510891776262E-12</v>
      </c>
      <c r="GD70" s="59">
        <f t="shared" si="80"/>
        <v>263.33077329158306</v>
      </c>
      <c r="GE70" s="59">
        <f ca="1">AVERAGE(OFFSET($GD$3,0,0,'Données projet'!$E$17+1,1))-AVERAGE(OFFSET($H$3,0,0,'Données projet'!$E$17+1,1))</f>
        <v>342.89128067483233</v>
      </c>
      <c r="GF70" s="59">
        <f t="shared" si="104"/>
        <v>453.47615302202996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143.68797451223958</v>
      </c>
      <c r="GM70" s="21">
        <f>EXP(-LN(2)/25)*GM69+(1-EXP(-LN(2)/25))/(LN(2)/25)*Calculateur!GH70*Calculateur!GJ70*VLOOKUP('Données projet'!$B$17,Paramètres!$A$1:$I$89,3,0)*0.475*44/12</f>
        <v>96.69265757239954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240.3806320846391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61.817483624976425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11.896999999999997</v>
      </c>
      <c r="GU70" s="12">
        <f>IF('Données projet'!$A$270&gt;35,GU69+GT70-HC69,IF(A70&lt;'Données projet'!$A$270,$GR$205^A70,IF(A70='Données projet'!$A$270,'Données projet'!$B$270,GU69+GT70-HC69)))</f>
        <v>454.36900000000014</v>
      </c>
      <c r="GV70" s="17">
        <f>GU70*VLOOKUP('Données projet'!$B$18,Paramètres!$A$1:$I$89,3,0)*VLOOKUP('Données projet'!$B$18,Paramètres!$A$1:$I$89,5,0)</f>
        <v>271.71266200000014</v>
      </c>
      <c r="GW70" s="13">
        <f t="shared" si="105"/>
        <v>65.212605520968935</v>
      </c>
      <c r="GX70" s="20">
        <f t="shared" si="82"/>
        <v>586.81150759902118</v>
      </c>
      <c r="GY70" s="59">
        <f t="shared" si="83"/>
        <v>850.14228089060146</v>
      </c>
      <c r="GZ70" s="59">
        <f ca="1">AVERAGE(OFFSET($GY$3,0,0,'Données projet'!$E$18+1,1))-AVERAGE(OFFSET($H$3,0,0,'Données projet'!$E$18+1,1))</f>
        <v>375.89365709113105</v>
      </c>
      <c r="HA70" s="59">
        <f t="shared" si="106"/>
        <v>279.39056561403834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29.312210231300458</v>
      </c>
      <c r="HH70" s="21">
        <f>EXP(-LN(2)/25)*HH69+(1-EXP(-LN(2)/25))/(LN(2)/25)*Calculateur!HC70*Calculateur!HE70*VLOOKUP('Données projet'!$B$18,Paramètres!$A$1:$I$89,3,0)*0.475*44/12</f>
        <v>31.486717574774982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60.79892780607544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178.09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210.62160600000013</v>
      </c>
      <c r="P71" s="13">
        <f t="shared" si="87"/>
        <v>52.071398873356536</v>
      </c>
      <c r="Q71" s="20">
        <f t="shared" si="54"/>
        <v>457.5236501544295</v>
      </c>
      <c r="R71" s="59">
        <f t="shared" si="55"/>
        <v>721.37490078705855</v>
      </c>
      <c r="S71" s="59">
        <f ca="1">AVERAGE(OFFSET($R$3,0,0,'Données projet'!$E$9+1,1))-AVERAGE(OFFSET($H$3,0,0,'Données projet'!$E$9+1,1))</f>
        <v>631.31712308065664</v>
      </c>
      <c r="T71" s="59">
        <f t="shared" si="88"/>
        <v>290.92244624361285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23.681133220786403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23.681133220786403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8.4087499999999977</v>
      </c>
      <c r="AI71" s="13">
        <f>IF('Données projet'!$A$62&gt;35,AI70+AH71-AQ70,IF(A71&lt;'Données projet'!$A$62,$AF$205^A71,IF(A71='Données projet'!$A$62,'Données projet'!$B$62,AI70+AH71-AQ70)))</f>
        <v>183.03875000000016</v>
      </c>
      <c r="AJ71" s="13">
        <f>AI71*VLOOKUP('Données projet'!$B$10,Paramètres!$A$1:$I$89,3,0)*VLOOKUP('Données projet'!$B$10,Paramètres!$A$1:$I$89,5,0)</f>
        <v>154.19184300000015</v>
      </c>
      <c r="AK71" s="13">
        <f t="shared" si="89"/>
        <v>39.529663502319345</v>
      </c>
      <c r="AL71" s="20">
        <f t="shared" si="58"/>
        <v>337.3982904915398</v>
      </c>
      <c r="AM71" s="59">
        <f t="shared" si="59"/>
        <v>601.2495411241689</v>
      </c>
      <c r="AN71" s="59">
        <f ca="1">AVERAGE(OFFSET($AM$3,0,0,'Données projet'!$E$10+1,1))-AVERAGE(OFFSET($H$3,0,0,'Données projet'!$E$10+1,1))</f>
        <v>401.19166052471473</v>
      </c>
      <c r="AO71" s="59">
        <f t="shared" si="90"/>
        <v>271.10067497534271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19.396028930007205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19.396028930007205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236.04145500000016</v>
      </c>
      <c r="BF71" s="13">
        <f t="shared" si="91"/>
        <v>57.587007592056594</v>
      </c>
      <c r="BG71" s="20">
        <f t="shared" si="61"/>
        <v>511.40290568116535</v>
      </c>
      <c r="BH71" s="59">
        <f t="shared" si="62"/>
        <v>775.2541563137944</v>
      </c>
      <c r="BI71" s="59">
        <f ca="1">AVERAGE(OFFSET($BH$3,0,0,'Données projet'!$E$11+1,1))-AVERAGE(OFFSET($H$3,0,0,'Données projet'!$E$11+1,1))</f>
        <v>695.93700574708214</v>
      </c>
      <c r="BJ71" s="59">
        <f t="shared" si="92"/>
        <v>318.31690229208471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26.53920102329511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26.53920102329511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4.4000000000000004</v>
      </c>
      <c r="BY71" s="12">
        <f>IF('Données projet'!$A$114&gt;35,BY70+BX71-CG70,IF(A71&lt;'Données projet'!$A$114,$BV$205^A71,IF(A71='Données projet'!$A$114,'Données projet'!$B$114,BY70+BX71-CG70)))</f>
        <v>196.2000000000001</v>
      </c>
      <c r="BZ71" s="13">
        <f>BY71*VLOOKUP('Données projet'!$B$12,Paramètres!$A$1:$I$89,3,0)*VLOOKUP('Données projet'!$B$12,Paramètres!$A$1:$I$89,5,0)</f>
        <v>128.55024000000006</v>
      </c>
      <c r="CA71" s="13">
        <f t="shared" si="93"/>
        <v>33.661144026076698</v>
      </c>
      <c r="CB71" s="20">
        <f t="shared" si="64"/>
        <v>282.51816051208368</v>
      </c>
      <c r="CC71" s="59">
        <f t="shared" si="65"/>
        <v>546.36941114471279</v>
      </c>
      <c r="CD71" s="59">
        <f ca="1">AVERAGE(OFFSET($CC$3,0,0,'Données projet'!$E$12+1,1))-AVERAGE(OFFSET($H$3,0,0,'Données projet'!$E$12+1,1))</f>
        <v>260.25859566735949</v>
      </c>
      <c r="CE71" s="59">
        <f t="shared" si="94"/>
        <v>256.93649773468667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8.806621119341516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8.806621119341516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4.4000000000000004</v>
      </c>
      <c r="CT71" s="12">
        <f>IF('Données projet'!$A$140&gt;35,CT70+CS71-DB70,IF(A71&lt;'Données projet'!$A$140,$CQ$205^A71,IF(A71='Données projet'!$A$140,'Données projet'!$B$140,CT70+CS71-DB70)))</f>
        <v>196.2000000000001</v>
      </c>
      <c r="CU71" s="17">
        <f>CT71*VLOOKUP('Données projet'!$B$13,Paramètres!$A$1:$I$89,3,0)*VLOOKUP('Données projet'!$B$13,Paramètres!$A$1:$I$89,5,0)</f>
        <v>128.55024000000006</v>
      </c>
      <c r="CV71" s="13">
        <f t="shared" si="95"/>
        <v>33.661144026076698</v>
      </c>
      <c r="CW71" s="20">
        <f t="shared" si="67"/>
        <v>282.51816051208368</v>
      </c>
      <c r="CX71" s="59">
        <f t="shared" si="68"/>
        <v>546.36941114471279</v>
      </c>
      <c r="CY71" s="59">
        <f ca="1">AVERAGE(OFFSET($CX$3,0,0,'Données projet'!$E$13+1,1))-AVERAGE(OFFSET($H$3,0,0,'Données projet'!$E$13+1,1))</f>
        <v>260.25859566735949</v>
      </c>
      <c r="CZ71" s="59">
        <f t="shared" si="96"/>
        <v>256.93649773468667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8.806621119341516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8.806621119341516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>
        <f>VLOOKUP(A71,'Données projet'!$A$165:$I$185,2,0)</f>
        <v>325.88</v>
      </c>
      <c r="DM71" s="12">
        <f>VLOOKUP(A71,'Données projet'!$A$165:$I$185,9,0)</f>
        <v>7.6099999999999994</v>
      </c>
      <c r="DN71" s="12">
        <f t="array" ref="DN71">INDEX(DM:DM,MIN(IF(ISNUMBER(DM71:DM267),ROW(DM71:DM267),"")))</f>
        <v>7.6099999999999994</v>
      </c>
      <c r="DO71" s="12">
        <f>IF('Données projet'!$A$166&gt;35,DO70+DN71-DW70,IF(A71&lt;'Données projet'!$A$166,$DL$205^A71,IF(A71='Données projet'!$A$166,'Données projet'!$B$166,DO70+DN71-DW70)))</f>
        <v>325.88</v>
      </c>
      <c r="DP71" s="17">
        <f>DO71*VLOOKUP('Données projet'!$B$14,Paramètres!$A$1:$I$89,3,0)*VLOOKUP('Données projet'!$B$14,Paramètres!$A$1:$I$89,5,0)</f>
        <v>186.40336000000002</v>
      </c>
      <c r="DQ71" s="13">
        <f t="shared" si="97"/>
        <v>46.743904538910698</v>
      </c>
      <c r="DR71" s="20">
        <f t="shared" si="70"/>
        <v>406.0648190719362</v>
      </c>
      <c r="DS71" s="59">
        <f t="shared" si="71"/>
        <v>669.91606970456519</v>
      </c>
      <c r="DT71" s="59">
        <f ca="1">AVERAGE(OFFSET($DS$3,0,0,'Données projet'!$E$14+1,1))-AVERAGE(OFFSET($H$3,0,0,'Données projet'!$E$14+1,1))</f>
        <v>349.56396446903</v>
      </c>
      <c r="DU71" s="59">
        <f t="shared" si="98"/>
        <v>270.64279448634522</v>
      </c>
      <c r="DV71" s="15">
        <f>IF(ISNA(VLOOKUP(A71,'Données projet'!$A$165:$I$185,3,0)),0,VLOOKUP(A71,'Données projet'!$A$165:$I$185,3,0))</f>
        <v>6</v>
      </c>
      <c r="DW71" s="15">
        <f>IF(ISNA(VLOOKUP(A71,'Données projet'!$A$165:$I$185,4,0)),0,VLOOKUP(A71,'Données projet'!$A$165:$I$185,4,0))</f>
        <v>48.37</v>
      </c>
      <c r="DX71" s="16">
        <f>IF(ISNA(VLOOKUP(A71,'Données projet'!$A$165:$I$185,5,0)),0%,VLOOKUP(A71,'Données projet'!$A$165:$I$185,5,0)*VLOOKUP('Données projet'!$B$14,Paramètres!$A$1:$I$89,7,0))</f>
        <v>0.315</v>
      </c>
      <c r="DY71" s="16">
        <f>IF(ISNA(VLOOKUP(A71,'Données projet'!$A$165:$I$185,6,0)),0%,VLOOKUP(A71,'Données projet'!$A$165:$I$185,6,0)*VLOOKUP('Données projet'!$B$14,Paramètres!$A$1:$I$89,7,0))</f>
        <v>0.13500000000000001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27.161297549630184</v>
      </c>
      <c r="EB71" s="21">
        <f>EXP(-LN(2)/25)*EB70+(1-EXP(-LN(2)/25))/(LN(2)/25)*Calculateur!DW71*Calculateur!DY71*VLOOKUP('Données projet'!$B$14,Paramètres!$A$1:$I$89,3,0)*0.475*44/12</f>
        <v>35.351881200166595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62.513178749796779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11.896999999999997</v>
      </c>
      <c r="EJ71" s="12">
        <f>IF('Données projet'!$A$192&gt;35,EJ70+EI71-ER70,IF(A71&lt;'Données projet'!$A$192,$EG$205^A71,IF(A71='Données projet'!$A$192,'Données projet'!$B$192,EJ70+EI71-ER70)))</f>
        <v>466.26600000000013</v>
      </c>
      <c r="EK71" s="17">
        <f>EJ71*VLOOKUP('Données projet'!$B$15,Paramètres!$A$1:$I$89,3,0)*VLOOKUP('Données projet'!$B$15,Paramètres!$A$1:$I$89,5,0)</f>
        <v>278.82706800000011</v>
      </c>
      <c r="EL71" s="13">
        <f t="shared" si="99"/>
        <v>66.719074104976841</v>
      </c>
      <c r="EM71" s="20">
        <f t="shared" si="73"/>
        <v>601.82619749950163</v>
      </c>
      <c r="EN71" s="59">
        <f t="shared" si="74"/>
        <v>865.67744813213062</v>
      </c>
      <c r="EO71" s="59">
        <f ca="1">AVERAGE(OFFSET($EN$3,0,0,'Données projet'!$E$15+1,1))-AVERAGE(OFFSET($H$3,0,0,'Données projet'!$E$15+1,1))</f>
        <v>375.89365709113105</v>
      </c>
      <c r="EP71" s="59">
        <f t="shared" si="100"/>
        <v>279.39056561403834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28.737415667347523</v>
      </c>
      <c r="EW71" s="21">
        <f>EXP(-LN(2)/25)*EW70+(1-EXP(-LN(2)/25))/(LN(2)/25)*Calculateur!ER71*Calculateur!ET71*VLOOKUP('Données projet'!$B$15,Paramètres!$A$1:$I$89,3,0)*0.475*44/12</f>
        <v>30.625711626878246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59.36312729422577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-1.1368683772161603E-13</v>
      </c>
      <c r="FF71" s="17">
        <f>FE71*VLOOKUP('Données projet'!$B$16,Paramètres!$A$1:$I$89,3,0)*VLOOKUP('Données projet'!$B$16,Paramètres!$A$1:$I$89,5,0)</f>
        <v>-6.7984728957526396E-14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319.29539841078537</v>
      </c>
      <c r="FK71" s="59">
        <f t="shared" si="102"/>
        <v>327.26871144121412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118.03449998842576</v>
      </c>
      <c r="FR71" s="21">
        <f>EXP(-LN(2)/25)*FR70+(1-EXP(-LN(2)/25))/(LN(2)/25)*Calculateur!FM71*Calculateur!FO71*VLOOKUP('Données projet'!$B$16,Paramètres!$A$1:$I$89,3,0)*0.475*44/12</f>
        <v>68.647956791824583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186.68245678025033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2.2737367544323206E-13</v>
      </c>
      <c r="GA71" s="17">
        <f>FZ71*VLOOKUP('Données projet'!$B$17,Paramètres!$A$1:$I$89,3,0)*VLOOKUP('Données projet'!$B$17,Paramètres!$A$1:$I$89,5,0)</f>
        <v>1.0049916454590858E-13</v>
      </c>
      <c r="GB71" s="13">
        <f t="shared" si="103"/>
        <v>1.5089081593838289E-12</v>
      </c>
      <c r="GC71" s="20">
        <f t="shared" si="79"/>
        <v>2.8030510891776262E-12</v>
      </c>
      <c r="GD71" s="59">
        <f t="shared" si="80"/>
        <v>263.85125063263183</v>
      </c>
      <c r="GE71" s="59">
        <f ca="1">AVERAGE(OFFSET($GD$3,0,0,'Données projet'!$E$17+1,1))-AVERAGE(OFFSET($H$3,0,0,'Données projet'!$E$17+1,1))</f>
        <v>342.89128067483233</v>
      </c>
      <c r="GF71" s="59">
        <f t="shared" si="104"/>
        <v>453.47615302202996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140.87034097306517</v>
      </c>
      <c r="GM71" s="21">
        <f>EXP(-LN(2)/25)*GM70+(1-EXP(-LN(2)/25))/(LN(2)/25)*Calculateur!GH71*Calculateur!GJ71*VLOOKUP('Données projet'!$B$17,Paramètres!$A$1:$I$89,3,0)*0.475*44/12</f>
        <v>94.048591766236413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234.91893273930157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61.959431990717015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11.896999999999997</v>
      </c>
      <c r="GU71" s="12">
        <f>IF('Données projet'!$A$270&gt;35,GU70+GT71-HC70,IF(A71&lt;'Données projet'!$A$270,$GR$205^A71,IF(A71='Données projet'!$A$270,'Données projet'!$B$270,GU70+GT71-HC70)))</f>
        <v>466.26600000000013</v>
      </c>
      <c r="GV71" s="17">
        <f>GU71*VLOOKUP('Données projet'!$B$18,Paramètres!$A$1:$I$89,3,0)*VLOOKUP('Données projet'!$B$18,Paramètres!$A$1:$I$89,5,0)</f>
        <v>278.82706800000011</v>
      </c>
      <c r="GW71" s="13">
        <f t="shared" si="105"/>
        <v>66.719074104976841</v>
      </c>
      <c r="GX71" s="20">
        <f t="shared" si="82"/>
        <v>601.82619749950163</v>
      </c>
      <c r="GY71" s="59">
        <f t="shared" si="83"/>
        <v>865.67744813213062</v>
      </c>
      <c r="GZ71" s="59">
        <f ca="1">AVERAGE(OFFSET($GY$3,0,0,'Données projet'!$E$18+1,1))-AVERAGE(OFFSET($H$3,0,0,'Données projet'!$E$18+1,1))</f>
        <v>375.89365709113105</v>
      </c>
      <c r="HA71" s="59">
        <f t="shared" si="106"/>
        <v>279.39056561403834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28.737415667347523</v>
      </c>
      <c r="HH71" s="21">
        <f>EXP(-LN(2)/25)*HH70+(1-EXP(-LN(2)/25))/(LN(2)/25)*Calculateur!HC71*Calculateur!HE71*VLOOKUP('Données projet'!$B$18,Paramètres!$A$1:$I$89,3,0)*0.475*44/12</f>
        <v>30.625711626878246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59.36312729422577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178.09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218.64378900000014</v>
      </c>
      <c r="P72" s="13">
        <f t="shared" si="87"/>
        <v>53.820013961218514</v>
      </c>
      <c r="Q72" s="20">
        <f t="shared" si="54"/>
        <v>474.54112349078923</v>
      </c>
      <c r="R72" s="59">
        <f t="shared" si="55"/>
        <v>738.90382234621302</v>
      </c>
      <c r="S72" s="59">
        <f ca="1">AVERAGE(OFFSET($R$3,0,0,'Données projet'!$E$9+1,1))-AVERAGE(OFFSET($H$3,0,0,'Données projet'!$E$9+1,1))</f>
        <v>631.31712308065664</v>
      </c>
      <c r="T72" s="59">
        <f t="shared" si="88"/>
        <v>290.92244624361285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23.216760642391815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23.216760642391815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8.4087499999999977</v>
      </c>
      <c r="AI72" s="13">
        <f>IF('Données projet'!$A$62&gt;35,AI71+AH72-AQ71,IF(A72&lt;'Données projet'!$A$62,$AF$205^A72,IF(A72='Données projet'!$A$62,'Données projet'!$B$62,AI71+AH72-AQ71)))</f>
        <v>191.44750000000016</v>
      </c>
      <c r="AJ72" s="13">
        <f>AI72*VLOOKUP('Données projet'!$B$10,Paramètres!$A$1:$I$89,3,0)*VLOOKUP('Données projet'!$B$10,Paramètres!$A$1:$I$89,5,0)</f>
        <v>161.27537400000014</v>
      </c>
      <c r="AK72" s="13">
        <f t="shared" si="89"/>
        <v>41.130046514208587</v>
      </c>
      <c r="AL72" s="20">
        <f t="shared" si="58"/>
        <v>352.52277406224692</v>
      </c>
      <c r="AM72" s="59">
        <f t="shared" si="59"/>
        <v>616.88547291767065</v>
      </c>
      <c r="AN72" s="59">
        <f ca="1">AVERAGE(OFFSET($AM$3,0,0,'Données projet'!$E$10+1,1))-AVERAGE(OFFSET($H$3,0,0,'Données projet'!$E$10+1,1))</f>
        <v>401.19166052471473</v>
      </c>
      <c r="AO72" s="59">
        <f t="shared" si="90"/>
        <v>271.10067497534271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19.015684633099255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19.015684633099255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245.03183250000018</v>
      </c>
      <c r="BF72" s="13">
        <f t="shared" si="91"/>
        <v>59.520842912770703</v>
      </c>
      <c r="BG72" s="20">
        <f t="shared" si="61"/>
        <v>530.42924301057599</v>
      </c>
      <c r="BH72" s="59">
        <f t="shared" si="62"/>
        <v>794.79194186599966</v>
      </c>
      <c r="BI72" s="59">
        <f ca="1">AVERAGE(OFFSET($BH$3,0,0,'Données projet'!$E$11+1,1))-AVERAGE(OFFSET($H$3,0,0,'Données projet'!$E$11+1,1))</f>
        <v>695.93700574708214</v>
      </c>
      <c r="BJ72" s="59">
        <f t="shared" si="92"/>
        <v>318.31690229208471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26.018783478542552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26.018783478542552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4.4000000000000004</v>
      </c>
      <c r="BY72" s="12">
        <f>IF('Données projet'!$A$114&gt;35,BY71+BX72-CG71,IF(A72&lt;'Données projet'!$A$114,$BV$205^A72,IF(A72='Données projet'!$A$114,'Données projet'!$B$114,BY71+BX72-CG71)))</f>
        <v>200.60000000000011</v>
      </c>
      <c r="BZ72" s="13">
        <f>BY72*VLOOKUP('Données projet'!$B$12,Paramètres!$A$1:$I$89,3,0)*VLOOKUP('Données projet'!$B$12,Paramètres!$A$1:$I$89,5,0)</f>
        <v>131.43312000000006</v>
      </c>
      <c r="CA72" s="13">
        <f t="shared" si="93"/>
        <v>34.327299687447557</v>
      </c>
      <c r="CB72" s="20">
        <f t="shared" si="64"/>
        <v>288.69939762230456</v>
      </c>
      <c r="CC72" s="59">
        <f t="shared" si="65"/>
        <v>553.06209647772835</v>
      </c>
      <c r="CD72" s="59">
        <f ca="1">AVERAGE(OFFSET($CC$3,0,0,'Données projet'!$E$12+1,1))-AVERAGE(OFFSET($H$3,0,0,'Données projet'!$E$12+1,1))</f>
        <v>260.25859566735949</v>
      </c>
      <c r="CE72" s="59">
        <f t="shared" si="94"/>
        <v>256.93649773468667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8.633928650699719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8.633928650699719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4.4000000000000004</v>
      </c>
      <c r="CT72" s="12">
        <f>IF('Données projet'!$A$140&gt;35,CT71+CS72-DB71,IF(A72&lt;'Données projet'!$A$140,$CQ$205^A72,IF(A72='Données projet'!$A$140,'Données projet'!$B$140,CT71+CS72-DB71)))</f>
        <v>200.60000000000011</v>
      </c>
      <c r="CU72" s="17">
        <f>CT72*VLOOKUP('Données projet'!$B$13,Paramètres!$A$1:$I$89,3,0)*VLOOKUP('Données projet'!$B$13,Paramètres!$A$1:$I$89,5,0)</f>
        <v>131.43312000000006</v>
      </c>
      <c r="CV72" s="13">
        <f t="shared" si="95"/>
        <v>34.327299687447557</v>
      </c>
      <c r="CW72" s="20">
        <f t="shared" si="67"/>
        <v>288.69939762230456</v>
      </c>
      <c r="CX72" s="59">
        <f t="shared" si="68"/>
        <v>553.06209647772835</v>
      </c>
      <c r="CY72" s="59">
        <f ca="1">AVERAGE(OFFSET($CX$3,0,0,'Données projet'!$E$13+1,1))-AVERAGE(OFFSET($H$3,0,0,'Données projet'!$E$13+1,1))</f>
        <v>260.25859566735949</v>
      </c>
      <c r="CZ72" s="59">
        <f t="shared" si="96"/>
        <v>256.93649773468667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8.633928650699719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8.633928650699719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6.5040000000000022</v>
      </c>
      <c r="DO72" s="12">
        <f>IF('Données projet'!$A$166&gt;35,DO71+DN72-DW71,IF(A72&lt;'Données projet'!$A$166,$DL$205^A72,IF(A72='Données projet'!$A$166,'Données projet'!$B$166,DO71+DN72-DW71)))</f>
        <v>284.01400000000001</v>
      </c>
      <c r="DP72" s="17">
        <f>DO72*VLOOKUP('Données projet'!$B$14,Paramètres!$A$1:$I$89,3,0)*VLOOKUP('Données projet'!$B$14,Paramètres!$A$1:$I$89,5,0)</f>
        <v>162.456008</v>
      </c>
      <c r="DQ72" s="13">
        <f t="shared" si="97"/>
        <v>41.395982778472614</v>
      </c>
      <c r="DR72" s="20">
        <f t="shared" si="70"/>
        <v>355.04221727250643</v>
      </c>
      <c r="DS72" s="59">
        <f t="shared" si="71"/>
        <v>619.40491612793016</v>
      </c>
      <c r="DT72" s="59">
        <f ca="1">AVERAGE(OFFSET($DS$3,0,0,'Données projet'!$E$14+1,1))-AVERAGE(OFFSET($H$3,0,0,'Données projet'!$E$14+1,1))</f>
        <v>349.56396446903</v>
      </c>
      <c r="DU72" s="59">
        <f t="shared" si="98"/>
        <v>270.64279448634522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26.628681071437612</v>
      </c>
      <c r="EB72" s="21">
        <f>EXP(-LN(2)/25)*EB71+(1-EXP(-LN(2)/25))/(LN(2)/25)*Calculateur!DW72*Calculateur!DY72*VLOOKUP('Données projet'!$B$14,Paramètres!$A$1:$I$89,3,0)*0.475*44/12</f>
        <v>34.385182149673405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61.013863221111016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11.896999999999997</v>
      </c>
      <c r="EJ72" s="12">
        <f>IF('Données projet'!$A$192&gt;35,EJ71+EI72-ER71,IF(A72&lt;'Données projet'!$A$192,$EG$205^A72,IF(A72='Données projet'!$A$192,'Données projet'!$B$192,EJ71+EI72-ER71)))</f>
        <v>478.16300000000012</v>
      </c>
      <c r="EK72" s="17">
        <f>EJ72*VLOOKUP('Données projet'!$B$15,Paramètres!$A$1:$I$89,3,0)*VLOOKUP('Données projet'!$B$15,Paramètres!$A$1:$I$89,5,0)</f>
        <v>285.94147400000008</v>
      </c>
      <c r="EL72" s="13">
        <f t="shared" si="99"/>
        <v>68.221074600056156</v>
      </c>
      <c r="EM72" s="20">
        <f t="shared" si="73"/>
        <v>616.83310547843132</v>
      </c>
      <c r="EN72" s="59">
        <f t="shared" si="74"/>
        <v>881.19580433385499</v>
      </c>
      <c r="EO72" s="59">
        <f ca="1">AVERAGE(OFFSET($EN$3,0,0,'Données projet'!$E$15+1,1))-AVERAGE(OFFSET($H$3,0,0,'Données projet'!$E$15+1,1))</f>
        <v>375.89365709113105</v>
      </c>
      <c r="EP72" s="59">
        <f t="shared" si="100"/>
        <v>279.39056561403834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28.17389247420364</v>
      </c>
      <c r="EW72" s="21">
        <f>EXP(-LN(2)/25)*EW71+(1-EXP(-LN(2)/25))/(LN(2)/25)*Calculateur!ER72*Calculateur!ET72*VLOOKUP('Données projet'!$B$15,Paramètres!$A$1:$I$89,3,0)*0.475*44/12</f>
        <v>29.788249931905082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57.962142406108725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-1.1368683772161603E-13</v>
      </c>
      <c r="FF72" s="17">
        <f>FE72*VLOOKUP('Données projet'!$B$16,Paramètres!$A$1:$I$89,3,0)*VLOOKUP('Données projet'!$B$16,Paramètres!$A$1:$I$89,5,0)</f>
        <v>-6.7984728957526396E-14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319.29539841078537</v>
      </c>
      <c r="FK72" s="59">
        <f t="shared" si="102"/>
        <v>327.26871144121412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115.71991543758892</v>
      </c>
      <c r="FR72" s="21">
        <f>EXP(-LN(2)/25)*FR71+(1-EXP(-LN(2)/25))/(LN(2)/25)*Calculateur!FM72*Calculateur!FO72*VLOOKUP('Données projet'!$B$16,Paramètres!$A$1:$I$89,3,0)*0.475*44/12</f>
        <v>66.770774803312989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182.49069024090193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2.2737367544323206E-13</v>
      </c>
      <c r="GA72" s="17">
        <f>FZ72*VLOOKUP('Données projet'!$B$17,Paramètres!$A$1:$I$89,3,0)*VLOOKUP('Données projet'!$B$17,Paramètres!$A$1:$I$89,5,0)</f>
        <v>1.0049916454590858E-13</v>
      </c>
      <c r="GB72" s="13">
        <f t="shared" si="103"/>
        <v>1.5089081593838289E-12</v>
      </c>
      <c r="GC72" s="20">
        <f t="shared" si="79"/>
        <v>2.8030510891776262E-12</v>
      </c>
      <c r="GD72" s="59">
        <f t="shared" si="80"/>
        <v>264.36269885542652</v>
      </c>
      <c r="GE72" s="59">
        <f ca="1">AVERAGE(OFFSET($GD$3,0,0,'Données projet'!$E$17+1,1))-AVERAGE(OFFSET($H$3,0,0,'Données projet'!$E$17+1,1))</f>
        <v>342.89128067483233</v>
      </c>
      <c r="GF72" s="59">
        <f t="shared" si="104"/>
        <v>453.47615302202996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138.10795950900723</v>
      </c>
      <c r="GM72" s="21">
        <f>EXP(-LN(2)/25)*GM71+(1-EXP(-LN(2)/25))/(LN(2)/25)*Calculateur!GH72*Calculateur!GJ72*VLOOKUP('Données projet'!$B$17,Paramètres!$A$1:$I$89,3,0)*0.475*44/12</f>
        <v>91.476828078588184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229.58478758759543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62.098917869661008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11.896999999999997</v>
      </c>
      <c r="GU72" s="12">
        <f>IF('Données projet'!$A$270&gt;35,GU71+GT72-HC71,IF(A72&lt;'Données projet'!$A$270,$GR$205^A72,IF(A72='Données projet'!$A$270,'Données projet'!$B$270,GU71+GT72-HC71)))</f>
        <v>478.16300000000012</v>
      </c>
      <c r="GV72" s="17">
        <f>GU72*VLOOKUP('Données projet'!$B$18,Paramètres!$A$1:$I$89,3,0)*VLOOKUP('Données projet'!$B$18,Paramètres!$A$1:$I$89,5,0)</f>
        <v>285.94147400000008</v>
      </c>
      <c r="GW72" s="13">
        <f t="shared" si="105"/>
        <v>68.221074600056156</v>
      </c>
      <c r="GX72" s="20">
        <f t="shared" si="82"/>
        <v>616.83310547843132</v>
      </c>
      <c r="GY72" s="59">
        <f t="shared" si="83"/>
        <v>881.19580433385499</v>
      </c>
      <c r="GZ72" s="59">
        <f ca="1">AVERAGE(OFFSET($GY$3,0,0,'Données projet'!$E$18+1,1))-AVERAGE(OFFSET($H$3,0,0,'Données projet'!$E$18+1,1))</f>
        <v>375.89365709113105</v>
      </c>
      <c r="HA72" s="59">
        <f t="shared" si="106"/>
        <v>279.39056561403834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28.17389247420364</v>
      </c>
      <c r="HH72" s="21">
        <f>EXP(-LN(2)/25)*HH71+(1-EXP(-LN(2)/25))/(LN(2)/25)*Calculateur!HC72*Calculateur!HE72*VLOOKUP('Données projet'!$B$18,Paramètres!$A$1:$I$89,3,0)*0.475*44/12</f>
        <v>29.788249931905082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57.962142406108725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178.09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226.66597200000012</v>
      </c>
      <c r="P73" s="13">
        <f t="shared" si="87"/>
        <v>55.561175235972904</v>
      </c>
      <c r="Q73" s="20">
        <f t="shared" si="54"/>
        <v>491.54561476931968</v>
      </c>
      <c r="R73" s="59">
        <f t="shared" si="55"/>
        <v>756.41088936429946</v>
      </c>
      <c r="S73" s="59">
        <f ca="1">AVERAGE(OFFSET($R$3,0,0,'Données projet'!$E$9+1,1))-AVERAGE(OFFSET($H$3,0,0,'Données projet'!$E$9+1,1))</f>
        <v>631.31712308065664</v>
      </c>
      <c r="T73" s="59">
        <f t="shared" si="88"/>
        <v>290.92244624361285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22.761494127020239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22.761494127020239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8.4087499999999977</v>
      </c>
      <c r="AI73" s="13">
        <f>IF('Données projet'!$A$62&gt;35,AI72+AH73-AQ72,IF(A73&lt;'Données projet'!$A$62,$AF$205^A73,IF(A73='Données projet'!$A$62,'Données projet'!$B$62,AI72+AH73-AQ72)))</f>
        <v>199.85625000000016</v>
      </c>
      <c r="AJ73" s="13">
        <f>AI73*VLOOKUP('Données projet'!$B$10,Paramètres!$A$1:$I$89,3,0)*VLOOKUP('Données projet'!$B$10,Paramètres!$A$1:$I$89,5,0)</f>
        <v>168.35890500000014</v>
      </c>
      <c r="AK73" s="13">
        <f t="shared" si="89"/>
        <v>42.722265649387637</v>
      </c>
      <c r="AL73" s="20">
        <f t="shared" si="58"/>
        <v>367.633038881017</v>
      </c>
      <c r="AM73" s="59">
        <f t="shared" si="59"/>
        <v>632.49831347599684</v>
      </c>
      <c r="AN73" s="59">
        <f ca="1">AVERAGE(OFFSET($AM$3,0,0,'Données projet'!$E$10+1,1))-AVERAGE(OFFSET($H$3,0,0,'Données projet'!$E$10+1,1))</f>
        <v>401.19166052471473</v>
      </c>
      <c r="AO73" s="59">
        <f t="shared" si="90"/>
        <v>271.10067497534271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18.642798655866557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18.642798655866557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254.02221000000017</v>
      </c>
      <c r="BF73" s="13">
        <f t="shared" si="91"/>
        <v>61.446434882983361</v>
      </c>
      <c r="BG73" s="20">
        <f t="shared" si="61"/>
        <v>549.44122317119627</v>
      </c>
      <c r="BH73" s="59">
        <f t="shared" si="62"/>
        <v>814.30649776617611</v>
      </c>
      <c r="BI73" s="59">
        <f ca="1">AVERAGE(OFFSET($BH$3,0,0,'Données projet'!$E$11+1,1))-AVERAGE(OFFSET($H$3,0,0,'Données projet'!$E$11+1,1))</f>
        <v>695.93700574708214</v>
      </c>
      <c r="BJ73" s="59">
        <f t="shared" si="92"/>
        <v>318.31690229208471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25.508571004419235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25.508571004419235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205</v>
      </c>
      <c r="BW73" s="12">
        <f>VLOOKUP(A73,'Données projet'!$A$113:$I$133,9,0)</f>
        <v>4.4000000000000004</v>
      </c>
      <c r="BX73" s="12">
        <f t="array" ref="BX73">INDEX(BW:BW,MIN(IF(ISNUMBER(BW73:BW269),ROW(BW73:BW269),"")))</f>
        <v>4.4000000000000004</v>
      </c>
      <c r="BY73" s="12">
        <f>IF('Données projet'!$A$114&gt;35,BY72+BX73-CG72,IF(A73&lt;'Données projet'!$A$114,$BV$205^A73,IF(A73='Données projet'!$A$114,'Données projet'!$B$114,BY72+BX73-CG72)))</f>
        <v>205.00000000000011</v>
      </c>
      <c r="BZ73" s="13">
        <f>BY73*VLOOKUP('Données projet'!$B$12,Paramètres!$A$1:$I$89,3,0)*VLOOKUP('Données projet'!$B$12,Paramètres!$A$1:$I$89,5,0)</f>
        <v>134.31600000000009</v>
      </c>
      <c r="CA73" s="13">
        <f t="shared" si="93"/>
        <v>34.991756585122474</v>
      </c>
      <c r="CB73" s="20">
        <f t="shared" si="64"/>
        <v>294.87767605242175</v>
      </c>
      <c r="CC73" s="59">
        <f t="shared" si="65"/>
        <v>559.74295064740159</v>
      </c>
      <c r="CD73" s="59">
        <f ca="1">AVERAGE(OFFSET($CC$3,0,0,'Données projet'!$E$12+1,1))-AVERAGE(OFFSET($H$3,0,0,'Données projet'!$E$12+1,1))</f>
        <v>260.25859566735949</v>
      </c>
      <c r="CE73" s="59">
        <f t="shared" si="94"/>
        <v>256.93649773468667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17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11.641420765086552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11.641420765086552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205</v>
      </c>
      <c r="CR73" s="12">
        <f>VLOOKUP(A73,'Données projet'!$A$139:$I$159,9,0)</f>
        <v>4.4000000000000004</v>
      </c>
      <c r="CS73" s="12">
        <f t="array" ref="CS73">INDEX(CR:CR,MIN(IF(ISNUMBER(CR73:CR269),ROW(CR73:CR269),"")))</f>
        <v>4.4000000000000004</v>
      </c>
      <c r="CT73" s="12">
        <f>IF('Données projet'!$A$140&gt;35,CT72+CS73-DB72,IF(A73&lt;'Données projet'!$A$140,$CQ$205^A73,IF(A73='Données projet'!$A$140,'Données projet'!$B$140,CT72+CS73-DB72)))</f>
        <v>205.00000000000011</v>
      </c>
      <c r="CU73" s="17">
        <f>CT73*VLOOKUP('Données projet'!$B$13,Paramètres!$A$1:$I$89,3,0)*VLOOKUP('Données projet'!$B$13,Paramètres!$A$1:$I$89,5,0)</f>
        <v>134.31600000000009</v>
      </c>
      <c r="CV73" s="13">
        <f t="shared" si="95"/>
        <v>34.991756585122474</v>
      </c>
      <c r="CW73" s="20">
        <f t="shared" si="67"/>
        <v>294.87767605242175</v>
      </c>
      <c r="CX73" s="59">
        <f t="shared" si="68"/>
        <v>559.74295064740159</v>
      </c>
      <c r="CY73" s="59">
        <f ca="1">AVERAGE(OFFSET($CX$3,0,0,'Données projet'!$E$13+1,1))-AVERAGE(OFFSET($H$3,0,0,'Données projet'!$E$13+1,1))</f>
        <v>260.25859566735949</v>
      </c>
      <c r="CZ73" s="59">
        <f t="shared" si="96"/>
        <v>256.93649773468667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17</v>
      </c>
      <c r="DC73" s="16">
        <f>IF(ISNA(VLOOKUP(A73,'Données projet'!$A$139:$I$159,5,0)),0%,VLOOKUP(A73,'Données projet'!$A$139:$I$159,5,0)*VLOOKUP('Données projet'!$B$13,Paramètres!$A$1:$I$89,7,0))</f>
        <v>0.25800000000000001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11.641420765086552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11.641420765086552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6.5040000000000022</v>
      </c>
      <c r="DO73" s="12">
        <f>IF('Données projet'!$A$166&gt;35,DO72+DN73-DW72,IF(A73&lt;'Données projet'!$A$166,$DL$205^A73,IF(A73='Données projet'!$A$166,'Données projet'!$B$166,DO72+DN73-DW72)))</f>
        <v>290.51800000000003</v>
      </c>
      <c r="DP73" s="17">
        <f>DO73*VLOOKUP('Données projet'!$B$14,Paramètres!$A$1:$I$89,3,0)*VLOOKUP('Données projet'!$B$14,Paramètres!$A$1:$I$89,5,0)</f>
        <v>166.17629600000004</v>
      </c>
      <c r="DQ73" s="13">
        <f t="shared" si="97"/>
        <v>42.232510537732132</v>
      </c>
      <c r="DR73" s="20">
        <f t="shared" si="70"/>
        <v>362.97867138655016</v>
      </c>
      <c r="DS73" s="59">
        <f t="shared" si="71"/>
        <v>627.84394598152994</v>
      </c>
      <c r="DT73" s="59">
        <f ca="1">AVERAGE(OFFSET($DS$3,0,0,'Données projet'!$E$14+1,1))-AVERAGE(OFFSET($H$3,0,0,'Données projet'!$E$14+1,1))</f>
        <v>349.56396446903</v>
      </c>
      <c r="DU73" s="59">
        <f t="shared" si="98"/>
        <v>270.64279448634522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26.106508877518419</v>
      </c>
      <c r="EB73" s="21">
        <f>EXP(-LN(2)/25)*EB72+(1-EXP(-LN(2)/25))/(LN(2)/25)*Calculateur!DW73*Calculateur!DY73*VLOOKUP('Données projet'!$B$14,Paramètres!$A$1:$I$89,3,0)*0.475*44/12</f>
        <v>33.444917535552442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59.551426413070857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490.06</v>
      </c>
      <c r="EH73" s="12">
        <f>VLOOKUP(A73,'Données projet'!$A$191:$I$211,9,0)</f>
        <v>11.896999999999997</v>
      </c>
      <c r="EI73" s="12">
        <f t="array" ref="EI73">INDEX(EH:EH,MIN(IF(ISNUMBER(EH73:EH269),ROW(EH73:EH269),"")))</f>
        <v>11.896999999999997</v>
      </c>
      <c r="EJ73" s="12">
        <f>IF('Données projet'!$A$192&gt;35,EJ72+EI73-ER72,IF(A73&lt;'Données projet'!$A$192,$EG$205^A73,IF(A73='Données projet'!$A$192,'Données projet'!$B$192,EJ72+EI73-ER72)))</f>
        <v>490.06000000000012</v>
      </c>
      <c r="EK73" s="17">
        <f>EJ73*VLOOKUP('Données projet'!$B$15,Paramètres!$A$1:$I$89,3,0)*VLOOKUP('Données projet'!$B$15,Paramètres!$A$1:$I$89,5,0)</f>
        <v>293.05588000000012</v>
      </c>
      <c r="EL73" s="13">
        <f t="shared" si="99"/>
        <v>69.718730961493122</v>
      </c>
      <c r="EM73" s="20">
        <f t="shared" si="73"/>
        <v>631.83244742460067</v>
      </c>
      <c r="EN73" s="59">
        <f t="shared" si="74"/>
        <v>896.6977220195804</v>
      </c>
      <c r="EO73" s="59">
        <f ca="1">AVERAGE(OFFSET($EN$3,0,0,'Données projet'!$E$15+1,1))-AVERAGE(OFFSET($H$3,0,0,'Données projet'!$E$15+1,1))</f>
        <v>375.89365709113105</v>
      </c>
      <c r="EP73" s="59">
        <f t="shared" si="100"/>
        <v>279.39056561403834</v>
      </c>
      <c r="EQ73" s="15">
        <f>IF(ISNA(VLOOKUP(A73,'Données projet'!$A$191:$I$211,3,0)),0,VLOOKUP(A73,'Données projet'!$A$191:$I$211,3,0))</f>
        <v>7</v>
      </c>
      <c r="ER73" s="15">
        <f>IF(ISNA(VLOOKUP(A73,'Données projet'!$A$191:$I$211,4,0)),0,VLOOKUP(A73,'Données projet'!$A$191:$I$211,4,0))</f>
        <v>67.88</v>
      </c>
      <c r="ES73" s="16">
        <f>IF(ISNA(VLOOKUP(A73,'Données projet'!$A$191:$I$211,5,0)),0%,VLOOKUP(A73,'Données projet'!$A$191:$I$211,5,0)*VLOOKUP('Données projet'!$B$15,Paramètres!$A$1:$I$89,7,0))</f>
        <v>0.315</v>
      </c>
      <c r="ET73" s="16">
        <f>IF(ISNA(VLOOKUP(A73,'Données projet'!$A$191:$I$211,6,0)),0%,VLOOKUP(A73,'Données projet'!$A$191:$I$211,6,0)*VLOOKUP('Données projet'!$B$15,Paramètres!$A$1:$I$89,7,0))</f>
        <v>0.13500000000000001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44.583609793623502</v>
      </c>
      <c r="EW73" s="21">
        <f>EXP(-LN(2)/25)*EW72+(1-EXP(-LN(2)/25))/(LN(2)/25)*Calculateur!ER73*Calculateur!ET73*VLOOKUP('Données projet'!$B$15,Paramètres!$A$1:$I$89,3,0)*0.475*44/12</f>
        <v>36.214575911310391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80.7981857049339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-1.1368683772161603E-13</v>
      </c>
      <c r="FF73" s="17">
        <f>FE73*VLOOKUP('Données projet'!$B$16,Paramètres!$A$1:$I$89,3,0)*VLOOKUP('Données projet'!$B$16,Paramètres!$A$1:$I$89,5,0)</f>
        <v>-6.7984728957526396E-14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319.29539841078537</v>
      </c>
      <c r="FK73" s="59">
        <f t="shared" si="102"/>
        <v>327.26871144121412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113.4507184780368</v>
      </c>
      <c r="FR73" s="21">
        <f>EXP(-LN(2)/25)*FR72+(1-EXP(-LN(2)/25))/(LN(2)/25)*Calculateur!FM73*Calculateur!FO73*VLOOKUP('Données projet'!$B$16,Paramètres!$A$1:$I$89,3,0)*0.475*44/12</f>
        <v>64.944924454993952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178.39564293303076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2.2737367544323206E-13</v>
      </c>
      <c r="GA73" s="17">
        <f>FZ73*VLOOKUP('Données projet'!$B$17,Paramètres!$A$1:$I$89,3,0)*VLOOKUP('Données projet'!$B$17,Paramètres!$A$1:$I$89,5,0)</f>
        <v>1.0049916454590858E-13</v>
      </c>
      <c r="GB73" s="13">
        <f t="shared" si="103"/>
        <v>1.5089081593838289E-12</v>
      </c>
      <c r="GC73" s="20">
        <f t="shared" si="79"/>
        <v>2.8030510891776262E-12</v>
      </c>
      <c r="GD73" s="59">
        <f t="shared" si="80"/>
        <v>264.86527459498257</v>
      </c>
      <c r="GE73" s="59">
        <f ca="1">AVERAGE(OFFSET($GD$3,0,0,'Données projet'!$E$17+1,1))-AVERAGE(OFFSET($H$3,0,0,'Données projet'!$E$17+1,1))</f>
        <v>342.89128067483233</v>
      </c>
      <c r="GF73" s="59">
        <f t="shared" si="104"/>
        <v>453.47615302202996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135.39974666057313</v>
      </c>
      <c r="GM73" s="21">
        <f>EXP(-LN(2)/25)*GM72+(1-EXP(-LN(2)/25))/(LN(2)/25)*Calculateur!GH73*Calculateur!GJ73*VLOOKUP('Données projet'!$B$17,Paramètres!$A$1:$I$89,3,0)*0.475*44/12</f>
        <v>88.975389404221872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224.37513606479502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62.235983980449028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490.06</v>
      </c>
      <c r="GS73" s="12">
        <f>VLOOKUP(A73,'Données projet'!$A$269:$I$289,9,0)</f>
        <v>11.896999999999997</v>
      </c>
      <c r="GT73" s="12">
        <f t="array" ref="GT73">INDEX(GS:GS,MIN(IF(ISNUMBER(GS73:GS269),ROW(GS73:GS269),"")))</f>
        <v>11.896999999999997</v>
      </c>
      <c r="GU73" s="12">
        <f>IF('Données projet'!$A$270&gt;35,GU72+GT73-HC72,IF(A73&lt;'Données projet'!$A$270,$GR$205^A73,IF(A73='Données projet'!$A$270,'Données projet'!$B$270,GU72+GT73-HC72)))</f>
        <v>490.06000000000012</v>
      </c>
      <c r="GV73" s="17">
        <f>GU73*VLOOKUP('Données projet'!$B$18,Paramètres!$A$1:$I$89,3,0)*VLOOKUP('Données projet'!$B$18,Paramètres!$A$1:$I$89,5,0)</f>
        <v>293.05588000000012</v>
      </c>
      <c r="GW73" s="13">
        <f t="shared" si="105"/>
        <v>69.718730961493122</v>
      </c>
      <c r="GX73" s="20">
        <f t="shared" si="82"/>
        <v>631.83244742460067</v>
      </c>
      <c r="GY73" s="59">
        <f t="shared" si="83"/>
        <v>896.6977220195804</v>
      </c>
      <c r="GZ73" s="59">
        <f ca="1">AVERAGE(OFFSET($GY$3,0,0,'Données projet'!$E$18+1,1))-AVERAGE(OFFSET($H$3,0,0,'Données projet'!$E$18+1,1))</f>
        <v>375.89365709113105</v>
      </c>
      <c r="HA73" s="59">
        <f t="shared" si="106"/>
        <v>279.39056561403834</v>
      </c>
      <c r="HB73" s="15">
        <f>IF(ISNA(VLOOKUP(A73,'Données projet'!$A$269:$I$289,3,0)),0,VLOOKUP(A73,'Données projet'!$A$269:$I$289,3,0))</f>
        <v>7</v>
      </c>
      <c r="HC73" s="15">
        <f>IF(ISNA(VLOOKUP(A73,'Données projet'!$A$269:$I$289,4,0)),0,VLOOKUP(A73,'Données projet'!$A$269:$I$289,4,0))</f>
        <v>67.88</v>
      </c>
      <c r="HD73" s="16">
        <f>IF(ISNA(VLOOKUP(A73,'Données projet'!$A$269:$I$289,5,0)),0%,VLOOKUP(A73,'Données projet'!$A$269:$I$289,5,0)*VLOOKUP('Données projet'!$B$18,Paramètres!$A$1:$I$89,7,0))</f>
        <v>0.315</v>
      </c>
      <c r="HE73" s="16">
        <f>IF(ISNA(VLOOKUP(A73,'Données projet'!$A$269:$I$289,6,0)),0%,VLOOKUP(A73,'Données projet'!$A$269:$I$289,6,0)*VLOOKUP('Données projet'!$B$18,Paramètres!$A$1:$I$89,7,0))</f>
        <v>0.13500000000000001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44.583609793623502</v>
      </c>
      <c r="HH73" s="21">
        <f>EXP(-LN(2)/25)*HH72+(1-EXP(-LN(2)/25))/(LN(2)/25)*Calculateur!HC73*Calculateur!HE73*VLOOKUP('Données projet'!$B$18,Paramètres!$A$1:$I$89,3,0)*0.475*44/12</f>
        <v>36.214575911310391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80.7981857049339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178.09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234.68815500000011</v>
      </c>
      <c r="P74" s="13">
        <f t="shared" si="87"/>
        <v>57.295176729679312</v>
      </c>
      <c r="Q74" s="20">
        <f t="shared" si="54"/>
        <v>508.53763609585832</v>
      </c>
      <c r="R74" s="59">
        <f t="shared" si="55"/>
        <v>773.89676786490395</v>
      </c>
      <c r="S74" s="59">
        <f ca="1">AVERAGE(OFFSET($R$3,0,0,'Données projet'!$E$9+1,1))-AVERAGE(OFFSET($H$3,0,0,'Données projet'!$E$9+1,1))</f>
        <v>631.31712308065664</v>
      </c>
      <c r="T74" s="59">
        <f t="shared" si="88"/>
        <v>290.92244624361285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22.315155110329943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22.315155110329943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8.4087499999999977</v>
      </c>
      <c r="AI74" s="13">
        <f>IF('Données projet'!$A$62&gt;35,AI73+AH74-AQ73,IF(A74&lt;'Données projet'!$A$62,$AF$205^A74,IF(A74='Données projet'!$A$62,'Données projet'!$B$62,AI73+AH74-AQ73)))</f>
        <v>208.26500000000016</v>
      </c>
      <c r="AJ74" s="13">
        <f>AI74*VLOOKUP('Données projet'!$B$10,Paramètres!$A$1:$I$89,3,0)*VLOOKUP('Données projet'!$B$10,Paramètres!$A$1:$I$89,5,0)</f>
        <v>175.44243600000016</v>
      </c>
      <c r="AK74" s="13">
        <f t="shared" si="89"/>
        <v>44.306703669500294</v>
      </c>
      <c r="AL74" s="20">
        <f t="shared" si="58"/>
        <v>382.72975159104658</v>
      </c>
      <c r="AM74" s="59">
        <f t="shared" si="59"/>
        <v>648.08888336009227</v>
      </c>
      <c r="AN74" s="59">
        <f ca="1">AVERAGE(OFFSET($AM$3,0,0,'Données projet'!$E$10+1,1))-AVERAGE(OFFSET($H$3,0,0,'Données projet'!$E$10+1,1))</f>
        <v>401.19166052471473</v>
      </c>
      <c r="AO74" s="59">
        <f t="shared" si="90"/>
        <v>271.10067497534271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18.277224745209402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18.277224745209402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263.01258750000017</v>
      </c>
      <c r="BF74" s="13">
        <f t="shared" si="91"/>
        <v>63.364108679793951</v>
      </c>
      <c r="BG74" s="20">
        <f t="shared" si="61"/>
        <v>568.43941251314141</v>
      </c>
      <c r="BH74" s="59">
        <f t="shared" si="62"/>
        <v>833.79854428218709</v>
      </c>
      <c r="BI74" s="59">
        <f ca="1">AVERAGE(OFFSET($BH$3,0,0,'Données projet'!$E$11+1,1))-AVERAGE(OFFSET($H$3,0,0,'Données projet'!$E$11+1,1))</f>
        <v>695.93700574708214</v>
      </c>
      <c r="BJ74" s="59">
        <f t="shared" si="92"/>
        <v>318.31690229208471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25.008363485714593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25.008363485714593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</v>
      </c>
      <c r="BY74" s="12">
        <f>IF('Données projet'!$A$114&gt;35,BY73+BX74-CG73,IF(A74&lt;'Données projet'!$A$114,$BV$205^A74,IF(A74='Données projet'!$A$114,'Données projet'!$B$114,BY73+BX74-CG73)))</f>
        <v>192.00000000000011</v>
      </c>
      <c r="BZ74" s="13">
        <f>BY74*VLOOKUP('Données projet'!$B$12,Paramètres!$A$1:$I$89,3,0)*VLOOKUP('Données projet'!$B$12,Paramètres!$A$1:$I$89,5,0)</f>
        <v>125.79840000000007</v>
      </c>
      <c r="CA74" s="13">
        <f t="shared" si="93"/>
        <v>33.023644363399953</v>
      </c>
      <c r="CB74" s="20">
        <f t="shared" si="64"/>
        <v>276.61506059958839</v>
      </c>
      <c r="CC74" s="59">
        <f t="shared" si="65"/>
        <v>541.97419236863402</v>
      </c>
      <c r="CD74" s="59">
        <f ca="1">AVERAGE(OFFSET($CC$3,0,0,'Données projet'!$E$12+1,1))-AVERAGE(OFFSET($H$3,0,0,'Données projet'!$E$12+1,1))</f>
        <v>260.25859566735949</v>
      </c>
      <c r="CE74" s="59">
        <f t="shared" si="94"/>
        <v>256.93649773468667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11.41313960444875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11.41313960444875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</v>
      </c>
      <c r="CT74" s="12">
        <f>IF('Données projet'!$A$140&gt;35,CT73+CS74-DB73,IF(A74&lt;'Données projet'!$A$140,$CQ$205^A74,IF(A74='Données projet'!$A$140,'Données projet'!$B$140,CT73+CS74-DB73)))</f>
        <v>192.00000000000011</v>
      </c>
      <c r="CU74" s="17">
        <f>CT74*VLOOKUP('Données projet'!$B$13,Paramètres!$A$1:$I$89,3,0)*VLOOKUP('Données projet'!$B$13,Paramètres!$A$1:$I$89,5,0)</f>
        <v>125.79840000000007</v>
      </c>
      <c r="CV74" s="13">
        <f t="shared" si="95"/>
        <v>33.023644363399953</v>
      </c>
      <c r="CW74" s="20">
        <f t="shared" si="67"/>
        <v>276.61506059958839</v>
      </c>
      <c r="CX74" s="59">
        <f t="shared" si="68"/>
        <v>541.97419236863402</v>
      </c>
      <c r="CY74" s="59">
        <f ca="1">AVERAGE(OFFSET($CX$3,0,0,'Données projet'!$E$13+1,1))-AVERAGE(OFFSET($H$3,0,0,'Données projet'!$E$13+1,1))</f>
        <v>260.25859566735949</v>
      </c>
      <c r="CZ74" s="59">
        <f t="shared" si="96"/>
        <v>256.93649773468667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11.41313960444875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11.41313960444875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6.5040000000000022</v>
      </c>
      <c r="DO74" s="12">
        <f>IF('Données projet'!$A$166&gt;35,DO73+DN74-DW73,IF(A74&lt;'Données projet'!$A$166,$DL$205^A74,IF(A74='Données projet'!$A$166,'Données projet'!$B$166,DO73+DN74-DW73)))</f>
        <v>297.02200000000005</v>
      </c>
      <c r="DP74" s="17">
        <f>DO74*VLOOKUP('Données projet'!$B$14,Paramètres!$A$1:$I$89,3,0)*VLOOKUP('Données projet'!$B$14,Paramètres!$A$1:$I$89,5,0)</f>
        <v>169.89658400000002</v>
      </c>
      <c r="DQ74" s="13">
        <f t="shared" si="97"/>
        <v>43.066861021290357</v>
      </c>
      <c r="DR74" s="20">
        <f t="shared" si="70"/>
        <v>370.91133341208069</v>
      </c>
      <c r="DS74" s="59">
        <f t="shared" si="71"/>
        <v>636.27046518112638</v>
      </c>
      <c r="DT74" s="59">
        <f ca="1">AVERAGE(OFFSET($DS$3,0,0,'Données projet'!$E$14+1,1))-AVERAGE(OFFSET($H$3,0,0,'Données projet'!$E$14+1,1))</f>
        <v>349.56396446903</v>
      </c>
      <c r="DU74" s="59">
        <f t="shared" si="98"/>
        <v>270.64279448634522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25.594576161828392</v>
      </c>
      <c r="EB74" s="21">
        <f>EXP(-LN(2)/25)*EB73+(1-EXP(-LN(2)/25))/(LN(2)/25)*Calculateur!DW74*Calculateur!DY74*VLOOKUP('Données projet'!$B$14,Paramètres!$A$1:$I$89,3,0)*0.475*44/12</f>
        <v>32.530364506750985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58.124940668579377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9.782</v>
      </c>
      <c r="EJ74" s="12">
        <f>IF('Données projet'!$A$192&gt;35,EJ73+EI74-ER73,IF(A74&lt;'Données projet'!$A$192,$EG$205^A74,IF(A74='Données projet'!$A$192,'Données projet'!$B$192,EJ73+EI74-ER73)))</f>
        <v>431.9620000000001</v>
      </c>
      <c r="EK74" s="17">
        <f>EJ74*VLOOKUP('Données projet'!$B$15,Paramètres!$A$1:$I$89,3,0)*VLOOKUP('Données projet'!$B$15,Paramètres!$A$1:$I$89,5,0)</f>
        <v>258.31327600000009</v>
      </c>
      <c r="EL74" s="13">
        <f t="shared" si="99"/>
        <v>62.362700481716175</v>
      </c>
      <c r="EM74" s="20">
        <f t="shared" si="73"/>
        <v>558.51065903898916</v>
      </c>
      <c r="EN74" s="59">
        <f t="shared" si="74"/>
        <v>823.86979080803485</v>
      </c>
      <c r="EO74" s="59">
        <f ca="1">AVERAGE(OFFSET($EN$3,0,0,'Données projet'!$E$15+1,1))-AVERAGE(OFFSET($H$3,0,0,'Données projet'!$E$15+1,1))</f>
        <v>375.89365709113105</v>
      </c>
      <c r="EP74" s="59">
        <f t="shared" si="100"/>
        <v>279.39056561403834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43.709352398887404</v>
      </c>
      <c r="EW74" s="21">
        <f>EXP(-LN(2)/25)*EW73+(1-EXP(-LN(2)/25))/(LN(2)/25)*Calculateur!ER74*Calculateur!ET74*VLOOKUP('Données projet'!$B$15,Paramètres!$A$1:$I$89,3,0)*0.475*44/12</f>
        <v>35.224286428573834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78.933638827461237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-1.1368683772161603E-13</v>
      </c>
      <c r="FF74" s="17">
        <f>FE74*VLOOKUP('Données projet'!$B$16,Paramètres!$A$1:$I$89,3,0)*VLOOKUP('Données projet'!$B$16,Paramètres!$A$1:$I$89,5,0)</f>
        <v>-6.7984728957526396E-14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319.29539841078537</v>
      </c>
      <c r="FK74" s="59">
        <f t="shared" si="102"/>
        <v>327.26871144121412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111.22601908678803</v>
      </c>
      <c r="FR74" s="21">
        <f>EXP(-LN(2)/25)*FR73+(1-EXP(-LN(2)/25))/(LN(2)/25)*Calculateur!FM74*Calculateur!FO74*VLOOKUP('Données projet'!$B$16,Paramètres!$A$1:$I$89,3,0)*0.475*44/12</f>
        <v>63.169002080466996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174.39502116725504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2.2737367544323206E-13</v>
      </c>
      <c r="GA74" s="17">
        <f>FZ74*VLOOKUP('Données projet'!$B$17,Paramètres!$A$1:$I$89,3,0)*VLOOKUP('Données projet'!$B$17,Paramètres!$A$1:$I$89,5,0)</f>
        <v>1.0049916454590858E-13</v>
      </c>
      <c r="GB74" s="13">
        <f t="shared" si="103"/>
        <v>1.5089081593838289E-12</v>
      </c>
      <c r="GC74" s="20">
        <f t="shared" si="79"/>
        <v>2.8030510891776262E-12</v>
      </c>
      <c r="GD74" s="59">
        <f t="shared" si="80"/>
        <v>265.35913176904842</v>
      </c>
      <c r="GE74" s="59">
        <f ca="1">AVERAGE(OFFSET($GD$3,0,0,'Données projet'!$E$17+1,1))-AVERAGE(OFFSET($H$3,0,0,'Données projet'!$E$17+1,1))</f>
        <v>342.89128067483233</v>
      </c>
      <c r="GF74" s="59">
        <f t="shared" si="104"/>
        <v>453.47615302202996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132.7446402142501</v>
      </c>
      <c r="GM74" s="21">
        <f>EXP(-LN(2)/25)*GM73+(1-EXP(-LN(2)/25))/(LN(2)/25)*Calculateur!GH74*Calculateur!GJ74*VLOOKUP('Données projet'!$B$17,Paramètres!$A$1:$I$89,3,0)*0.475*44/12</f>
        <v>86.542352701951046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219.28699291620114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62.370672300648799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9.782</v>
      </c>
      <c r="GU74" s="12">
        <f>IF('Données projet'!$A$270&gt;35,GU73+GT74-HC73,IF(A74&lt;'Données projet'!$A$270,$GR$205^A74,IF(A74='Données projet'!$A$270,'Données projet'!$B$270,GU73+GT74-HC73)))</f>
        <v>431.9620000000001</v>
      </c>
      <c r="GV74" s="17">
        <f>GU74*VLOOKUP('Données projet'!$B$18,Paramètres!$A$1:$I$89,3,0)*VLOOKUP('Données projet'!$B$18,Paramètres!$A$1:$I$89,5,0)</f>
        <v>258.31327600000009</v>
      </c>
      <c r="GW74" s="13">
        <f t="shared" si="105"/>
        <v>62.362700481716175</v>
      </c>
      <c r="GX74" s="20">
        <f t="shared" si="82"/>
        <v>558.51065903898916</v>
      </c>
      <c r="GY74" s="59">
        <f t="shared" si="83"/>
        <v>823.86979080803485</v>
      </c>
      <c r="GZ74" s="59">
        <f ca="1">AVERAGE(OFFSET($GY$3,0,0,'Données projet'!$E$18+1,1))-AVERAGE(OFFSET($H$3,0,0,'Données projet'!$E$18+1,1))</f>
        <v>375.89365709113105</v>
      </c>
      <c r="HA74" s="59">
        <f t="shared" si="106"/>
        <v>279.39056561403834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43.709352398887404</v>
      </c>
      <c r="HH74" s="21">
        <f>EXP(-LN(2)/25)*HH73+(1-EXP(-LN(2)/25))/(LN(2)/25)*Calculateur!HC74*Calculateur!HE74*VLOOKUP('Données projet'!$B$18,Paramètres!$A$1:$I$89,3,0)*0.475*44/12</f>
        <v>35.224286428573834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78.933638827461237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178.09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242.71033800000009</v>
      </c>
      <c r="P75" s="13">
        <f t="shared" si="87"/>
        <v>59.022291232778812</v>
      </c>
      <c r="Q75" s="20">
        <f t="shared" si="54"/>
        <v>525.51766258042323</v>
      </c>
      <c r="R75" s="59">
        <f t="shared" si="55"/>
        <v>791.36208420566379</v>
      </c>
      <c r="S75" s="59">
        <f ca="1">AVERAGE(OFFSET($R$3,0,0,'Données projet'!$E$9+1,1))-AVERAGE(OFFSET($H$3,0,0,'Données projet'!$E$9+1,1))</f>
        <v>631.31712308065664</v>
      </c>
      <c r="T75" s="59">
        <f t="shared" si="88"/>
        <v>290.92244624361285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21.877568529517024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21.877568529517024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8.4087499999999977</v>
      </c>
      <c r="AI75" s="13">
        <f>IF('Données projet'!$A$62&gt;35,AI74+AH75-AQ74,IF(A75&lt;'Données projet'!$A$62,$AF$205^A75,IF(A75='Données projet'!$A$62,'Données projet'!$B$62,AI74+AH75-AQ74)))</f>
        <v>216.67375000000015</v>
      </c>
      <c r="AJ75" s="13">
        <f>AI75*VLOOKUP('Données projet'!$B$10,Paramètres!$A$1:$I$89,3,0)*VLOOKUP('Données projet'!$B$10,Paramètres!$A$1:$I$89,5,0)</f>
        <v>182.52596700000015</v>
      </c>
      <c r="AK75" s="13">
        <f t="shared" si="89"/>
        <v>45.883710678698044</v>
      </c>
      <c r="AL75" s="20">
        <f t="shared" si="58"/>
        <v>397.81352195706603</v>
      </c>
      <c r="AM75" s="59">
        <f t="shared" si="59"/>
        <v>663.65794358230664</v>
      </c>
      <c r="AN75" s="59">
        <f ca="1">AVERAGE(OFFSET($AM$3,0,0,'Données projet'!$E$10+1,1))-AVERAGE(OFFSET($H$3,0,0,'Données projet'!$E$10+1,1))</f>
        <v>401.19166052471473</v>
      </c>
      <c r="AO75" s="59">
        <f t="shared" si="90"/>
        <v>271.10067497534271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17.918819515962166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17.918819515962166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272.00296500000013</v>
      </c>
      <c r="BF75" s="13">
        <f t="shared" si="91"/>
        <v>65.274165988687102</v>
      </c>
      <c r="BG75" s="20">
        <f t="shared" si="61"/>
        <v>587.42433647196356</v>
      </c>
      <c r="BH75" s="59">
        <f t="shared" si="62"/>
        <v>853.26875809720411</v>
      </c>
      <c r="BI75" s="59">
        <f ca="1">AVERAGE(OFFSET($BH$3,0,0,'Données projet'!$E$11+1,1))-AVERAGE(OFFSET($H$3,0,0,'Données projet'!$E$11+1,1))</f>
        <v>695.93700574708214</v>
      </c>
      <c r="BJ75" s="59">
        <f t="shared" si="92"/>
        <v>318.31690229208471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24.517964731355288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24.517964731355288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</v>
      </c>
      <c r="BY75" s="12">
        <f>IF('Données projet'!$A$114&gt;35,BY74+BX75-CG74,IF(A75&lt;'Données projet'!$A$114,$BV$205^A75,IF(A75='Données projet'!$A$114,'Données projet'!$B$114,BY74+BX75-CG74)))</f>
        <v>196.00000000000011</v>
      </c>
      <c r="BZ75" s="13">
        <f>BY75*VLOOKUP('Données projet'!$B$12,Paramètres!$A$1:$I$89,3,0)*VLOOKUP('Données projet'!$B$12,Paramètres!$A$1:$I$89,5,0)</f>
        <v>128.41920000000007</v>
      </c>
      <c r="CA75" s="13">
        <f t="shared" si="93"/>
        <v>33.630823177860762</v>
      </c>
      <c r="CB75" s="20">
        <f t="shared" si="64"/>
        <v>282.23712370144091</v>
      </c>
      <c r="CC75" s="59">
        <f t="shared" si="65"/>
        <v>548.08154532668141</v>
      </c>
      <c r="CD75" s="59">
        <f ca="1">AVERAGE(OFFSET($CC$3,0,0,'Données projet'!$E$12+1,1))-AVERAGE(OFFSET($H$3,0,0,'Données projet'!$E$12+1,1))</f>
        <v>260.25859566735949</v>
      </c>
      <c r="CE75" s="59">
        <f t="shared" si="94"/>
        <v>256.93649773468667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11.189334898133295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11.189334898133295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</v>
      </c>
      <c r="CT75" s="12">
        <f>IF('Données projet'!$A$140&gt;35,CT74+CS75-DB74,IF(A75&lt;'Données projet'!$A$140,$CQ$205^A75,IF(A75='Données projet'!$A$140,'Données projet'!$B$140,CT74+CS75-DB74)))</f>
        <v>196.00000000000011</v>
      </c>
      <c r="CU75" s="17">
        <f>CT75*VLOOKUP('Données projet'!$B$13,Paramètres!$A$1:$I$89,3,0)*VLOOKUP('Données projet'!$B$13,Paramètres!$A$1:$I$89,5,0)</f>
        <v>128.41920000000007</v>
      </c>
      <c r="CV75" s="13">
        <f t="shared" si="95"/>
        <v>33.630823177860762</v>
      </c>
      <c r="CW75" s="20">
        <f t="shared" si="67"/>
        <v>282.23712370144091</v>
      </c>
      <c r="CX75" s="59">
        <f t="shared" si="68"/>
        <v>548.08154532668141</v>
      </c>
      <c r="CY75" s="59">
        <f ca="1">AVERAGE(OFFSET($CX$3,0,0,'Données projet'!$E$13+1,1))-AVERAGE(OFFSET($H$3,0,0,'Données projet'!$E$13+1,1))</f>
        <v>260.25859566735949</v>
      </c>
      <c r="CZ75" s="59">
        <f t="shared" si="96"/>
        <v>256.93649773468667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11.189334898133295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11.189334898133295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6.5040000000000022</v>
      </c>
      <c r="DO75" s="12">
        <f>IF('Données projet'!$A$166&gt;35,DO74+DN75-DW74,IF(A75&lt;'Données projet'!$A$166,$DL$205^A75,IF(A75='Données projet'!$A$166,'Données projet'!$B$166,DO74+DN75-DW74)))</f>
        <v>303.52600000000007</v>
      </c>
      <c r="DP75" s="17">
        <f>DO75*VLOOKUP('Données projet'!$B$14,Paramètres!$A$1:$I$89,3,0)*VLOOKUP('Données projet'!$B$14,Paramètres!$A$1:$I$89,5,0)</f>
        <v>173.61687200000006</v>
      </c>
      <c r="DQ75" s="13">
        <f t="shared" si="97"/>
        <v>43.899087396119036</v>
      </c>
      <c r="DR75" s="20">
        <f t="shared" si="70"/>
        <v>378.84029594824074</v>
      </c>
      <c r="DS75" s="59">
        <f t="shared" si="71"/>
        <v>644.68471757348129</v>
      </c>
      <c r="DT75" s="59">
        <f ca="1">AVERAGE(OFFSET($DS$3,0,0,'Données projet'!$E$14+1,1))-AVERAGE(OFFSET($H$3,0,0,'Données projet'!$E$14+1,1))</f>
        <v>349.56396446903</v>
      </c>
      <c r="DU75" s="59">
        <f t="shared" si="98"/>
        <v>270.64279448634522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25.092682134444924</v>
      </c>
      <c r="EB75" s="21">
        <f>EXP(-LN(2)/25)*EB74+(1-EXP(-LN(2)/25))/(LN(2)/25)*Calculateur!DW75*Calculateur!DY75*VLOOKUP('Données projet'!$B$14,Paramètres!$A$1:$I$89,3,0)*0.475*44/12</f>
        <v>31.64081997861636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56.733502113061284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9.782</v>
      </c>
      <c r="EJ75" s="12">
        <f>IF('Données projet'!$A$192&gt;35,EJ74+EI75-ER74,IF(A75&lt;'Données projet'!$A$192,$EG$205^A75,IF(A75='Données projet'!$A$192,'Données projet'!$B$192,EJ74+EI75-ER74)))</f>
        <v>441.74400000000009</v>
      </c>
      <c r="EK75" s="17">
        <f>EJ75*VLOOKUP('Données projet'!$B$15,Paramètres!$A$1:$I$89,3,0)*VLOOKUP('Données projet'!$B$15,Paramètres!$A$1:$I$89,5,0)</f>
        <v>264.16291200000006</v>
      </c>
      <c r="EL75" s="13">
        <f t="shared" si="99"/>
        <v>63.608920560680907</v>
      </c>
      <c r="EM75" s="20">
        <f t="shared" si="73"/>
        <v>570.86927504318601</v>
      </c>
      <c r="EN75" s="59">
        <f t="shared" si="74"/>
        <v>836.71369666842656</v>
      </c>
      <c r="EO75" s="59">
        <f ca="1">AVERAGE(OFFSET($EN$3,0,0,'Données projet'!$E$15+1,1))-AVERAGE(OFFSET($H$3,0,0,'Données projet'!$E$15+1,1))</f>
        <v>375.89365709113105</v>
      </c>
      <c r="EP75" s="59">
        <f t="shared" si="100"/>
        <v>279.39056561403834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42.852238658417718</v>
      </c>
      <c r="EW75" s="21">
        <f>EXP(-LN(2)/25)*EW74+(1-EXP(-LN(2)/25))/(LN(2)/25)*Calculateur!ER75*Calculateur!ET75*VLOOKUP('Données projet'!$B$15,Paramètres!$A$1:$I$89,3,0)*0.475*44/12</f>
        <v>34.261076463819762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77.113315122237481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-1.1368683772161603E-13</v>
      </c>
      <c r="FF75" s="17">
        <f>FE75*VLOOKUP('Données projet'!$B$16,Paramètres!$A$1:$I$89,3,0)*VLOOKUP('Données projet'!$B$16,Paramètres!$A$1:$I$89,5,0)</f>
        <v>-6.7984728957526396E-14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319.29539841078537</v>
      </c>
      <c r="FK75" s="59">
        <f t="shared" si="102"/>
        <v>327.26871144121412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109.044944693669</v>
      </c>
      <c r="FR75" s="21">
        <f>EXP(-LN(2)/25)*FR74+(1-EXP(-LN(2)/25))/(LN(2)/25)*Calculateur!FM75*Calculateur!FO75*VLOOKUP('Données projet'!$B$16,Paramètres!$A$1:$I$89,3,0)*0.475*44/12</f>
        <v>61.441642396663184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170.48658709033219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2.2737367544323206E-13</v>
      </c>
      <c r="GA75" s="17">
        <f>FZ75*VLOOKUP('Données projet'!$B$17,Paramètres!$A$1:$I$89,3,0)*VLOOKUP('Données projet'!$B$17,Paramètres!$A$1:$I$89,5,0)</f>
        <v>1.0049916454590858E-13</v>
      </c>
      <c r="GB75" s="13">
        <f t="shared" si="103"/>
        <v>1.5089081593838289E-12</v>
      </c>
      <c r="GC75" s="20">
        <f t="shared" si="79"/>
        <v>2.8030510891776262E-12</v>
      </c>
      <c r="GD75" s="59">
        <f t="shared" si="80"/>
        <v>265.84442162524334</v>
      </c>
      <c r="GE75" s="59">
        <f ca="1">AVERAGE(OFFSET($GD$3,0,0,'Données projet'!$E$17+1,1))-AVERAGE(OFFSET($H$3,0,0,'Données projet'!$E$17+1,1))</f>
        <v>342.89128067483233</v>
      </c>
      <c r="GF75" s="59">
        <f t="shared" si="104"/>
        <v>453.47615302202996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130.14159878588444</v>
      </c>
      <c r="GM75" s="21">
        <f>EXP(-LN(2)/25)*GM74+(1-EXP(-LN(2)/25))/(LN(2)/25)*Calculateur!GH75*Calculateur!GJ75*VLOOKUP('Données projet'!$B$17,Paramètres!$A$1:$I$89,3,0)*0.475*44/12</f>
        <v>84.175847516251665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214.31744630213609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62.503024079611073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9.782</v>
      </c>
      <c r="GU75" s="12">
        <f>IF('Données projet'!$A$270&gt;35,GU74+GT75-HC74,IF(A75&lt;'Données projet'!$A$270,$GR$205^A75,IF(A75='Données projet'!$A$270,'Données projet'!$B$270,GU74+GT75-HC74)))</f>
        <v>441.74400000000009</v>
      </c>
      <c r="GV75" s="17">
        <f>GU75*VLOOKUP('Données projet'!$B$18,Paramètres!$A$1:$I$89,3,0)*VLOOKUP('Données projet'!$B$18,Paramètres!$A$1:$I$89,5,0)</f>
        <v>264.16291200000006</v>
      </c>
      <c r="GW75" s="13">
        <f t="shared" si="105"/>
        <v>63.608920560680907</v>
      </c>
      <c r="GX75" s="20">
        <f t="shared" si="82"/>
        <v>570.86927504318601</v>
      </c>
      <c r="GY75" s="59">
        <f t="shared" si="83"/>
        <v>836.71369666842656</v>
      </c>
      <c r="GZ75" s="59">
        <f ca="1">AVERAGE(OFFSET($GY$3,0,0,'Données projet'!$E$18+1,1))-AVERAGE(OFFSET($H$3,0,0,'Données projet'!$E$18+1,1))</f>
        <v>375.89365709113105</v>
      </c>
      <c r="HA75" s="59">
        <f t="shared" si="106"/>
        <v>279.39056561403834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42.852238658417718</v>
      </c>
      <c r="HH75" s="21">
        <f>EXP(-LN(2)/25)*HH74+(1-EXP(-LN(2)/25))/(LN(2)/25)*Calculateur!HC75*Calculateur!HE75*VLOOKUP('Données projet'!$B$18,Paramètres!$A$1:$I$89,3,0)*0.475*44/12</f>
        <v>34.261076463819762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77.113315122237481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178.09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250.73252100000005</v>
      </c>
      <c r="P76" s="13">
        <f t="shared" si="87"/>
        <v>60.74277247950485</v>
      </c>
      <c r="Q76" s="20">
        <f t="shared" si="54"/>
        <v>542.48613614347107</v>
      </c>
      <c r="R76" s="59">
        <f t="shared" si="55"/>
        <v>808.80742893084721</v>
      </c>
      <c r="S76" s="59">
        <f ca="1">AVERAGE(OFFSET($R$3,0,0,'Données projet'!$E$9+1,1))-AVERAGE(OFFSET($H$3,0,0,'Données projet'!$E$9+1,1))</f>
        <v>631.31712308065664</v>
      </c>
      <c r="T76" s="59">
        <f t="shared" si="88"/>
        <v>290.92244624361285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21.448562754652389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21.448562754652389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8.4087499999999977</v>
      </c>
      <c r="AI76" s="13">
        <f>IF('Données projet'!$A$62&gt;35,AI75+AH76-AQ75,IF(A76&lt;'Données projet'!$A$62,$AF$205^A76,IF(A76='Données projet'!$A$62,'Données projet'!$B$62,AI75+AH76-AQ75)))</f>
        <v>225.08250000000015</v>
      </c>
      <c r="AJ76" s="13">
        <f>AI76*VLOOKUP('Données projet'!$B$10,Paramètres!$A$1:$I$89,3,0)*VLOOKUP('Données projet'!$B$10,Paramètres!$A$1:$I$89,5,0)</f>
        <v>189.60949800000014</v>
      </c>
      <c r="AK76" s="13">
        <f t="shared" si="89"/>
        <v>47.453608068490468</v>
      </c>
      <c r="AL76" s="20">
        <f t="shared" si="58"/>
        <v>412.88490973595452</v>
      </c>
      <c r="AM76" s="59">
        <f t="shared" si="59"/>
        <v>679.20620252333072</v>
      </c>
      <c r="AN76" s="59">
        <f ca="1">AVERAGE(OFFSET($AM$3,0,0,'Données projet'!$E$10+1,1))-AVERAGE(OFFSET($H$3,0,0,'Données projet'!$E$10+1,1))</f>
        <v>401.19166052471473</v>
      </c>
      <c r="AO76" s="59">
        <f t="shared" si="90"/>
        <v>271.10067497534271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17.567442394654865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17.567442394654865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280.9933425000001</v>
      </c>
      <c r="BF76" s="13">
        <f t="shared" si="91"/>
        <v>67.176887420430603</v>
      </c>
      <c r="BG76" s="20">
        <f t="shared" si="61"/>
        <v>606.39648377808339</v>
      </c>
      <c r="BH76" s="59">
        <f t="shared" si="62"/>
        <v>872.71777656545964</v>
      </c>
      <c r="BI76" s="59">
        <f ca="1">AVERAGE(OFFSET($BH$3,0,0,'Données projet'!$E$11+1,1))-AVERAGE(OFFSET($H$3,0,0,'Données projet'!$E$11+1,1))</f>
        <v>695.93700574708214</v>
      </c>
      <c r="BJ76" s="59">
        <f t="shared" si="92"/>
        <v>318.31690229208471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24.037182397455265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24.037182397455265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</v>
      </c>
      <c r="BY76" s="12">
        <f>IF('Données projet'!$A$114&gt;35,BY75+BX76-CG75,IF(A76&lt;'Données projet'!$A$114,$BV$205^A76,IF(A76='Données projet'!$A$114,'Données projet'!$B$114,BY75+BX76-CG75)))</f>
        <v>200.00000000000011</v>
      </c>
      <c r="BZ76" s="13">
        <f>BY76*VLOOKUP('Données projet'!$B$12,Paramètres!$A$1:$I$89,3,0)*VLOOKUP('Données projet'!$B$12,Paramètres!$A$1:$I$89,5,0)</f>
        <v>131.04000000000008</v>
      </c>
      <c r="CA76" s="13">
        <f t="shared" si="93"/>
        <v>34.236561238949918</v>
      </c>
      <c r="CB76" s="20">
        <f t="shared" si="64"/>
        <v>287.85667749117118</v>
      </c>
      <c r="CC76" s="59">
        <f t="shared" si="65"/>
        <v>554.17797027854738</v>
      </c>
      <c r="CD76" s="59">
        <f ca="1">AVERAGE(OFFSET($CC$3,0,0,'Données projet'!$E$12+1,1))-AVERAGE(OFFSET($H$3,0,0,'Données projet'!$E$12+1,1))</f>
        <v>260.25859566735949</v>
      </c>
      <c r="CE76" s="59">
        <f t="shared" si="94"/>
        <v>256.93649773468667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10.969918865601294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10.969918865601294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</v>
      </c>
      <c r="CT76" s="12">
        <f>IF('Données projet'!$A$140&gt;35,CT75+CS76-DB75,IF(A76&lt;'Données projet'!$A$140,$CQ$205^A76,IF(A76='Données projet'!$A$140,'Données projet'!$B$140,CT75+CS76-DB75)))</f>
        <v>200.00000000000011</v>
      </c>
      <c r="CU76" s="17">
        <f>CT76*VLOOKUP('Données projet'!$B$13,Paramètres!$A$1:$I$89,3,0)*VLOOKUP('Données projet'!$B$13,Paramètres!$A$1:$I$89,5,0)</f>
        <v>131.04000000000008</v>
      </c>
      <c r="CV76" s="13">
        <f t="shared" si="95"/>
        <v>34.236561238949918</v>
      </c>
      <c r="CW76" s="20">
        <f t="shared" si="67"/>
        <v>287.85667749117118</v>
      </c>
      <c r="CX76" s="59">
        <f t="shared" si="68"/>
        <v>554.17797027854738</v>
      </c>
      <c r="CY76" s="59">
        <f ca="1">AVERAGE(OFFSET($CX$3,0,0,'Données projet'!$E$13+1,1))-AVERAGE(OFFSET($H$3,0,0,'Données projet'!$E$13+1,1))</f>
        <v>260.25859566735949</v>
      </c>
      <c r="CZ76" s="59">
        <f t="shared" si="96"/>
        <v>256.93649773468667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10.969918865601294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10.969918865601294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6.5040000000000022</v>
      </c>
      <c r="DO76" s="12">
        <f>IF('Données projet'!$A$166&gt;35,DO75+DN76-DW75,IF(A76&lt;'Données projet'!$A$166,$DL$205^A76,IF(A76='Données projet'!$A$166,'Données projet'!$B$166,DO75+DN76-DW75)))</f>
        <v>310.03000000000009</v>
      </c>
      <c r="DP76" s="17">
        <f>DO76*VLOOKUP('Données projet'!$B$14,Paramètres!$A$1:$I$89,3,0)*VLOOKUP('Données projet'!$B$14,Paramètres!$A$1:$I$89,5,0)</f>
        <v>177.33716000000007</v>
      </c>
      <c r="DQ76" s="13">
        <f t="shared" si="97"/>
        <v>44.729240420490207</v>
      </c>
      <c r="DR76" s="20">
        <f t="shared" si="70"/>
        <v>386.76564739902051</v>
      </c>
      <c r="DS76" s="59">
        <f t="shared" si="71"/>
        <v>653.08694018639676</v>
      </c>
      <c r="DT76" s="59">
        <f ca="1">AVERAGE(OFFSET($DS$3,0,0,'Données projet'!$E$14+1,1))-AVERAGE(OFFSET($H$3,0,0,'Données projet'!$E$14+1,1))</f>
        <v>349.56396446903</v>
      </c>
      <c r="DU76" s="59">
        <f t="shared" si="98"/>
        <v>270.64279448634522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24.600629942813317</v>
      </c>
      <c r="EB76" s="21">
        <f>EXP(-LN(2)/25)*EB75+(1-EXP(-LN(2)/25))/(LN(2)/25)*Calculateur!DW76*Calculateur!DY76*VLOOKUP('Données projet'!$B$14,Paramètres!$A$1:$I$89,3,0)*0.475*44/12</f>
        <v>30.775600092382689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55.376230035196002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9.782</v>
      </c>
      <c r="EJ76" s="12">
        <f>IF('Données projet'!$A$192&gt;35,EJ75+EI76-ER75,IF(A76&lt;'Données projet'!$A$192,$EG$205^A76,IF(A76='Données projet'!$A$192,'Données projet'!$B$192,EJ75+EI76-ER75)))</f>
        <v>451.52600000000007</v>
      </c>
      <c r="EK76" s="17">
        <f>EJ76*VLOOKUP('Données projet'!$B$15,Paramètres!$A$1:$I$89,3,0)*VLOOKUP('Données projet'!$B$15,Paramètres!$A$1:$I$89,5,0)</f>
        <v>270.01254800000004</v>
      </c>
      <c r="EL76" s="13">
        <f t="shared" si="99"/>
        <v>64.851932282926271</v>
      </c>
      <c r="EM76" s="20">
        <f t="shared" si="73"/>
        <v>583.22230315943</v>
      </c>
      <c r="EN76" s="59">
        <f t="shared" si="74"/>
        <v>849.54359594680614</v>
      </c>
      <c r="EO76" s="59">
        <f ca="1">AVERAGE(OFFSET($EN$3,0,0,'Données projet'!$E$15+1,1))-AVERAGE(OFFSET($H$3,0,0,'Données projet'!$E$15+1,1))</f>
        <v>375.89365709113105</v>
      </c>
      <c r="EP76" s="59">
        <f t="shared" si="100"/>
        <v>279.39056561403834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42.011932395610884</v>
      </c>
      <c r="EW76" s="21">
        <f>EXP(-LN(2)/25)*EW75+(1-EXP(-LN(2)/25))/(LN(2)/25)*Calculateur!ER76*Calculateur!ET76*VLOOKUP('Données projet'!$B$15,Paramètres!$A$1:$I$89,3,0)*0.475*44/12</f>
        <v>33.324205526204906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75.336137921815791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-1.1368683772161603E-13</v>
      </c>
      <c r="FF76" s="17">
        <f>FE76*VLOOKUP('Données projet'!$B$16,Paramètres!$A$1:$I$89,3,0)*VLOOKUP('Données projet'!$B$16,Paramètres!$A$1:$I$89,5,0)</f>
        <v>-6.7984728957526396E-14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319.29539841078537</v>
      </c>
      <c r="FK76" s="59">
        <f t="shared" si="102"/>
        <v>327.26871144121412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106.90663983907501</v>
      </c>
      <c r="FR76" s="21">
        <f>EXP(-LN(2)/25)*FR75+(1-EXP(-LN(2)/25))/(LN(2)/25)*Calculateur!FM76*Calculateur!FO76*VLOOKUP('Données projet'!$B$16,Paramètres!$A$1:$I$89,3,0)*0.475*44/12</f>
        <v>59.761517454250885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166.66815729332589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2.2737367544323206E-13</v>
      </c>
      <c r="GA76" s="17">
        <f>FZ76*VLOOKUP('Données projet'!$B$17,Paramètres!$A$1:$I$89,3,0)*VLOOKUP('Données projet'!$B$17,Paramètres!$A$1:$I$89,5,0)</f>
        <v>1.0049916454590858E-13</v>
      </c>
      <c r="GB76" s="13">
        <f t="shared" si="103"/>
        <v>1.5089081593838289E-12</v>
      </c>
      <c r="GC76" s="20">
        <f t="shared" si="79"/>
        <v>2.8030510891776262E-12</v>
      </c>
      <c r="GD76" s="59">
        <f t="shared" si="80"/>
        <v>266.32129278737898</v>
      </c>
      <c r="GE76" s="59">
        <f ca="1">AVERAGE(OFFSET($GD$3,0,0,'Données projet'!$E$17+1,1))-AVERAGE(OFFSET($H$3,0,0,'Données projet'!$E$17+1,1))</f>
        <v>342.89128067483233</v>
      </c>
      <c r="GF76" s="59">
        <f t="shared" si="104"/>
        <v>453.47615302202996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127.58960141223052</v>
      </c>
      <c r="GM76" s="21">
        <f>EXP(-LN(2)/25)*GM75+(1-EXP(-LN(2)/25))/(LN(2)/25)*Calculateur!GH76*Calculateur!GJ76*VLOOKUP('Données projet'!$B$17,Paramètres!$A$1:$I$89,3,0)*0.475*44/12</f>
        <v>81.874054539304325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209.46365595153486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62.6330798511026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9.782</v>
      </c>
      <c r="GU76" s="12">
        <f>IF('Données projet'!$A$270&gt;35,GU75+GT76-HC75,IF(A76&lt;'Données projet'!$A$270,$GR$205^A76,IF(A76='Données projet'!$A$270,'Données projet'!$B$270,GU75+GT76-HC75)))</f>
        <v>451.52600000000007</v>
      </c>
      <c r="GV76" s="17">
        <f>GU76*VLOOKUP('Données projet'!$B$18,Paramètres!$A$1:$I$89,3,0)*VLOOKUP('Données projet'!$B$18,Paramètres!$A$1:$I$89,5,0)</f>
        <v>270.01254800000004</v>
      </c>
      <c r="GW76" s="13">
        <f t="shared" si="105"/>
        <v>64.851932282926271</v>
      </c>
      <c r="GX76" s="20">
        <f t="shared" si="82"/>
        <v>583.22230315943</v>
      </c>
      <c r="GY76" s="59">
        <f t="shared" si="83"/>
        <v>849.54359594680614</v>
      </c>
      <c r="GZ76" s="59">
        <f ca="1">AVERAGE(OFFSET($GY$3,0,0,'Données projet'!$E$18+1,1))-AVERAGE(OFFSET($H$3,0,0,'Données projet'!$E$18+1,1))</f>
        <v>375.89365709113105</v>
      </c>
      <c r="HA76" s="59">
        <f t="shared" si="106"/>
        <v>279.39056561403834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42.011932395610884</v>
      </c>
      <c r="HH76" s="21">
        <f>EXP(-LN(2)/25)*HH75+(1-EXP(-LN(2)/25))/(LN(2)/25)*Calculateur!HC76*Calculateur!HE76*VLOOKUP('Données projet'!$B$18,Paramètres!$A$1:$I$89,3,0)*0.475*44/12</f>
        <v>33.324205526204906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75.336137921815791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178.09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258.75470400000006</v>
      </c>
      <c r="P77" s="13">
        <f t="shared" si="87"/>
        <v>62.456857045748947</v>
      </c>
      <c r="Q77" s="20">
        <f t="shared" si="54"/>
        <v>559.4434688213463</v>
      </c>
      <c r="R77" s="59">
        <f t="shared" si="55"/>
        <v>826.23336012231925</v>
      </c>
      <c r="S77" s="59">
        <f ca="1">AVERAGE(OFFSET($R$3,0,0,'Données projet'!$E$9+1,1))-AVERAGE(OFFSET($H$3,0,0,'Données projet'!$E$9+1,1))</f>
        <v>631.31712308065664</v>
      </c>
      <c r="T77" s="59">
        <f t="shared" si="88"/>
        <v>290.92244624361285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33.259977338364926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33.259977338364926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8.4087499999999977</v>
      </c>
      <c r="AI77" s="13">
        <f>IF('Données projet'!$A$62&gt;35,AI76+AH77-AQ76,IF(A77&lt;'Données projet'!$A$62,$AF$205^A77,IF(A77='Données projet'!$A$62,'Données projet'!$B$62,AI76+AH77-AQ76)))</f>
        <v>233.49125000000015</v>
      </c>
      <c r="AJ77" s="13">
        <f>AI77*VLOOKUP('Données projet'!$B$10,Paramètres!$A$1:$I$89,3,0)*VLOOKUP('Données projet'!$B$10,Paramètres!$A$1:$I$89,5,0)</f>
        <v>196.69302900000017</v>
      </c>
      <c r="AK77" s="13">
        <f t="shared" si="89"/>
        <v>49.016691856527288</v>
      </c>
      <c r="AL77" s="20">
        <f t="shared" si="58"/>
        <v>427.94443049178523</v>
      </c>
      <c r="AM77" s="59">
        <f t="shared" si="59"/>
        <v>694.73432179275824</v>
      </c>
      <c r="AN77" s="59">
        <f ca="1">AVERAGE(OFFSET($AM$3,0,0,'Données projet'!$E$10+1,1))-AVERAGE(OFFSET($H$3,0,0,'Données projet'!$E$10+1,1))</f>
        <v>401.19166052471473</v>
      </c>
      <c r="AO77" s="59">
        <f t="shared" si="90"/>
        <v>271.10067497534271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17.222955564377518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17.222955564377518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289.98372000000012</v>
      </c>
      <c r="BF77" s="13">
        <f t="shared" si="91"/>
        <v>69.072534609971271</v>
      </c>
      <c r="BG77" s="20">
        <f t="shared" si="61"/>
        <v>625.35631011236683</v>
      </c>
      <c r="BH77" s="59">
        <f t="shared" si="62"/>
        <v>892.14620141333978</v>
      </c>
      <c r="BI77" s="59">
        <f ca="1">AVERAGE(OFFSET($BH$3,0,0,'Données projet'!$E$11+1,1))-AVERAGE(OFFSET($H$3,0,0,'Données projet'!$E$11+1,1))</f>
        <v>695.93700574708214</v>
      </c>
      <c r="BJ77" s="59">
        <f t="shared" si="92"/>
        <v>318.31690229208471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37.274112534374488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37.274112534374488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</v>
      </c>
      <c r="BY77" s="12">
        <f>IF('Données projet'!$A$114&gt;35,BY76+BX77-CG76,IF(A77&lt;'Données projet'!$A$114,$BV$205^A77,IF(A77='Données projet'!$A$114,'Données projet'!$B$114,BY76+BX77-CG76)))</f>
        <v>204.00000000000011</v>
      </c>
      <c r="BZ77" s="13">
        <f>BY77*VLOOKUP('Données projet'!$B$12,Paramètres!$A$1:$I$89,3,0)*VLOOKUP('Données projet'!$B$12,Paramètres!$A$1:$I$89,5,0)</f>
        <v>133.66080000000008</v>
      </c>
      <c r="CA77" s="13">
        <f t="shared" si="93"/>
        <v>34.840890682716747</v>
      </c>
      <c r="CB77" s="20">
        <f t="shared" si="64"/>
        <v>293.47377793906509</v>
      </c>
      <c r="CC77" s="59">
        <f t="shared" si="65"/>
        <v>560.2636692400381</v>
      </c>
      <c r="CD77" s="59">
        <f ca="1">AVERAGE(OFFSET($CC$3,0,0,'Données projet'!$E$12+1,1))-AVERAGE(OFFSET($H$3,0,0,'Données projet'!$E$12+1,1))</f>
        <v>260.25859566735949</v>
      </c>
      <c r="CE77" s="59">
        <f t="shared" si="94"/>
        <v>256.93649773468667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10.754805447636679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10.754805447636679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</v>
      </c>
      <c r="CT77" s="12">
        <f>IF('Données projet'!$A$140&gt;35,CT76+CS77-DB76,IF(A77&lt;'Données projet'!$A$140,$CQ$205^A77,IF(A77='Données projet'!$A$140,'Données projet'!$B$140,CT76+CS77-DB76)))</f>
        <v>204.00000000000011</v>
      </c>
      <c r="CU77" s="17">
        <f>CT77*VLOOKUP('Données projet'!$B$13,Paramètres!$A$1:$I$89,3,0)*VLOOKUP('Données projet'!$B$13,Paramètres!$A$1:$I$89,5,0)</f>
        <v>133.66080000000008</v>
      </c>
      <c r="CV77" s="13">
        <f t="shared" si="95"/>
        <v>34.840890682716747</v>
      </c>
      <c r="CW77" s="20">
        <f t="shared" si="67"/>
        <v>293.47377793906509</v>
      </c>
      <c r="CX77" s="59">
        <f t="shared" si="68"/>
        <v>560.2636692400381</v>
      </c>
      <c r="CY77" s="59">
        <f ca="1">AVERAGE(OFFSET($CX$3,0,0,'Données projet'!$E$13+1,1))-AVERAGE(OFFSET($H$3,0,0,'Données projet'!$E$13+1,1))</f>
        <v>260.25859566735949</v>
      </c>
      <c r="CZ77" s="59">
        <f t="shared" si="96"/>
        <v>256.93649773468667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10.754805447636679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10.754805447636679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6.5040000000000022</v>
      </c>
      <c r="DO77" s="12">
        <f>IF('Données projet'!$A$166&gt;35,DO76+DN77-DW76,IF(A77&lt;'Données projet'!$A$166,$DL$205^A77,IF(A77='Données projet'!$A$166,'Données projet'!$B$166,DO76+DN77-DW76)))</f>
        <v>316.53400000000011</v>
      </c>
      <c r="DP77" s="17">
        <f>DO77*VLOOKUP('Données projet'!$B$14,Paramètres!$A$1:$I$89,3,0)*VLOOKUP('Données projet'!$B$14,Paramètres!$A$1:$I$89,5,0)</f>
        <v>181.05744800000008</v>
      </c>
      <c r="DQ77" s="13">
        <f t="shared" si="97"/>
        <v>45.557368601305818</v>
      </c>
      <c r="DR77" s="20">
        <f t="shared" si="70"/>
        <v>394.6874722472744</v>
      </c>
      <c r="DS77" s="59">
        <f t="shared" si="71"/>
        <v>661.47736354824735</v>
      </c>
      <c r="DT77" s="59">
        <f ca="1">AVERAGE(OFFSET($DS$3,0,0,'Données projet'!$E$14+1,1))-AVERAGE(OFFSET($H$3,0,0,'Données projet'!$E$14+1,1))</f>
        <v>349.56396446903</v>
      </c>
      <c r="DU77" s="59">
        <f t="shared" si="98"/>
        <v>270.64279448634522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24.118226594537401</v>
      </c>
      <c r="EB77" s="21">
        <f>EXP(-LN(2)/25)*EB76+(1-EXP(-LN(2)/25))/(LN(2)/25)*Calculateur!DW77*Calculateur!DY77*VLOOKUP('Données projet'!$B$14,Paramètres!$A$1:$I$89,3,0)*0.475*44/12</f>
        <v>29.934039689438013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54.052266283975413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9.782</v>
      </c>
      <c r="EJ77" s="12">
        <f>IF('Données projet'!$A$192&gt;35,EJ76+EI77-ER76,IF(A77&lt;'Données projet'!$A$192,$EG$205^A77,IF(A77='Données projet'!$A$192,'Données projet'!$B$192,EJ76+EI77-ER76)))</f>
        <v>461.30800000000005</v>
      </c>
      <c r="EK77" s="17">
        <f>EJ77*VLOOKUP('Données projet'!$B$15,Paramètres!$A$1:$I$89,3,0)*VLOOKUP('Données projet'!$B$15,Paramètres!$A$1:$I$89,5,0)</f>
        <v>275.86218400000007</v>
      </c>
      <c r="EL77" s="13">
        <f t="shared" si="99"/>
        <v>66.091813160377626</v>
      </c>
      <c r="EM77" s="20">
        <f t="shared" si="73"/>
        <v>595.5698783876577</v>
      </c>
      <c r="EN77" s="59">
        <f t="shared" si="74"/>
        <v>862.35976968863065</v>
      </c>
      <c r="EO77" s="59">
        <f ca="1">AVERAGE(OFFSET($EN$3,0,0,'Données projet'!$E$15+1,1))-AVERAGE(OFFSET($H$3,0,0,'Données projet'!$E$15+1,1))</f>
        <v>375.89365709113105</v>
      </c>
      <c r="EP77" s="59">
        <f t="shared" si="100"/>
        <v>279.39056561403834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41.188104026081483</v>
      </c>
      <c r="EW77" s="21">
        <f>EXP(-LN(2)/25)*EW76+(1-EXP(-LN(2)/25))/(LN(2)/25)*Calculateur!ER77*Calculateur!ET77*VLOOKUP('Données projet'!$B$15,Paramètres!$A$1:$I$89,3,0)*0.475*44/12</f>
        <v>32.412953373647028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73.601057399728518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-1.1368683772161603E-13</v>
      </c>
      <c r="FF77" s="17">
        <f>FE77*VLOOKUP('Données projet'!$B$16,Paramètres!$A$1:$I$89,3,0)*VLOOKUP('Données projet'!$B$16,Paramètres!$A$1:$I$89,5,0)</f>
        <v>-6.7984728957526396E-14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319.29539841078537</v>
      </c>
      <c r="FK77" s="59">
        <f t="shared" si="102"/>
        <v>327.26871144121412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104.81026583844243</v>
      </c>
      <c r="FR77" s="21">
        <f>EXP(-LN(2)/25)*FR76+(1-EXP(-LN(2)/25))/(LN(2)/25)*Calculateur!FM77*Calculateur!FO77*VLOOKUP('Données projet'!$B$16,Paramètres!$A$1:$I$89,3,0)*0.475*44/12</f>
        <v>58.127335616742776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162.93760145518522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2.2737367544323206E-13</v>
      </c>
      <c r="GA77" s="17">
        <f>FZ77*VLOOKUP('Données projet'!$B$17,Paramètres!$A$1:$I$89,3,0)*VLOOKUP('Données projet'!$B$17,Paramètres!$A$1:$I$89,5,0)</f>
        <v>1.0049916454590858E-13</v>
      </c>
      <c r="GB77" s="13">
        <f t="shared" si="103"/>
        <v>1.5089081593838289E-12</v>
      </c>
      <c r="GC77" s="20">
        <f t="shared" si="79"/>
        <v>2.8030510891776262E-12</v>
      </c>
      <c r="GD77" s="59">
        <f t="shared" si="80"/>
        <v>266.78989130097574</v>
      </c>
      <c r="GE77" s="59">
        <f ca="1">AVERAGE(OFFSET($GD$3,0,0,'Données projet'!$E$17+1,1))-AVERAGE(OFFSET($H$3,0,0,'Données projet'!$E$17+1,1))</f>
        <v>342.89128067483233</v>
      </c>
      <c r="GF77" s="59">
        <f t="shared" si="104"/>
        <v>453.47615302202996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125.08764715050926</v>
      </c>
      <c r="GM77" s="21">
        <f>EXP(-LN(2)/25)*GM76+(1-EXP(-LN(2)/25))/(LN(2)/25)*Calculateur!GH77*Calculateur!GJ77*VLOOKUP('Données projet'!$B$17,Paramètres!$A$1:$I$89,3,0)*0.475*44/12</f>
        <v>79.63520421235765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204.72285136286689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62.760879445719894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9.782</v>
      </c>
      <c r="GU77" s="12">
        <f>IF('Données projet'!$A$270&gt;35,GU76+GT77-HC76,IF(A77&lt;'Données projet'!$A$270,$GR$205^A77,IF(A77='Données projet'!$A$270,'Données projet'!$B$270,GU76+GT77-HC76)))</f>
        <v>461.30800000000005</v>
      </c>
      <c r="GV77" s="17">
        <f>GU77*VLOOKUP('Données projet'!$B$18,Paramètres!$A$1:$I$89,3,0)*VLOOKUP('Données projet'!$B$18,Paramètres!$A$1:$I$89,5,0)</f>
        <v>275.86218400000007</v>
      </c>
      <c r="GW77" s="13">
        <f t="shared" si="105"/>
        <v>66.091813160377626</v>
      </c>
      <c r="GX77" s="20">
        <f t="shared" si="82"/>
        <v>595.5698783876577</v>
      </c>
      <c r="GY77" s="59">
        <f t="shared" si="83"/>
        <v>862.35976968863065</v>
      </c>
      <c r="GZ77" s="59">
        <f ca="1">AVERAGE(OFFSET($GY$3,0,0,'Données projet'!$E$18+1,1))-AVERAGE(OFFSET($H$3,0,0,'Données projet'!$E$18+1,1))</f>
        <v>375.89365709113105</v>
      </c>
      <c r="HA77" s="59">
        <f t="shared" si="106"/>
        <v>279.39056561403834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41.188104026081483</v>
      </c>
      <c r="HH77" s="21">
        <f>EXP(-LN(2)/25)*HH76+(1-EXP(-LN(2)/25))/(LN(2)/25)*Calculateur!HC77*Calculateur!HE77*VLOOKUP('Données projet'!$B$18,Paramètres!$A$1:$I$89,3,0)*0.475*44/12</f>
        <v>32.412953373647028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73.601057399728518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178.09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223.71813360000007</v>
      </c>
      <c r="P78" s="13">
        <f t="shared" si="87"/>
        <v>54.92221376571495</v>
      </c>
      <c r="Q78" s="20">
        <f t="shared" si="54"/>
        <v>485.29860499528695</v>
      </c>
      <c r="R78" s="59">
        <f t="shared" si="55"/>
        <v>752.54896567327501</v>
      </c>
      <c r="S78" s="59">
        <f ca="1">AVERAGE(OFFSET($R$3,0,0,'Données projet'!$E$9+1,1))-AVERAGE(OFFSET($H$3,0,0,'Données projet'!$E$9+1,1))</f>
        <v>631.31712308065664</v>
      </c>
      <c r="T78" s="59">
        <f t="shared" si="88"/>
        <v>290.92244624361285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32.607769469342635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32.607769469342635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241.9</v>
      </c>
      <c r="AG78" s="12">
        <f>VLOOKUP(A78,'Données projet'!$A$61:$I$81,9,0)</f>
        <v>8.4087499999999977</v>
      </c>
      <c r="AH78" s="12">
        <f t="array" ref="AH78">INDEX(AG:AG,MIN(IF(ISNUMBER(AG78:AG274),ROW(AG78:AG274),"")))</f>
        <v>8.4087499999999977</v>
      </c>
      <c r="AI78" s="13">
        <f>IF('Données projet'!$A$62&gt;35,AI77+AH78-AQ77,IF(A78&lt;'Données projet'!$A$62,$AF$205^A78,IF(A78='Données projet'!$A$62,'Données projet'!$B$62,AI77+AH78-AQ77)))</f>
        <v>241.90000000000015</v>
      </c>
      <c r="AJ78" s="13">
        <f>AI78*VLOOKUP('Données projet'!$B$10,Paramètres!$A$1:$I$89,3,0)*VLOOKUP('Données projet'!$B$10,Paramètres!$A$1:$I$89,5,0)</f>
        <v>203.77656000000016</v>
      </c>
      <c r="AK78" s="13">
        <f t="shared" si="89"/>
        <v>50.573235530903794</v>
      </c>
      <c r="AL78" s="20">
        <f t="shared" si="58"/>
        <v>442.99256054965764</v>
      </c>
      <c r="AM78" s="59">
        <f t="shared" si="59"/>
        <v>710.24292122764575</v>
      </c>
      <c r="AN78" s="59">
        <f ca="1">AVERAGE(OFFSET($AM$3,0,0,'Données projet'!$E$10+1,1))-AVERAGE(OFFSET($H$3,0,0,'Données projet'!$E$10+1,1))</f>
        <v>401.19166052471473</v>
      </c>
      <c r="AO78" s="59">
        <f t="shared" si="90"/>
        <v>271.10067497534271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38.909999999999997</v>
      </c>
      <c r="AR78" s="16">
        <f>IF(ISNA(VLOOKUP(A78,'Données projet'!$A$61:$I$81,5,0)),0%,VLOOKUP(A78,'Données projet'!$A$61:$I$81,5,0)*VLOOKUP('Données projet'!$B$10,Paramètres!$A$1:$I$89,7,0))</f>
        <v>0.25800000000000001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26.233820194957786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26.233820194957786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250.7185980000001</v>
      </c>
      <c r="BF78" s="13">
        <f t="shared" si="91"/>
        <v>60.739792084155006</v>
      </c>
      <c r="BG78" s="20">
        <f t="shared" si="61"/>
        <v>542.45669606323679</v>
      </c>
      <c r="BH78" s="59">
        <f t="shared" si="62"/>
        <v>809.70705674122496</v>
      </c>
      <c r="BI78" s="59">
        <f ca="1">AVERAGE(OFFSET($BH$3,0,0,'Données projet'!$E$11+1,1))-AVERAGE(OFFSET($H$3,0,0,'Données projet'!$E$11+1,1))</f>
        <v>695.93700574708214</v>
      </c>
      <c r="BJ78" s="59">
        <f t="shared" si="92"/>
        <v>318.31690229208471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36.543189922539156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36.543189922539156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208</v>
      </c>
      <c r="BW78" s="12">
        <f>VLOOKUP(A78,'Données projet'!$A$113:$I$133,9,0)</f>
        <v>4</v>
      </c>
      <c r="BX78" s="12">
        <f t="array" ref="BX78">INDEX(BW:BW,MIN(IF(ISNUMBER(BW78:BW274),ROW(BW78:BW274),"")))</f>
        <v>4</v>
      </c>
      <c r="BY78" s="12">
        <f>IF('Données projet'!$A$114&gt;35,BY77+BX78-CG77,IF(A78&lt;'Données projet'!$A$114,$BV$205^A78,IF(A78='Données projet'!$A$114,'Données projet'!$B$114,BY77+BX78-CG77)))</f>
        <v>208.00000000000011</v>
      </c>
      <c r="BZ78" s="13">
        <f>BY78*VLOOKUP('Données projet'!$B$12,Paramètres!$A$1:$I$89,3,0)*VLOOKUP('Données projet'!$B$12,Paramètres!$A$1:$I$89,5,0)</f>
        <v>136.28160000000008</v>
      </c>
      <c r="CA78" s="13">
        <f t="shared" si="93"/>
        <v>35.443842312892279</v>
      </c>
      <c r="CB78" s="20">
        <f t="shared" si="64"/>
        <v>299.08847869495418</v>
      </c>
      <c r="CC78" s="59">
        <f t="shared" si="65"/>
        <v>566.33883937294229</v>
      </c>
      <c r="CD78" s="59">
        <f ca="1">AVERAGE(OFFSET($CC$3,0,0,'Données projet'!$E$12+1,1))-AVERAGE(OFFSET($H$3,0,0,'Données projet'!$E$12+1,1))</f>
        <v>260.25859566735949</v>
      </c>
      <c r="CE78" s="59">
        <f t="shared" si="94"/>
        <v>256.93649773468667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16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13.533837979933836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13.533837979933836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208</v>
      </c>
      <c r="CR78" s="12">
        <f>VLOOKUP(A78,'Données projet'!$A$139:$I$159,9,0)</f>
        <v>4</v>
      </c>
      <c r="CS78" s="12">
        <f t="array" ref="CS78">INDEX(CR:CR,MIN(IF(ISNUMBER(CR78:CR274),ROW(CR78:CR274),"")))</f>
        <v>4</v>
      </c>
      <c r="CT78" s="12">
        <f>IF('Données projet'!$A$140&gt;35,CT77+CS78-DB77,IF(A78&lt;'Données projet'!$A$140,$CQ$205^A78,IF(A78='Données projet'!$A$140,'Données projet'!$B$140,CT77+CS78-DB77)))</f>
        <v>208.00000000000011</v>
      </c>
      <c r="CU78" s="17">
        <f>CT78*VLOOKUP('Données projet'!$B$13,Paramètres!$A$1:$I$89,3,0)*VLOOKUP('Données projet'!$B$13,Paramètres!$A$1:$I$89,5,0)</f>
        <v>136.28160000000008</v>
      </c>
      <c r="CV78" s="13">
        <f t="shared" si="95"/>
        <v>35.443842312892279</v>
      </c>
      <c r="CW78" s="20">
        <f t="shared" si="67"/>
        <v>299.08847869495418</v>
      </c>
      <c r="CX78" s="59">
        <f t="shared" si="68"/>
        <v>566.33883937294229</v>
      </c>
      <c r="CY78" s="59">
        <f ca="1">AVERAGE(OFFSET($CX$3,0,0,'Données projet'!$E$13+1,1))-AVERAGE(OFFSET($H$3,0,0,'Données projet'!$E$13+1,1))</f>
        <v>260.25859566735949</v>
      </c>
      <c r="CZ78" s="59">
        <f t="shared" si="96"/>
        <v>256.93649773468667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16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13.533837979933836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13.533837979933836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6.5040000000000022</v>
      </c>
      <c r="DO78" s="12">
        <f>IF('Données projet'!$A$166&gt;35,DO77+DN78-DW77,IF(A78&lt;'Données projet'!$A$166,$DL$205^A78,IF(A78='Données projet'!$A$166,'Données projet'!$B$166,DO77+DN78-DW77)))</f>
        <v>323.03800000000012</v>
      </c>
      <c r="DP78" s="17">
        <f>DO78*VLOOKUP('Données projet'!$B$14,Paramètres!$A$1:$I$89,3,0)*VLOOKUP('Données projet'!$B$14,Paramètres!$A$1:$I$89,5,0)</f>
        <v>184.77773600000009</v>
      </c>
      <c r="DQ78" s="13">
        <f t="shared" si="97"/>
        <v>46.383518338131076</v>
      </c>
      <c r="DR78" s="20">
        <f t="shared" si="70"/>
        <v>402.60585130557843</v>
      </c>
      <c r="DS78" s="59">
        <f t="shared" si="71"/>
        <v>669.85621198356648</v>
      </c>
      <c r="DT78" s="59">
        <f ca="1">AVERAGE(OFFSET($DS$3,0,0,'Données projet'!$E$14+1,1))-AVERAGE(OFFSET($H$3,0,0,'Données projet'!$E$14+1,1))</f>
        <v>349.56396446903</v>
      </c>
      <c r="DU78" s="59">
        <f t="shared" si="98"/>
        <v>270.64279448634522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23.645282881684189</v>
      </c>
      <c r="EB78" s="21">
        <f>EXP(-LN(2)/25)*EB77+(1-EXP(-LN(2)/25))/(LN(2)/25)*Calculateur!DW78*Calculateur!DY78*VLOOKUP('Données projet'!$B$14,Paramètres!$A$1:$I$89,3,0)*0.475*44/12</f>
        <v>29.115491799967597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52.760774681651782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9.782</v>
      </c>
      <c r="EJ78" s="12">
        <f>IF('Données projet'!$A$192&gt;35,EJ77+EI78-ER77,IF(A78&lt;'Données projet'!$A$192,$EG$205^A78,IF(A78='Données projet'!$A$192,'Données projet'!$B$192,EJ77+EI78-ER77)))</f>
        <v>471.09000000000003</v>
      </c>
      <c r="EK78" s="17">
        <f>EJ78*VLOOKUP('Données projet'!$B$15,Paramètres!$A$1:$I$89,3,0)*VLOOKUP('Données projet'!$B$15,Paramètres!$A$1:$I$89,5,0)</f>
        <v>281.71182000000005</v>
      </c>
      <c r="EL78" s="13">
        <f t="shared" si="99"/>
        <v>67.328637229880215</v>
      </c>
      <c r="EM78" s="20">
        <f t="shared" si="73"/>
        <v>607.91212967537479</v>
      </c>
      <c r="EN78" s="59">
        <f t="shared" si="74"/>
        <v>875.16249035336295</v>
      </c>
      <c r="EO78" s="59">
        <f ca="1">AVERAGE(OFFSET($EN$3,0,0,'Données projet'!$E$15+1,1))-AVERAGE(OFFSET($H$3,0,0,'Données projet'!$E$15+1,1))</f>
        <v>375.89365709113105</v>
      </c>
      <c r="EP78" s="59">
        <f t="shared" si="100"/>
        <v>279.39056561403834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40.380430428392863</v>
      </c>
      <c r="EW78" s="21">
        <f>EXP(-LN(2)/25)*EW77+(1-EXP(-LN(2)/25))/(LN(2)/25)*Calculateur!ER78*Calculateur!ET78*VLOOKUP('Données projet'!$B$15,Paramètres!$A$1:$I$89,3,0)*0.475*44/12</f>
        <v>31.526619459121513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71.907049887514376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-1.1368683772161603E-13</v>
      </c>
      <c r="FF78" s="17">
        <f>FE78*VLOOKUP('Données projet'!$B$16,Paramètres!$A$1:$I$89,3,0)*VLOOKUP('Données projet'!$B$16,Paramètres!$A$1:$I$89,5,0)</f>
        <v>-6.7984728957526396E-14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319.29539841078537</v>
      </c>
      <c r="FK78" s="59">
        <f t="shared" si="102"/>
        <v>327.26871144121412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102.75500045330038</v>
      </c>
      <c r="FR78" s="21">
        <f>EXP(-LN(2)/25)*FR77+(1-EXP(-LN(2)/25))/(LN(2)/25)*Calculateur!FM78*Calculateur!FO78*VLOOKUP('Données projet'!$B$16,Paramètres!$A$1:$I$89,3,0)*0.475*44/12</f>
        <v>56.537840567519218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159.29284102081959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2.2737367544323206E-13</v>
      </c>
      <c r="GA78" s="17">
        <f>FZ78*VLOOKUP('Données projet'!$B$17,Paramètres!$A$1:$I$89,3,0)*VLOOKUP('Données projet'!$B$17,Paramètres!$A$1:$I$89,5,0)</f>
        <v>1.0049916454590858E-13</v>
      </c>
      <c r="GB78" s="13">
        <f t="shared" si="103"/>
        <v>1.5089081593838289E-12</v>
      </c>
      <c r="GC78" s="20">
        <f t="shared" si="79"/>
        <v>2.8030510891776262E-12</v>
      </c>
      <c r="GD78" s="59">
        <f t="shared" si="80"/>
        <v>267.2503606779909</v>
      </c>
      <c r="GE78" s="59">
        <f ca="1">AVERAGE(OFFSET($GD$3,0,0,'Données projet'!$E$17+1,1))-AVERAGE(OFFSET($H$3,0,0,'Données projet'!$E$17+1,1))</f>
        <v>342.89128067483233</v>
      </c>
      <c r="GF78" s="59">
        <f t="shared" si="104"/>
        <v>453.47615302202996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122.63475468581893</v>
      </c>
      <c r="GM78" s="21">
        <f>EXP(-LN(2)/25)*GM77+(1-EXP(-LN(2)/25))/(LN(2)/25)*Calculateur!GH78*Calculateur!GJ78*VLOOKUP('Données projet'!$B$17,Paramètres!$A$1:$I$89,3,0)*0.475*44/12</f>
        <v>77.457575365337348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200.0923300511563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62.886462003087672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9.782</v>
      </c>
      <c r="GU78" s="12">
        <f>IF('Données projet'!$A$270&gt;35,GU77+GT78-HC77,IF(A78&lt;'Données projet'!$A$270,$GR$205^A78,IF(A78='Données projet'!$A$270,'Données projet'!$B$270,GU77+GT78-HC77)))</f>
        <v>471.09000000000003</v>
      </c>
      <c r="GV78" s="17">
        <f>GU78*VLOOKUP('Données projet'!$B$18,Paramètres!$A$1:$I$89,3,0)*VLOOKUP('Données projet'!$B$18,Paramètres!$A$1:$I$89,5,0)</f>
        <v>281.71182000000005</v>
      </c>
      <c r="GW78" s="13">
        <f t="shared" si="105"/>
        <v>67.328637229880215</v>
      </c>
      <c r="GX78" s="20">
        <f t="shared" si="82"/>
        <v>607.91212967537479</v>
      </c>
      <c r="GY78" s="59">
        <f t="shared" si="83"/>
        <v>875.16249035336295</v>
      </c>
      <c r="GZ78" s="59">
        <f ca="1">AVERAGE(OFFSET($GY$3,0,0,'Données projet'!$E$18+1,1))-AVERAGE(OFFSET($H$3,0,0,'Données projet'!$E$18+1,1))</f>
        <v>375.89365709113105</v>
      </c>
      <c r="HA78" s="59">
        <f t="shared" si="106"/>
        <v>279.39056561403834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40.380430428392863</v>
      </c>
      <c r="HH78" s="21">
        <f>EXP(-LN(2)/25)*HH77+(1-EXP(-LN(2)/25))/(LN(2)/25)*Calculateur!HC78*Calculateur!HE78*VLOOKUP('Données projet'!$B$18,Paramètres!$A$1:$I$89,3,0)*0.475*44/12</f>
        <v>31.526619459121513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71.907049887514376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178.09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231.56908320000005</v>
      </c>
      <c r="P79" s="13">
        <f t="shared" si="87"/>
        <v>56.621819638037671</v>
      </c>
      <c r="Q79" s="20">
        <f t="shared" si="54"/>
        <v>501.93248910958238</v>
      </c>
      <c r="R79" s="59">
        <f t="shared" si="55"/>
        <v>769.63533105034981</v>
      </c>
      <c r="S79" s="59">
        <f ca="1">AVERAGE(OFFSET($R$3,0,0,'Données projet'!$E$9+1,1))-AVERAGE(OFFSET($H$3,0,0,'Données projet'!$E$9+1,1))</f>
        <v>631.31712308065664</v>
      </c>
      <c r="T79" s="59">
        <f t="shared" si="88"/>
        <v>290.92244624361285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31.968350998824349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31.968350998824349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8.2100000000000009</v>
      </c>
      <c r="AI79" s="13">
        <f>IF('Données projet'!$A$62&gt;35,AI78+AH79-AQ78,IF(A79&lt;'Données projet'!$A$62,$AF$205^A79,IF(A79='Données projet'!$A$62,'Données projet'!$B$62,AI78+AH79-AQ78)))</f>
        <v>211.20000000000016</v>
      </c>
      <c r="AJ79" s="13">
        <f>AI79*VLOOKUP('Données projet'!$B$10,Paramètres!$A$1:$I$89,3,0)*VLOOKUP('Données projet'!$B$10,Paramètres!$A$1:$I$89,5,0)</f>
        <v>177.91488000000015</v>
      </c>
      <c r="AK79" s="13">
        <f t="shared" si="89"/>
        <v>44.857971269354906</v>
      </c>
      <c r="AL79" s="20">
        <f t="shared" si="58"/>
        <v>387.99604929412675</v>
      </c>
      <c r="AM79" s="59">
        <f t="shared" si="59"/>
        <v>655.69889123489418</v>
      </c>
      <c r="AN79" s="59">
        <f ca="1">AVERAGE(OFFSET($AM$3,0,0,'Données projet'!$E$10+1,1))-AVERAGE(OFFSET($H$3,0,0,'Données projet'!$E$10+1,1))</f>
        <v>401.19166052471473</v>
      </c>
      <c r="AO79" s="59">
        <f t="shared" si="90"/>
        <v>271.10067497534271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25.719390981985011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25.719390981985011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259.51707600000009</v>
      </c>
      <c r="BF79" s="13">
        <f t="shared" si="91"/>
        <v>62.619426939193161</v>
      </c>
      <c r="BG79" s="20">
        <f t="shared" si="61"/>
        <v>561.05440928576149</v>
      </c>
      <c r="BH79" s="59">
        <f t="shared" si="62"/>
        <v>828.75725122652898</v>
      </c>
      <c r="BI79" s="59">
        <f ca="1">AVERAGE(OFFSET($BH$3,0,0,'Données projet'!$E$11+1,1))-AVERAGE(OFFSET($H$3,0,0,'Données projet'!$E$11+1,1))</f>
        <v>695.93700574708214</v>
      </c>
      <c r="BJ79" s="59">
        <f t="shared" si="92"/>
        <v>318.31690229208471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35.826600257303149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35.826600257303149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3.8</v>
      </c>
      <c r="BY79" s="12">
        <f>IF('Données projet'!$A$114&gt;35,BY78+BX79-CG78,IF(A79&lt;'Données projet'!$A$114,$BV$205^A79,IF(A79='Données projet'!$A$114,'Données projet'!$B$114,BY78+BX79-CG78)))</f>
        <v>195.80000000000013</v>
      </c>
      <c r="BZ79" s="13">
        <f>BY79*VLOOKUP('Données projet'!$B$12,Paramètres!$A$1:$I$89,3,0)*VLOOKUP('Données projet'!$B$12,Paramètres!$A$1:$I$89,5,0)</f>
        <v>128.28816000000009</v>
      </c>
      <c r="CA79" s="13">
        <f t="shared" si="93"/>
        <v>33.600498728056088</v>
      </c>
      <c r="CB79" s="20">
        <f t="shared" si="64"/>
        <v>281.95608061803119</v>
      </c>
      <c r="CC79" s="59">
        <f t="shared" si="65"/>
        <v>549.65892255879862</v>
      </c>
      <c r="CD79" s="59">
        <f ca="1">AVERAGE(OFFSET($CC$3,0,0,'Données projet'!$E$12+1,1))-AVERAGE(OFFSET($H$3,0,0,'Données projet'!$E$12+1,1))</f>
        <v>260.25859566735949</v>
      </c>
      <c r="CE79" s="59">
        <f t="shared" si="94"/>
        <v>256.93649773468667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13.268447671973405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13.268447671973405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3.8</v>
      </c>
      <c r="CT79" s="12">
        <f>IF('Données projet'!$A$140&gt;35,CT78+CS79-DB78,IF(A79&lt;'Données projet'!$A$140,$CQ$205^A79,IF(A79='Données projet'!$A$140,'Données projet'!$B$140,CT78+CS79-DB78)))</f>
        <v>195.80000000000013</v>
      </c>
      <c r="CU79" s="17">
        <f>CT79*VLOOKUP('Données projet'!$B$13,Paramètres!$A$1:$I$89,3,0)*VLOOKUP('Données projet'!$B$13,Paramètres!$A$1:$I$89,5,0)</f>
        <v>128.28816000000009</v>
      </c>
      <c r="CV79" s="13">
        <f t="shared" si="95"/>
        <v>33.600498728056088</v>
      </c>
      <c r="CW79" s="20">
        <f t="shared" si="67"/>
        <v>281.95608061803119</v>
      </c>
      <c r="CX79" s="59">
        <f t="shared" si="68"/>
        <v>549.65892255879862</v>
      </c>
      <c r="CY79" s="59">
        <f ca="1">AVERAGE(OFFSET($CX$3,0,0,'Données projet'!$E$13+1,1))-AVERAGE(OFFSET($H$3,0,0,'Données projet'!$E$13+1,1))</f>
        <v>260.25859566735949</v>
      </c>
      <c r="CZ79" s="59">
        <f t="shared" si="96"/>
        <v>256.93649773468667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13.268447671973405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13.268447671973405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6.5040000000000022</v>
      </c>
      <c r="DO79" s="12">
        <f>IF('Données projet'!$A$166&gt;35,DO78+DN79-DW78,IF(A79&lt;'Données projet'!$A$166,$DL$205^A79,IF(A79='Données projet'!$A$166,'Données projet'!$B$166,DO78+DN79-DW78)))</f>
        <v>329.54200000000014</v>
      </c>
      <c r="DP79" s="17">
        <f>DO79*VLOOKUP('Données projet'!$B$14,Paramètres!$A$1:$I$89,3,0)*VLOOKUP('Données projet'!$B$14,Paramètres!$A$1:$I$89,5,0)</f>
        <v>188.49802400000007</v>
      </c>
      <c r="DQ79" s="13">
        <f t="shared" si="97"/>
        <v>47.207734055300683</v>
      </c>
      <c r="DR79" s="20">
        <f t="shared" si="70"/>
        <v>410.52086194631539</v>
      </c>
      <c r="DS79" s="59">
        <f t="shared" si="71"/>
        <v>678.22370388708282</v>
      </c>
      <c r="DT79" s="59">
        <f ca="1">AVERAGE(OFFSET($DS$3,0,0,'Données projet'!$E$14+1,1))-AVERAGE(OFFSET($H$3,0,0,'Données projet'!$E$14+1,1))</f>
        <v>349.56396446903</v>
      </c>
      <c r="DU79" s="59">
        <f t="shared" si="98"/>
        <v>270.64279448634522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23.181613306572846</v>
      </c>
      <c r="EB79" s="21">
        <f>EXP(-LN(2)/25)*EB78+(1-EXP(-LN(2)/25))/(LN(2)/25)*Calculateur!DW79*Calculateur!DY79*VLOOKUP('Données projet'!$B$14,Paramètres!$A$1:$I$89,3,0)*0.475*44/12</f>
        <v>28.319327145580313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51.500940452153159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9.782</v>
      </c>
      <c r="EJ79" s="12">
        <f>IF('Données projet'!$A$192&gt;35,EJ78+EI79-ER78,IF(A79&lt;'Données projet'!$A$192,$EG$205^A79,IF(A79='Données projet'!$A$192,'Données projet'!$B$192,EJ78+EI79-ER78)))</f>
        <v>480.87200000000001</v>
      </c>
      <c r="EK79" s="17">
        <f>EJ79*VLOOKUP('Données projet'!$B$15,Paramètres!$A$1:$I$89,3,0)*VLOOKUP('Données projet'!$B$15,Paramètres!$A$1:$I$89,5,0)</f>
        <v>287.56145600000002</v>
      </c>
      <c r="EL79" s="13">
        <f t="shared" si="99"/>
        <v>68.562475277867222</v>
      </c>
      <c r="EM79" s="20">
        <f t="shared" si="73"/>
        <v>620.24918030895208</v>
      </c>
      <c r="EN79" s="59">
        <f t="shared" si="74"/>
        <v>887.95202224971945</v>
      </c>
      <c r="EO79" s="59">
        <f ca="1">AVERAGE(OFFSET($EN$3,0,0,'Données projet'!$E$15+1,1))-AVERAGE(OFFSET($H$3,0,0,'Données projet'!$E$15+1,1))</f>
        <v>375.89365709113105</v>
      </c>
      <c r="EP79" s="59">
        <f t="shared" si="100"/>
        <v>279.39056561403834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39.588594817322665</v>
      </c>
      <c r="EW79" s="21">
        <f>EXP(-LN(2)/25)*EW78+(1-EXP(-LN(2)/25))/(LN(2)/25)*Calculateur!ER79*Calculateur!ET79*VLOOKUP('Données projet'!$B$15,Paramètres!$A$1:$I$89,3,0)*0.475*44/12</f>
        <v>30.664522392098974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70.253117209421646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-1.1368683772161603E-13</v>
      </c>
      <c r="FF79" s="17">
        <f>FE79*VLOOKUP('Données projet'!$B$16,Paramètres!$A$1:$I$89,3,0)*VLOOKUP('Données projet'!$B$16,Paramètres!$A$1:$I$89,5,0)</f>
        <v>-6.7984728957526396E-14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319.29539841078537</v>
      </c>
      <c r="FK79" s="59">
        <f t="shared" si="102"/>
        <v>327.26871144121412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100.74003756877286</v>
      </c>
      <c r="FR79" s="21">
        <f>EXP(-LN(2)/25)*FR78+(1-EXP(-LN(2)/25))/(LN(2)/25)*Calculateur!FM79*Calculateur!FO79*VLOOKUP('Données projet'!$B$16,Paramètres!$A$1:$I$89,3,0)*0.475*44/12</f>
        <v>54.991810344004591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155.73184791277745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2.2737367544323206E-13</v>
      </c>
      <c r="GA79" s="17">
        <f>FZ79*VLOOKUP('Données projet'!$B$17,Paramètres!$A$1:$I$89,3,0)*VLOOKUP('Données projet'!$B$17,Paramètres!$A$1:$I$89,5,0)</f>
        <v>1.0049916454590858E-13</v>
      </c>
      <c r="GB79" s="13">
        <f t="shared" si="103"/>
        <v>1.5089081593838289E-12</v>
      </c>
      <c r="GC79" s="20">
        <f t="shared" si="79"/>
        <v>2.8030510891776262E-12</v>
      </c>
      <c r="GD79" s="59">
        <f t="shared" si="80"/>
        <v>267.70284194077021</v>
      </c>
      <c r="GE79" s="59">
        <f ca="1">AVERAGE(OFFSET($GD$3,0,0,'Données projet'!$E$17+1,1))-AVERAGE(OFFSET($H$3,0,0,'Données projet'!$E$17+1,1))</f>
        <v>342.89128067483233</v>
      </c>
      <c r="GF79" s="59">
        <f t="shared" si="104"/>
        <v>453.47615302202996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120.22996194624452</v>
      </c>
      <c r="GM79" s="21">
        <f>EXP(-LN(2)/25)*GM78+(1-EXP(-LN(2)/25))/(LN(2)/25)*Calculateur!GH79*Calculateur!GJ79*VLOOKUP('Données projet'!$B$17,Paramètres!$A$1:$I$89,3,0)*0.475*44/12</f>
        <v>75.339493893655344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195.56945583989986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63.00986598384565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9.782</v>
      </c>
      <c r="GU79" s="12">
        <f>IF('Données projet'!$A$270&gt;35,GU78+GT79-HC78,IF(A79&lt;'Données projet'!$A$270,$GR$205^A79,IF(A79='Données projet'!$A$270,'Données projet'!$B$270,GU78+GT79-HC78)))</f>
        <v>480.87200000000001</v>
      </c>
      <c r="GV79" s="17">
        <f>GU79*VLOOKUP('Données projet'!$B$18,Paramètres!$A$1:$I$89,3,0)*VLOOKUP('Données projet'!$B$18,Paramètres!$A$1:$I$89,5,0)</f>
        <v>287.56145600000002</v>
      </c>
      <c r="GW79" s="13">
        <f t="shared" si="105"/>
        <v>68.562475277867222</v>
      </c>
      <c r="GX79" s="20">
        <f t="shared" si="82"/>
        <v>620.24918030895208</v>
      </c>
      <c r="GY79" s="59">
        <f t="shared" si="83"/>
        <v>887.95202224971945</v>
      </c>
      <c r="GZ79" s="59">
        <f ca="1">AVERAGE(OFFSET($GY$3,0,0,'Données projet'!$E$18+1,1))-AVERAGE(OFFSET($H$3,0,0,'Données projet'!$E$18+1,1))</f>
        <v>375.89365709113105</v>
      </c>
      <c r="HA79" s="59">
        <f t="shared" si="106"/>
        <v>279.39056561403834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39.588594817322665</v>
      </c>
      <c r="HH79" s="21">
        <f>EXP(-LN(2)/25)*HH78+(1-EXP(-LN(2)/25))/(LN(2)/25)*Calculateur!HC79*Calculateur!HE79*VLOOKUP('Données projet'!$B$18,Paramètres!$A$1:$I$89,3,0)*0.475*44/12</f>
        <v>30.664522392098974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70.253117209421646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178.09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239.42003280000009</v>
      </c>
      <c r="P80" s="13">
        <f t="shared" si="87"/>
        <v>58.314730148380967</v>
      </c>
      <c r="Q80" s="20">
        <f t="shared" si="54"/>
        <v>518.55471213509702</v>
      </c>
      <c r="R80" s="59">
        <f t="shared" si="55"/>
        <v>786.70218580033111</v>
      </c>
      <c r="S80" s="59">
        <f ca="1">AVERAGE(OFFSET($R$3,0,0,'Données projet'!$E$9+1,1))-AVERAGE(OFFSET($H$3,0,0,'Données projet'!$E$9+1,1))</f>
        <v>631.31712308065664</v>
      </c>
      <c r="T80" s="59">
        <f t="shared" si="88"/>
        <v>290.92244624361285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31.341471134506168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31.341471134506168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8.2100000000000009</v>
      </c>
      <c r="AI80" s="13">
        <f>IF('Données projet'!$A$62&gt;35,AI79+AH80-AQ79,IF(A80&lt;'Données projet'!$A$62,$AF$205^A80,IF(A80='Données projet'!$A$62,'Données projet'!$B$62,AI79+AH80-AQ79)))</f>
        <v>219.41000000000017</v>
      </c>
      <c r="AJ80" s="13">
        <f>AI80*VLOOKUP('Données projet'!$B$10,Paramètres!$A$1:$I$89,3,0)*VLOOKUP('Données projet'!$B$10,Paramètres!$A$1:$I$89,5,0)</f>
        <v>184.83098400000014</v>
      </c>
      <c r="AK80" s="13">
        <f t="shared" si="89"/>
        <v>46.395328769790581</v>
      </c>
      <c r="AL80" s="20">
        <f t="shared" si="58"/>
        <v>402.71916140738546</v>
      </c>
      <c r="AM80" s="59">
        <f t="shared" si="59"/>
        <v>670.86663507261949</v>
      </c>
      <c r="AN80" s="59">
        <f ca="1">AVERAGE(OFFSET($AM$3,0,0,'Données projet'!$E$10+1,1))-AVERAGE(OFFSET($H$3,0,0,'Données projet'!$E$10+1,1))</f>
        <v>401.19166052471473</v>
      </c>
      <c r="AO80" s="59">
        <f t="shared" si="90"/>
        <v>271.10067497534271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25.215049412107795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25.215049412107795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268.31555400000013</v>
      </c>
      <c r="BF80" s="13">
        <f t="shared" si="91"/>
        <v>64.491657233004062</v>
      </c>
      <c r="BG80" s="20">
        <f t="shared" si="61"/>
        <v>579.63922623081567</v>
      </c>
      <c r="BH80" s="59">
        <f t="shared" si="62"/>
        <v>847.78669989604964</v>
      </c>
      <c r="BI80" s="59">
        <f ca="1">AVERAGE(OFFSET($BH$3,0,0,'Données projet'!$E$11+1,1))-AVERAGE(OFFSET($H$3,0,0,'Données projet'!$E$11+1,1))</f>
        <v>695.93700574708214</v>
      </c>
      <c r="BJ80" s="59">
        <f t="shared" si="92"/>
        <v>318.31690229208471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35.124062478325875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35.124062478325875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3.8</v>
      </c>
      <c r="BY80" s="12">
        <f>IF('Données projet'!$A$114&gt;35,BY79+BX80-CG79,IF(A80&lt;'Données projet'!$A$114,$BV$205^A80,IF(A80='Données projet'!$A$114,'Données projet'!$B$114,BY79+BX80-CG79)))</f>
        <v>199.60000000000014</v>
      </c>
      <c r="BZ80" s="13">
        <f>BY80*VLOOKUP('Données projet'!$B$12,Paramètres!$A$1:$I$89,3,0)*VLOOKUP('Données projet'!$B$12,Paramètres!$A$1:$I$89,5,0)</f>
        <v>130.77792000000008</v>
      </c>
      <c r="CA80" s="13">
        <f t="shared" si="93"/>
        <v>34.176051340149542</v>
      </c>
      <c r="CB80" s="20">
        <f t="shared" si="64"/>
        <v>287.29483341742724</v>
      </c>
      <c r="CC80" s="59">
        <f t="shared" si="65"/>
        <v>555.44230708266127</v>
      </c>
      <c r="CD80" s="59">
        <f ca="1">AVERAGE(OFFSET($CC$3,0,0,'Données projet'!$E$12+1,1))-AVERAGE(OFFSET($H$3,0,0,'Données projet'!$E$12+1,1))</f>
        <v>260.25859566735949</v>
      </c>
      <c r="CE80" s="59">
        <f t="shared" si="94"/>
        <v>256.93649773468667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13.008261506079974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13.008261506079974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3.8</v>
      </c>
      <c r="CT80" s="12">
        <f>IF('Données projet'!$A$140&gt;35,CT79+CS80-DB79,IF(A80&lt;'Données projet'!$A$140,$CQ$205^A80,IF(A80='Données projet'!$A$140,'Données projet'!$B$140,CT79+CS80-DB79)))</f>
        <v>199.60000000000014</v>
      </c>
      <c r="CU80" s="17">
        <f>CT80*VLOOKUP('Données projet'!$B$13,Paramètres!$A$1:$I$89,3,0)*VLOOKUP('Données projet'!$B$13,Paramètres!$A$1:$I$89,5,0)</f>
        <v>130.77792000000008</v>
      </c>
      <c r="CV80" s="13">
        <f t="shared" si="95"/>
        <v>34.176051340149542</v>
      </c>
      <c r="CW80" s="20">
        <f t="shared" si="67"/>
        <v>287.29483341742724</v>
      </c>
      <c r="CX80" s="59">
        <f t="shared" si="68"/>
        <v>555.44230708266127</v>
      </c>
      <c r="CY80" s="59">
        <f ca="1">AVERAGE(OFFSET($CX$3,0,0,'Données projet'!$E$13+1,1))-AVERAGE(OFFSET($H$3,0,0,'Données projet'!$E$13+1,1))</f>
        <v>260.25859566735949</v>
      </c>
      <c r="CZ80" s="59">
        <f t="shared" si="96"/>
        <v>256.93649773468667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13.008261506079974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13.008261506079974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6.5040000000000022</v>
      </c>
      <c r="DO80" s="12">
        <f>IF('Données projet'!$A$166&gt;35,DO79+DN80-DW79,IF(A80&lt;'Données projet'!$A$166,$DL$205^A80,IF(A80='Données projet'!$A$166,'Données projet'!$B$166,DO79+DN80-DW79)))</f>
        <v>336.04600000000016</v>
      </c>
      <c r="DP80" s="17">
        <f>DO80*VLOOKUP('Données projet'!$B$14,Paramètres!$A$1:$I$89,3,0)*VLOOKUP('Données projet'!$B$14,Paramètres!$A$1:$I$89,5,0)</f>
        <v>192.21831200000008</v>
      </c>
      <c r="DQ80" s="13">
        <f t="shared" si="97"/>
        <v>48.030058323300679</v>
      </c>
      <c r="DR80" s="20">
        <f t="shared" si="70"/>
        <v>418.43257831308216</v>
      </c>
      <c r="DS80" s="59">
        <f t="shared" si="71"/>
        <v>686.58005197831619</v>
      </c>
      <c r="DT80" s="59">
        <f ca="1">AVERAGE(OFFSET($DS$3,0,0,'Données projet'!$E$14+1,1))-AVERAGE(OFFSET($H$3,0,0,'Données projet'!$E$14+1,1))</f>
        <v>349.56396446903</v>
      </c>
      <c r="DU80" s="59">
        <f t="shared" si="98"/>
        <v>270.64279448634522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22.727036009018921</v>
      </c>
      <c r="EB80" s="21">
        <f>EXP(-LN(2)/25)*EB79+(1-EXP(-LN(2)/25))/(LN(2)/25)*Calculateur!DW80*Calculateur!DY80*VLOOKUP('Données projet'!$B$14,Paramètres!$A$1:$I$89,3,0)*0.475*44/12</f>
        <v>27.544933655535729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50.271969664554646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9.782</v>
      </c>
      <c r="EJ80" s="12">
        <f>IF('Données projet'!$A$192&gt;35,EJ79+EI80-ER79,IF(A80&lt;'Données projet'!$A$192,$EG$205^A80,IF(A80='Données projet'!$A$192,'Données projet'!$B$192,EJ79+EI80-ER79)))</f>
        <v>490.654</v>
      </c>
      <c r="EK80" s="17">
        <f>EJ80*VLOOKUP('Données projet'!$B$15,Paramètres!$A$1:$I$89,3,0)*VLOOKUP('Données projet'!$B$15,Paramètres!$A$1:$I$89,5,0)</f>
        <v>293.411092</v>
      </c>
      <c r="EL80" s="13">
        <f t="shared" si="99"/>
        <v>69.79339504623151</v>
      </c>
      <c r="EM80" s="20">
        <f t="shared" si="73"/>
        <v>632.58114827218651</v>
      </c>
      <c r="EN80" s="59">
        <f t="shared" si="74"/>
        <v>900.72862193742048</v>
      </c>
      <c r="EO80" s="59">
        <f ca="1">AVERAGE(OFFSET($EN$3,0,0,'Données projet'!$E$15+1,1))-AVERAGE(OFFSET($H$3,0,0,'Données projet'!$E$15+1,1))</f>
        <v>375.89365709113105</v>
      </c>
      <c r="EP80" s="59">
        <f t="shared" si="100"/>
        <v>279.39056561403834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38.812286619613523</v>
      </c>
      <c r="EW80" s="21">
        <f>EXP(-LN(2)/25)*EW79+(1-EXP(-LN(2)/25))/(LN(2)/25)*Calculateur!ER80*Calculateur!ET80*VLOOKUP('Données projet'!$B$15,Paramètres!$A$1:$I$89,3,0)*0.475*44/12</f>
        <v>29.82599941470988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68.6382860343234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-1.1368683772161603E-13</v>
      </c>
      <c r="FF80" s="17">
        <f>FE80*VLOOKUP('Données projet'!$B$16,Paramètres!$A$1:$I$89,3,0)*VLOOKUP('Données projet'!$B$16,Paramètres!$A$1:$I$89,5,0)</f>
        <v>-6.7984728957526396E-14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319.29539841078537</v>
      </c>
      <c r="FK80" s="59">
        <f t="shared" si="102"/>
        <v>327.26871144121412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98.764586877404923</v>
      </c>
      <c r="FR80" s="21">
        <f>EXP(-LN(2)/25)*FR79+(1-EXP(-LN(2)/25))/(LN(2)/25)*Calculateur!FM80*Calculateur!FO80*VLOOKUP('Données projet'!$B$16,Paramètres!$A$1:$I$89,3,0)*0.475*44/12</f>
        <v>53.488056398254166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152.2526432756591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2.2737367544323206E-13</v>
      </c>
      <c r="GA80" s="17">
        <f>FZ80*VLOOKUP('Données projet'!$B$17,Paramètres!$A$1:$I$89,3,0)*VLOOKUP('Données projet'!$B$17,Paramètres!$A$1:$I$89,5,0)</f>
        <v>1.0049916454590858E-13</v>
      </c>
      <c r="GB80" s="13">
        <f t="shared" si="103"/>
        <v>1.5089081593838289E-12</v>
      </c>
      <c r="GC80" s="20">
        <f t="shared" si="79"/>
        <v>2.8030510891776262E-12</v>
      </c>
      <c r="GD80" s="59">
        <f t="shared" si="80"/>
        <v>268.14747366523682</v>
      </c>
      <c r="GE80" s="59">
        <f ca="1">AVERAGE(OFFSET($GD$3,0,0,'Données projet'!$E$17+1,1))-AVERAGE(OFFSET($H$3,0,0,'Données projet'!$E$17+1,1))</f>
        <v>342.89128067483233</v>
      </c>
      <c r="GF80" s="59">
        <f t="shared" si="104"/>
        <v>453.47615302202996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117.87232572551441</v>
      </c>
      <c r="GM80" s="21">
        <f>EXP(-LN(2)/25)*GM79+(1-EXP(-LN(2)/25))/(LN(2)/25)*Calculateur!GH80*Calculateur!GJ80*VLOOKUP('Données projet'!$B$17,Paramètres!$A$1:$I$89,3,0)*0.475*44/12</f>
        <v>73.279331471201544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191.15165719671597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63.131129181427454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9.782</v>
      </c>
      <c r="GU80" s="12">
        <f>IF('Données projet'!$A$270&gt;35,GU79+GT80-HC79,IF(A80&lt;'Données projet'!$A$270,$GR$205^A80,IF(A80='Données projet'!$A$270,'Données projet'!$B$270,GU79+GT80-HC79)))</f>
        <v>490.654</v>
      </c>
      <c r="GV80" s="17">
        <f>GU80*VLOOKUP('Données projet'!$B$18,Paramètres!$A$1:$I$89,3,0)*VLOOKUP('Données projet'!$B$18,Paramètres!$A$1:$I$89,5,0)</f>
        <v>293.411092</v>
      </c>
      <c r="GW80" s="13">
        <f t="shared" si="105"/>
        <v>69.79339504623151</v>
      </c>
      <c r="GX80" s="20">
        <f t="shared" si="82"/>
        <v>632.58114827218651</v>
      </c>
      <c r="GY80" s="59">
        <f t="shared" si="83"/>
        <v>900.72862193742048</v>
      </c>
      <c r="GZ80" s="59">
        <f ca="1">AVERAGE(OFFSET($GY$3,0,0,'Données projet'!$E$18+1,1))-AVERAGE(OFFSET($H$3,0,0,'Données projet'!$E$18+1,1))</f>
        <v>375.89365709113105</v>
      </c>
      <c r="HA80" s="59">
        <f t="shared" si="106"/>
        <v>279.39056561403834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38.812286619613523</v>
      </c>
      <c r="HH80" s="21">
        <f>EXP(-LN(2)/25)*HH79+(1-EXP(-LN(2)/25))/(LN(2)/25)*Calculateur!HC80*Calculateur!HE80*VLOOKUP('Données projet'!$B$18,Paramètres!$A$1:$I$89,3,0)*0.475*44/12</f>
        <v>29.82599941470988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68.6382860343234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178.09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247.27098240000012</v>
      </c>
      <c r="P81" s="13">
        <f t="shared" si="87"/>
        <v>60.001190025553029</v>
      </c>
      <c r="Q81" s="20">
        <f t="shared" si="54"/>
        <v>535.16570030783839</v>
      </c>
      <c r="R81" s="59">
        <f t="shared" si="55"/>
        <v>803.75009233116702</v>
      </c>
      <c r="S81" s="59">
        <f ca="1">AVERAGE(OFFSET($R$3,0,0,'Données projet'!$E$9+1,1))-AVERAGE(OFFSET($H$3,0,0,'Données projet'!$E$9+1,1))</f>
        <v>631.31712308065664</v>
      </c>
      <c r="T81" s="59">
        <f t="shared" si="88"/>
        <v>290.92244624361285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30.726884001968305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30.726884001968305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8.2100000000000009</v>
      </c>
      <c r="AI81" s="13">
        <f>IF('Données projet'!$A$62&gt;35,AI80+AH81-AQ80,IF(A81&lt;'Données projet'!$A$62,$AF$205^A81,IF(A81='Données projet'!$A$62,'Données projet'!$B$62,AI80+AH81-AQ80)))</f>
        <v>227.62000000000018</v>
      </c>
      <c r="AJ81" s="13">
        <f>AI81*VLOOKUP('Données projet'!$B$10,Paramètres!$A$1:$I$89,3,0)*VLOOKUP('Données projet'!$B$10,Paramètres!$A$1:$I$89,5,0)</f>
        <v>191.74708800000016</v>
      </c>
      <c r="AK81" s="13">
        <f t="shared" si="89"/>
        <v>47.926003197206867</v>
      </c>
      <c r="AL81" s="20">
        <f t="shared" si="58"/>
        <v>417.43063383513555</v>
      </c>
      <c r="AM81" s="59">
        <f t="shared" si="59"/>
        <v>686.01502585846424</v>
      </c>
      <c r="AN81" s="59">
        <f ca="1">AVERAGE(OFFSET($AM$3,0,0,'Données projet'!$E$10+1,1))-AVERAGE(OFFSET($H$3,0,0,'Données projet'!$E$10+1,1))</f>
        <v>401.19166052471473</v>
      </c>
      <c r="AO81" s="59">
        <f t="shared" si="90"/>
        <v>271.10067497534271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24.720597672797886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24.720597672797886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277.11403200000018</v>
      </c>
      <c r="BF81" s="13">
        <f t="shared" si="91"/>
        <v>66.356753617040368</v>
      </c>
      <c r="BG81" s="20">
        <f t="shared" si="61"/>
        <v>598.21161828301217</v>
      </c>
      <c r="BH81" s="59">
        <f t="shared" si="62"/>
        <v>866.7960103063408</v>
      </c>
      <c r="BI81" s="59">
        <f ca="1">AVERAGE(OFFSET($BH$3,0,0,'Données projet'!$E$11+1,1))-AVERAGE(OFFSET($H$3,0,0,'Données projet'!$E$11+1,1))</f>
        <v>695.93700574708214</v>
      </c>
      <c r="BJ81" s="59">
        <f t="shared" si="92"/>
        <v>318.31690229208471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34.435301036688614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34.435301036688614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3.8</v>
      </c>
      <c r="BY81" s="12">
        <f>IF('Données projet'!$A$114&gt;35,BY80+BX81-CG80,IF(A81&lt;'Données projet'!$A$114,$BV$205^A81,IF(A81='Données projet'!$A$114,'Données projet'!$B$114,BY80+BX81-CG80)))</f>
        <v>203.40000000000015</v>
      </c>
      <c r="BZ81" s="13">
        <f>BY81*VLOOKUP('Données projet'!$B$12,Paramètres!$A$1:$I$89,3,0)*VLOOKUP('Données projet'!$B$12,Paramètres!$A$1:$I$89,5,0)</f>
        <v>133.2676800000001</v>
      </c>
      <c r="CA81" s="13">
        <f t="shared" si="93"/>
        <v>34.750329840004937</v>
      </c>
      <c r="CB81" s="20">
        <f t="shared" si="64"/>
        <v>292.63136713800878</v>
      </c>
      <c r="CC81" s="59">
        <f t="shared" si="65"/>
        <v>561.21575916133747</v>
      </c>
      <c r="CD81" s="59">
        <f ca="1">AVERAGE(OFFSET($CC$3,0,0,'Données projet'!$E$12+1,1))-AVERAGE(OFFSET($H$3,0,0,'Données projet'!$E$12+1,1))</f>
        <v>260.25859566735949</v>
      </c>
      <c r="CE81" s="59">
        <f t="shared" si="94"/>
        <v>256.93649773468667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12.753177432201822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12.753177432201822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3.8</v>
      </c>
      <c r="CT81" s="12">
        <f>IF('Données projet'!$A$140&gt;35,CT80+CS81-DB80,IF(A81&lt;'Données projet'!$A$140,$CQ$205^A81,IF(A81='Données projet'!$A$140,'Données projet'!$B$140,CT80+CS81-DB80)))</f>
        <v>203.40000000000015</v>
      </c>
      <c r="CU81" s="17">
        <f>CT81*VLOOKUP('Données projet'!$B$13,Paramètres!$A$1:$I$89,3,0)*VLOOKUP('Données projet'!$B$13,Paramètres!$A$1:$I$89,5,0)</f>
        <v>133.2676800000001</v>
      </c>
      <c r="CV81" s="13">
        <f t="shared" si="95"/>
        <v>34.750329840004937</v>
      </c>
      <c r="CW81" s="20">
        <f t="shared" si="67"/>
        <v>292.63136713800878</v>
      </c>
      <c r="CX81" s="59">
        <f t="shared" si="68"/>
        <v>561.21575916133747</v>
      </c>
      <c r="CY81" s="59">
        <f ca="1">AVERAGE(OFFSET($CX$3,0,0,'Données projet'!$E$13+1,1))-AVERAGE(OFFSET($H$3,0,0,'Données projet'!$E$13+1,1))</f>
        <v>260.25859566735949</v>
      </c>
      <c r="CZ81" s="59">
        <f t="shared" si="96"/>
        <v>256.93649773468667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12.753177432201822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12.753177432201822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>
        <f>VLOOKUP(A81,'Données projet'!$A$165:$I$185,2,0)</f>
        <v>342.55</v>
      </c>
      <c r="DM81" s="12">
        <f>VLOOKUP(A81,'Données projet'!$A$165:$I$185,9,0)</f>
        <v>6.5040000000000022</v>
      </c>
      <c r="DN81" s="12">
        <f t="array" ref="DN81">INDEX(DM:DM,MIN(IF(ISNUMBER(DM81:DM277),ROW(DM81:DM277),"")))</f>
        <v>6.5040000000000022</v>
      </c>
      <c r="DO81" s="12">
        <f>IF('Données projet'!$A$166&gt;35,DO80+DN81-DW80,IF(A81&lt;'Données projet'!$A$166,$DL$205^A81,IF(A81='Données projet'!$A$166,'Données projet'!$B$166,DO80+DN81-DW80)))</f>
        <v>342.55000000000018</v>
      </c>
      <c r="DP81" s="17">
        <f>DO81*VLOOKUP('Données projet'!$B$14,Paramètres!$A$1:$I$89,3,0)*VLOOKUP('Données projet'!$B$14,Paramètres!$A$1:$I$89,5,0)</f>
        <v>195.93860000000012</v>
      </c>
      <c r="DQ81" s="13">
        <f t="shared" si="97"/>
        <v>48.850531970488099</v>
      </c>
      <c r="DR81" s="20">
        <f t="shared" si="70"/>
        <v>426.341071515267</v>
      </c>
      <c r="DS81" s="59">
        <f t="shared" si="71"/>
        <v>694.92546353859575</v>
      </c>
      <c r="DT81" s="59">
        <f ca="1">AVERAGE(OFFSET($DS$3,0,0,'Données projet'!$E$14+1,1))-AVERAGE(OFFSET($H$3,0,0,'Données projet'!$E$14+1,1))</f>
        <v>349.56396446903</v>
      </c>
      <c r="DU81" s="59">
        <f t="shared" si="98"/>
        <v>270.64279448634522</v>
      </c>
      <c r="DV81" s="15">
        <f>IF(ISNA(VLOOKUP(A81,'Données projet'!$A$165:$I$185,3,0)),0,VLOOKUP(A81,'Données projet'!$A$165:$I$185,3,0))</f>
        <v>7</v>
      </c>
      <c r="DW81" s="15">
        <f>IF(ISNA(VLOOKUP(A81,'Données projet'!$A$165:$I$185,4,0)),0,VLOOKUP(A81,'Données projet'!$A$165:$I$185,4,0))</f>
        <v>42.06</v>
      </c>
      <c r="DX81" s="16">
        <f>IF(ISNA(VLOOKUP(A81,'Données projet'!$A$165:$I$185,5,0)),0%,VLOOKUP(A81,'Données projet'!$A$165:$I$185,5,0)*VLOOKUP('Données projet'!$B$14,Paramètres!$A$1:$I$89,7,0))</f>
        <v>0.315</v>
      </c>
      <c r="DY81" s="16">
        <f>IF(ISNA(VLOOKUP(A81,'Données projet'!$A$165:$I$185,6,0)),0%,VLOOKUP(A81,'Données projet'!$A$165:$I$185,6,0)*VLOOKUP('Données projet'!$B$14,Paramètres!$A$1:$I$89,7,0))</f>
        <v>0.13500000000000001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32.334570028426164</v>
      </c>
      <c r="EB81" s="21">
        <f>EXP(-LN(2)/25)*EB80+(1-EXP(-LN(2)/25))/(LN(2)/25)*Calculateur!DW81*Calculateur!DY81*VLOOKUP('Données projet'!$B$14,Paramètres!$A$1:$I$89,3,0)*0.475*44/12</f>
        <v>31.083264881178884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63.417834909605048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9.782</v>
      </c>
      <c r="EJ81" s="12">
        <f>IF('Données projet'!$A$192&gt;35,EJ80+EI81-ER80,IF(A81&lt;'Données projet'!$A$192,$EG$205^A81,IF(A81='Données projet'!$A$192,'Données projet'!$B$192,EJ80+EI81-ER80)))</f>
        <v>500.43599999999998</v>
      </c>
      <c r="EK81" s="17">
        <f>EJ81*VLOOKUP('Données projet'!$B$15,Paramètres!$A$1:$I$89,3,0)*VLOOKUP('Données projet'!$B$15,Paramètres!$A$1:$I$89,5,0)</f>
        <v>299.26072800000003</v>
      </c>
      <c r="EL81" s="13">
        <f t="shared" si="99"/>
        <v>71.021461421315166</v>
      </c>
      <c r="EM81" s="20">
        <f t="shared" si="73"/>
        <v>644.90814657545729</v>
      </c>
      <c r="EN81" s="59">
        <f t="shared" si="74"/>
        <v>913.49253859878604</v>
      </c>
      <c r="EO81" s="59">
        <f ca="1">AVERAGE(OFFSET($EN$3,0,0,'Données projet'!$E$15+1,1))-AVERAGE(OFFSET($H$3,0,0,'Données projet'!$E$15+1,1))</f>
        <v>375.89365709113105</v>
      </c>
      <c r="EP81" s="59">
        <f t="shared" si="100"/>
        <v>279.39056561403834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38.051201352160213</v>
      </c>
      <c r="EW81" s="21">
        <f>EXP(-LN(2)/25)*EW80+(1-EXP(-LN(2)/25))/(LN(2)/25)*Calculateur!ER81*Calculateur!ET81*VLOOKUP('Données projet'!$B$15,Paramètres!$A$1:$I$89,3,0)*0.475*44/12</f>
        <v>29.010405892233496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67.061607244393713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-1.1368683772161603E-13</v>
      </c>
      <c r="FF81" s="17">
        <f>FE81*VLOOKUP('Données projet'!$B$16,Paramètres!$A$1:$I$89,3,0)*VLOOKUP('Données projet'!$B$16,Paramètres!$A$1:$I$89,5,0)</f>
        <v>-6.7984728957526396E-14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319.29539841078537</v>
      </c>
      <c r="FK81" s="59">
        <f t="shared" si="102"/>
        <v>327.26871144121412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96.827873569188753</v>
      </c>
      <c r="FR81" s="21">
        <f>EXP(-LN(2)/25)*FR80+(1-EXP(-LN(2)/25))/(LN(2)/25)*Calculateur!FM81*Calculateur!FO81*VLOOKUP('Données projet'!$B$16,Paramètres!$A$1:$I$89,3,0)*0.475*44/12</f>
        <v>52.025422683229266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148.85329625241803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2.2737367544323206E-13</v>
      </c>
      <c r="GA81" s="17">
        <f>FZ81*VLOOKUP('Données projet'!$B$17,Paramètres!$A$1:$I$89,3,0)*VLOOKUP('Données projet'!$B$17,Paramètres!$A$1:$I$89,5,0)</f>
        <v>1.0049916454590858E-13</v>
      </c>
      <c r="GB81" s="13">
        <f t="shared" si="103"/>
        <v>1.5089081593838289E-12</v>
      </c>
      <c r="GC81" s="20">
        <f t="shared" si="79"/>
        <v>2.8030510891776262E-12</v>
      </c>
      <c r="GD81" s="59">
        <f t="shared" si="80"/>
        <v>268.58439202333147</v>
      </c>
      <c r="GE81" s="59">
        <f ca="1">AVERAGE(OFFSET($GD$3,0,0,'Données projet'!$E$17+1,1))-AVERAGE(OFFSET($H$3,0,0,'Données projet'!$E$17+1,1))</f>
        <v>342.89128067483233</v>
      </c>
      <c r="GF81" s="59">
        <f t="shared" si="104"/>
        <v>453.47615302202996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115.56092131305672</v>
      </c>
      <c r="GM81" s="21">
        <f>EXP(-LN(2)/25)*GM80+(1-EXP(-LN(2)/25))/(LN(2)/25)*Calculateur!GH81*Calculateur!GJ81*VLOOKUP('Données projet'!$B$17,Paramètres!$A$1:$I$89,3,0)*0.475*44/12</f>
        <v>71.275504298528972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186.8364256115857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63.250288733635102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9.782</v>
      </c>
      <c r="GU81" s="12">
        <f>IF('Données projet'!$A$270&gt;35,GU80+GT81-HC80,IF(A81&lt;'Données projet'!$A$270,$GR$205^A81,IF(A81='Données projet'!$A$270,'Données projet'!$B$270,GU80+GT81-HC80)))</f>
        <v>500.43599999999998</v>
      </c>
      <c r="GV81" s="17">
        <f>GU81*VLOOKUP('Données projet'!$B$18,Paramètres!$A$1:$I$89,3,0)*VLOOKUP('Données projet'!$B$18,Paramètres!$A$1:$I$89,5,0)</f>
        <v>299.26072800000003</v>
      </c>
      <c r="GW81" s="13">
        <f t="shared" si="105"/>
        <v>71.021461421315166</v>
      </c>
      <c r="GX81" s="20">
        <f t="shared" si="82"/>
        <v>644.90814657545729</v>
      </c>
      <c r="GY81" s="59">
        <f t="shared" si="83"/>
        <v>913.49253859878604</v>
      </c>
      <c r="GZ81" s="59">
        <f ca="1">AVERAGE(OFFSET($GY$3,0,0,'Données projet'!$E$18+1,1))-AVERAGE(OFFSET($H$3,0,0,'Données projet'!$E$18+1,1))</f>
        <v>375.89365709113105</v>
      </c>
      <c r="HA81" s="59">
        <f t="shared" si="106"/>
        <v>279.39056561403834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38.051201352160213</v>
      </c>
      <c r="HH81" s="21">
        <f>EXP(-LN(2)/25)*HH80+(1-EXP(-LN(2)/25))/(LN(2)/25)*Calculateur!HC81*Calculateur!HE81*VLOOKUP('Données projet'!$B$18,Paramètres!$A$1:$I$89,3,0)*0.475*44/12</f>
        <v>29.010405892233496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67.061607244393713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178.09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255.1219320000001</v>
      </c>
      <c r="P82" s="13">
        <f t="shared" si="87"/>
        <v>61.681427575411924</v>
      </c>
      <c r="Q82" s="20">
        <f t="shared" si="54"/>
        <v>551.76585126050918</v>
      </c>
      <c r="R82" s="59">
        <f t="shared" si="55"/>
        <v>820.77958208522284</v>
      </c>
      <c r="S82" s="59">
        <f ca="1">AVERAGE(OFFSET($R$3,0,0,'Données projet'!$E$9+1,1))-AVERAGE(OFFSET($H$3,0,0,'Données projet'!$E$9+1,1))</f>
        <v>631.31712308065664</v>
      </c>
      <c r="T82" s="59">
        <f t="shared" si="88"/>
        <v>290.92244624361285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30.124348548238373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30.124348548238373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8.2100000000000009</v>
      </c>
      <c r="AI82" s="13">
        <f>IF('Données projet'!$A$62&gt;35,AI81+AH82-AQ81,IF(A82&lt;'Données projet'!$A$62,$AF$205^A82,IF(A82='Données projet'!$A$62,'Données projet'!$B$62,AI81+AH82-AQ81)))</f>
        <v>235.83000000000018</v>
      </c>
      <c r="AJ82" s="13">
        <f>AI82*VLOOKUP('Données projet'!$B$10,Paramètres!$A$1:$I$89,3,0)*VLOOKUP('Données projet'!$B$10,Paramètres!$A$1:$I$89,5,0)</f>
        <v>198.66319200000018</v>
      </c>
      <c r="AK82" s="13">
        <f t="shared" si="89"/>
        <v>49.450263215298527</v>
      </c>
      <c r="AL82" s="20">
        <f t="shared" si="58"/>
        <v>432.13093449997854</v>
      </c>
      <c r="AM82" s="59">
        <f t="shared" si="59"/>
        <v>701.14466532469214</v>
      </c>
      <c r="AN82" s="59">
        <f ca="1">AVERAGE(OFFSET($AM$3,0,0,'Données projet'!$E$10+1,1))-AVERAGE(OFFSET($H$3,0,0,'Données projet'!$E$10+1,1))</f>
        <v>401.19166052471473</v>
      </c>
      <c r="AO82" s="59">
        <f t="shared" si="90"/>
        <v>271.10067497534271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24.235841830510065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24.235841830510065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285.91251000000017</v>
      </c>
      <c r="BF82" s="13">
        <f t="shared" si="91"/>
        <v>68.214968580220258</v>
      </c>
      <c r="BG82" s="20">
        <f t="shared" si="61"/>
        <v>616.77202519388391</v>
      </c>
      <c r="BH82" s="59">
        <f t="shared" si="62"/>
        <v>885.78575601859757</v>
      </c>
      <c r="BI82" s="59">
        <f ca="1">AVERAGE(OFFSET($BH$3,0,0,'Données projet'!$E$11+1,1))-AVERAGE(OFFSET($H$3,0,0,'Données projet'!$E$11+1,1))</f>
        <v>695.93700574708214</v>
      </c>
      <c r="BJ82" s="59">
        <f t="shared" si="92"/>
        <v>318.31690229208471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33.760045786818864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33.760045786818864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3.8</v>
      </c>
      <c r="BY82" s="12">
        <f>IF('Données projet'!$A$114&gt;35,BY81+BX82-CG81,IF(A82&lt;'Données projet'!$A$114,$BV$205^A82,IF(A82='Données projet'!$A$114,'Données projet'!$B$114,BY81+BX82-CG81)))</f>
        <v>207.20000000000016</v>
      </c>
      <c r="BZ82" s="13">
        <f>BY82*VLOOKUP('Données projet'!$B$12,Paramètres!$A$1:$I$89,3,0)*VLOOKUP('Données projet'!$B$12,Paramètres!$A$1:$I$89,5,0)</f>
        <v>135.75744000000009</v>
      </c>
      <c r="CA82" s="13">
        <f t="shared" si="93"/>
        <v>35.323360776061499</v>
      </c>
      <c r="CB82" s="20">
        <f t="shared" si="64"/>
        <v>297.96572801830723</v>
      </c>
      <c r="CC82" s="59">
        <f t="shared" si="65"/>
        <v>566.97945884302089</v>
      </c>
      <c r="CD82" s="59">
        <f ca="1">AVERAGE(OFFSET($CC$3,0,0,'Données projet'!$E$12+1,1))-AVERAGE(OFFSET($H$3,0,0,'Données projet'!$E$12+1,1))</f>
        <v>260.25859566735949</v>
      </c>
      <c r="CE82" s="59">
        <f t="shared" si="94"/>
        <v>256.93649773468667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12.503095401426497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12.503095401426497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3.8</v>
      </c>
      <c r="CT82" s="12">
        <f>IF('Données projet'!$A$140&gt;35,CT81+CS82-DB81,IF(A82&lt;'Données projet'!$A$140,$CQ$205^A82,IF(A82='Données projet'!$A$140,'Données projet'!$B$140,CT81+CS82-DB81)))</f>
        <v>207.20000000000016</v>
      </c>
      <c r="CU82" s="17">
        <f>CT82*VLOOKUP('Données projet'!$B$13,Paramètres!$A$1:$I$89,3,0)*VLOOKUP('Données projet'!$B$13,Paramètres!$A$1:$I$89,5,0)</f>
        <v>135.75744000000009</v>
      </c>
      <c r="CV82" s="13">
        <f t="shared" si="95"/>
        <v>35.323360776061499</v>
      </c>
      <c r="CW82" s="20">
        <f t="shared" si="67"/>
        <v>297.96572801830723</v>
      </c>
      <c r="CX82" s="59">
        <f t="shared" si="68"/>
        <v>566.97945884302089</v>
      </c>
      <c r="CY82" s="59">
        <f ca="1">AVERAGE(OFFSET($CX$3,0,0,'Données projet'!$E$13+1,1))-AVERAGE(OFFSET($H$3,0,0,'Données projet'!$E$13+1,1))</f>
        <v>260.25859566735949</v>
      </c>
      <c r="CZ82" s="59">
        <f t="shared" si="96"/>
        <v>256.93649773468667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12.503095401426497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12.503095401426497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5.613999999999999</v>
      </c>
      <c r="DO82" s="12">
        <f>IF('Données projet'!$A$166&gt;35,DO81+DN82-DW81,IF(A82&lt;'Données projet'!$A$166,$DL$205^A82,IF(A82='Données projet'!$A$166,'Données projet'!$B$166,DO81+DN82-DW81)))</f>
        <v>306.10400000000016</v>
      </c>
      <c r="DP82" s="17">
        <f>DO82*VLOOKUP('Données projet'!$B$14,Paramètres!$A$1:$I$89,3,0)*VLOOKUP('Données projet'!$B$14,Paramètres!$A$1:$I$89,5,0)</f>
        <v>175.09148800000011</v>
      </c>
      <c r="DQ82" s="13">
        <f t="shared" si="97"/>
        <v>44.228381651914802</v>
      </c>
      <c r="DR82" s="20">
        <f t="shared" si="70"/>
        <v>381.98210631041849</v>
      </c>
      <c r="DS82" s="59">
        <f t="shared" si="71"/>
        <v>650.99583713513221</v>
      </c>
      <c r="DT82" s="59">
        <f ca="1">AVERAGE(OFFSET($DS$3,0,0,'Données projet'!$E$14+1,1))-AVERAGE(OFFSET($H$3,0,0,'Données projet'!$E$14+1,1))</f>
        <v>349.56396446903</v>
      </c>
      <c r="DU82" s="59">
        <f t="shared" si="98"/>
        <v>270.64279448634522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31.700508832309044</v>
      </c>
      <c r="EB82" s="21">
        <f>EXP(-LN(2)/25)*EB81+(1-EXP(-LN(2)/25))/(LN(2)/25)*Calculateur!DW82*Calculateur!DY82*VLOOKUP('Données projet'!$B$14,Paramètres!$A$1:$I$89,3,0)*0.475*44/12</f>
        <v>30.23329136840519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61.933800200714231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9.782</v>
      </c>
      <c r="EJ82" s="12">
        <f>IF('Données projet'!$A$192&gt;35,EJ81+EI82-ER81,IF(A82&lt;'Données projet'!$A$192,$EG$205^A82,IF(A82='Données projet'!$A$192,'Données projet'!$B$192,EJ81+EI82-ER81)))</f>
        <v>510.21799999999996</v>
      </c>
      <c r="EK82" s="17">
        <f>EJ82*VLOOKUP('Données projet'!$B$15,Paramètres!$A$1:$I$89,3,0)*VLOOKUP('Données projet'!$B$15,Paramètres!$A$1:$I$89,5,0)</f>
        <v>305.110364</v>
      </c>
      <c r="EL82" s="13">
        <f t="shared" si="99"/>
        <v>72.246736607705117</v>
      </c>
      <c r="EM82" s="20">
        <f t="shared" si="73"/>
        <v>657.23028355841973</v>
      </c>
      <c r="EN82" s="59">
        <f t="shared" si="74"/>
        <v>926.24401438313339</v>
      </c>
      <c r="EO82" s="59">
        <f ca="1">AVERAGE(OFFSET($EN$3,0,0,'Données projet'!$E$15+1,1))-AVERAGE(OFFSET($H$3,0,0,'Données projet'!$E$15+1,1))</f>
        <v>375.89365709113105</v>
      </c>
      <c r="EP82" s="59">
        <f t="shared" si="100"/>
        <v>279.39056561403834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37.305040502585484</v>
      </c>
      <c r="EW82" s="21">
        <f>EXP(-LN(2)/25)*EW81+(1-EXP(-LN(2)/25))/(LN(2)/25)*Calculateur!ER82*Calculateur!ET82*VLOOKUP('Données projet'!$B$15,Paramètres!$A$1:$I$89,3,0)*0.475*44/12</f>
        <v>28.21711481751943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65.522155320104915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-1.1368683772161603E-13</v>
      </c>
      <c r="FF82" s="17">
        <f>FE82*VLOOKUP('Données projet'!$B$16,Paramètres!$A$1:$I$89,3,0)*VLOOKUP('Données projet'!$B$16,Paramètres!$A$1:$I$89,5,0)</f>
        <v>-6.7984728957526396E-14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319.29539841078537</v>
      </c>
      <c r="FK82" s="59">
        <f t="shared" si="102"/>
        <v>327.26871144121412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94.92913802766823</v>
      </c>
      <c r="FR82" s="21">
        <f>EXP(-LN(2)/25)*FR81+(1-EXP(-LN(2)/25))/(LN(2)/25)*Calculateur!FM82*Calculateur!FO82*VLOOKUP('Données projet'!$B$16,Paramètres!$A$1:$I$89,3,0)*0.475*44/12</f>
        <v>50.602784764058292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145.53192279172652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2.2737367544323206E-13</v>
      </c>
      <c r="GA82" s="17">
        <f>FZ82*VLOOKUP('Données projet'!$B$17,Paramètres!$A$1:$I$89,3,0)*VLOOKUP('Données projet'!$B$17,Paramètres!$A$1:$I$89,5,0)</f>
        <v>1.0049916454590858E-13</v>
      </c>
      <c r="GB82" s="13">
        <f t="shared" si="103"/>
        <v>1.5089081593838289E-12</v>
      </c>
      <c r="GC82" s="20">
        <f t="shared" si="79"/>
        <v>2.8030510891776262E-12</v>
      </c>
      <c r="GD82" s="59">
        <f t="shared" si="80"/>
        <v>269.01373082471645</v>
      </c>
      <c r="GE82" s="59">
        <f ca="1">AVERAGE(OFFSET($GD$3,0,0,'Données projet'!$E$17+1,1))-AVERAGE(OFFSET($H$3,0,0,'Données projet'!$E$17+1,1))</f>
        <v>342.89128067483233</v>
      </c>
      <c r="GF82" s="59">
        <f t="shared" si="104"/>
        <v>453.47615302202996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113.29484213130985</v>
      </c>
      <c r="GM82" s="21">
        <f>EXP(-LN(2)/25)*GM81+(1-EXP(-LN(2)/25))/(LN(2)/25)*Calculateur!GH82*Calculateur!GJ82*VLOOKUP('Données projet'!$B$17,Paramètres!$A$1:$I$89,3,0)*0.475*44/12</f>
        <v>69.326471885269825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182.62131401657967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63.36738113401281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9.782</v>
      </c>
      <c r="GU82" s="12">
        <f>IF('Données projet'!$A$270&gt;35,GU81+GT82-HC81,IF(A82&lt;'Données projet'!$A$270,$GR$205^A82,IF(A82='Données projet'!$A$270,'Données projet'!$B$270,GU81+GT82-HC81)))</f>
        <v>510.21799999999996</v>
      </c>
      <c r="GV82" s="17">
        <f>GU82*VLOOKUP('Données projet'!$B$18,Paramètres!$A$1:$I$89,3,0)*VLOOKUP('Données projet'!$B$18,Paramètres!$A$1:$I$89,5,0)</f>
        <v>305.110364</v>
      </c>
      <c r="GW82" s="13">
        <f t="shared" si="105"/>
        <v>72.246736607705117</v>
      </c>
      <c r="GX82" s="20">
        <f t="shared" si="82"/>
        <v>657.23028355841973</v>
      </c>
      <c r="GY82" s="59">
        <f t="shared" si="83"/>
        <v>926.24401438313339</v>
      </c>
      <c r="GZ82" s="59">
        <f ca="1">AVERAGE(OFFSET($GY$3,0,0,'Données projet'!$E$18+1,1))-AVERAGE(OFFSET($H$3,0,0,'Données projet'!$E$18+1,1))</f>
        <v>375.89365709113105</v>
      </c>
      <c r="HA82" s="59">
        <f t="shared" si="106"/>
        <v>279.39056561403834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37.305040502585484</v>
      </c>
      <c r="HH82" s="21">
        <f>EXP(-LN(2)/25)*HH81+(1-EXP(-LN(2)/25))/(LN(2)/25)*Calculateur!HC82*Calculateur!HE82*VLOOKUP('Données projet'!$B$18,Paramètres!$A$1:$I$89,3,0)*0.475*44/12</f>
        <v>28.21711481751943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65.522155320104915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178.09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262.97288160000016</v>
      </c>
      <c r="P83" s="13">
        <f t="shared" si="87"/>
        <v>63.355656254051972</v>
      </c>
      <c r="Q83" s="20">
        <f t="shared" si="54"/>
        <v>568.35553676247412</v>
      </c>
      <c r="R83" s="59">
        <f t="shared" si="55"/>
        <v>837.79115832022637</v>
      </c>
      <c r="S83" s="59">
        <f ca="1">AVERAGE(OFFSET($R$3,0,0,'Données projet'!$E$9+1,1))-AVERAGE(OFFSET($H$3,0,0,'Données projet'!$E$9+1,1))</f>
        <v>631.31712308065664</v>
      </c>
      <c r="T83" s="59">
        <f t="shared" si="88"/>
        <v>290.92244624361285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29.533628447245746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29.533628447245746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8.2100000000000009</v>
      </c>
      <c r="AI83" s="13">
        <f>IF('Données projet'!$A$62&gt;35,AI82+AH83-AQ82,IF(A83&lt;'Données projet'!$A$62,$AF$205^A83,IF(A83='Données projet'!$A$62,'Données projet'!$B$62,AI82+AH83-AQ82)))</f>
        <v>244.04000000000019</v>
      </c>
      <c r="AJ83" s="13">
        <f>AI83*VLOOKUP('Données projet'!$B$10,Paramètres!$A$1:$I$89,3,0)*VLOOKUP('Données projet'!$B$10,Paramètres!$A$1:$I$89,5,0)</f>
        <v>205.57929600000017</v>
      </c>
      <c r="AK83" s="13">
        <f t="shared" si="89"/>
        <v>50.968357720865512</v>
      </c>
      <c r="AL83" s="20">
        <f t="shared" si="58"/>
        <v>446.82049689717434</v>
      </c>
      <c r="AM83" s="59">
        <f t="shared" si="59"/>
        <v>716.25611845492654</v>
      </c>
      <c r="AN83" s="59">
        <f ca="1">AVERAGE(OFFSET($AM$3,0,0,'Données projet'!$E$10+1,1))-AVERAGE(OFFSET($H$3,0,0,'Données projet'!$E$10+1,1))</f>
        <v>401.19166052471473</v>
      </c>
      <c r="AO83" s="59">
        <f t="shared" si="90"/>
        <v>271.10067497534271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23.760591754617639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23.760591754617639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294.71098800000021</v>
      </c>
      <c r="BF83" s="13">
        <f t="shared" si="91"/>
        <v>70.066538188752801</v>
      </c>
      <c r="BG83" s="20">
        <f t="shared" si="61"/>
        <v>635.3208581120781</v>
      </c>
      <c r="BH83" s="59">
        <f t="shared" si="62"/>
        <v>904.75647966983036</v>
      </c>
      <c r="BI83" s="59">
        <f ca="1">AVERAGE(OFFSET($BH$3,0,0,'Données projet'!$E$11+1,1))-AVERAGE(OFFSET($H$3,0,0,'Données projet'!$E$11+1,1))</f>
        <v>695.93700574708214</v>
      </c>
      <c r="BJ83" s="59">
        <f t="shared" si="92"/>
        <v>318.31690229208471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33.098031880534023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33.098031880534023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211</v>
      </c>
      <c r="BW83" s="12">
        <f>VLOOKUP(A83,'Données projet'!$A$113:$I$133,9,0)</f>
        <v>3.8</v>
      </c>
      <c r="BX83" s="12">
        <f t="array" ref="BX83">INDEX(BW:BW,MIN(IF(ISNUMBER(BW83:BW279),ROW(BW83:BW279),"")))</f>
        <v>3.8</v>
      </c>
      <c r="BY83" s="12">
        <f>IF('Données projet'!$A$114&gt;35,BY82+BX83-CG82,IF(A83&lt;'Données projet'!$A$114,$BV$205^A83,IF(A83='Données projet'!$A$114,'Données projet'!$B$114,BY82+BX83-CG82)))</f>
        <v>211.00000000000017</v>
      </c>
      <c r="BZ83" s="13">
        <f>BY83*VLOOKUP('Données projet'!$B$12,Paramètres!$A$1:$I$89,3,0)*VLOOKUP('Données projet'!$B$12,Paramètres!$A$1:$I$89,5,0)</f>
        <v>138.24720000000011</v>
      </c>
      <c r="CA83" s="13">
        <f t="shared" si="93"/>
        <v>35.895169667226</v>
      </c>
      <c r="CB83" s="20">
        <f t="shared" si="64"/>
        <v>303.29796050375211</v>
      </c>
      <c r="CC83" s="59">
        <f t="shared" si="65"/>
        <v>572.73358206150442</v>
      </c>
      <c r="CD83" s="59">
        <f ca="1">AVERAGE(OFFSET($CC$3,0,0,'Données projet'!$E$12+1,1))-AVERAGE(OFFSET($H$3,0,0,'Données projet'!$E$12+1,1))</f>
        <v>260.25859566735949</v>
      </c>
      <c r="CE83" s="59">
        <f t="shared" si="94"/>
        <v>256.93649773468667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15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15.060974552372558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15.060974552372558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211</v>
      </c>
      <c r="CR83" s="12">
        <f>VLOOKUP(A83,'Données projet'!$A$139:$I$159,9,0)</f>
        <v>3.8</v>
      </c>
      <c r="CS83" s="12">
        <f t="array" ref="CS83">INDEX(CR:CR,MIN(IF(ISNUMBER(CR83:CR279),ROW(CR83:CR279),"")))</f>
        <v>3.8</v>
      </c>
      <c r="CT83" s="12">
        <f>IF('Données projet'!$A$140&gt;35,CT82+CS83-DB82,IF(A83&lt;'Données projet'!$A$140,$CQ$205^A83,IF(A83='Données projet'!$A$140,'Données projet'!$B$140,CT82+CS83-DB82)))</f>
        <v>211.00000000000017</v>
      </c>
      <c r="CU83" s="17">
        <f>CT83*VLOOKUP('Données projet'!$B$13,Paramètres!$A$1:$I$89,3,0)*VLOOKUP('Données projet'!$B$13,Paramètres!$A$1:$I$89,5,0)</f>
        <v>138.24720000000011</v>
      </c>
      <c r="CV83" s="13">
        <f t="shared" si="95"/>
        <v>35.895169667226</v>
      </c>
      <c r="CW83" s="20">
        <f t="shared" si="67"/>
        <v>303.29796050375211</v>
      </c>
      <c r="CX83" s="59">
        <f t="shared" si="68"/>
        <v>572.73358206150442</v>
      </c>
      <c r="CY83" s="59">
        <f ca="1">AVERAGE(OFFSET($CX$3,0,0,'Données projet'!$E$13+1,1))-AVERAGE(OFFSET($H$3,0,0,'Données projet'!$E$13+1,1))</f>
        <v>260.25859566735949</v>
      </c>
      <c r="CZ83" s="59">
        <f t="shared" si="96"/>
        <v>256.93649773468667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15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15.060974552372558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15.060974552372558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5.613999999999999</v>
      </c>
      <c r="DO83" s="12">
        <f>IF('Données projet'!$A$166&gt;35,DO82+DN83-DW82,IF(A83&lt;'Données projet'!$A$166,$DL$205^A83,IF(A83='Données projet'!$A$166,'Données projet'!$B$166,DO82+DN83-DW82)))</f>
        <v>311.71800000000013</v>
      </c>
      <c r="DP83" s="17">
        <f>DO83*VLOOKUP('Données projet'!$B$14,Paramètres!$A$1:$I$89,3,0)*VLOOKUP('Données projet'!$B$14,Paramètres!$A$1:$I$89,5,0)</f>
        <v>178.30269600000008</v>
      </c>
      <c r="DQ83" s="13">
        <f t="shared" si="97"/>
        <v>44.944359331360417</v>
      </c>
      <c r="DR83" s="20">
        <f t="shared" si="70"/>
        <v>388.82195470211951</v>
      </c>
      <c r="DS83" s="59">
        <f t="shared" si="71"/>
        <v>658.25757625987171</v>
      </c>
      <c r="DT83" s="59">
        <f ca="1">AVERAGE(OFFSET($DS$3,0,0,'Données projet'!$E$14+1,1))-AVERAGE(OFFSET($H$3,0,0,'Données projet'!$E$14+1,1))</f>
        <v>349.56396446903</v>
      </c>
      <c r="DU83" s="59">
        <f t="shared" si="98"/>
        <v>270.64279448634522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31.078881189508639</v>
      </c>
      <c r="EB83" s="21">
        <f>EXP(-LN(2)/25)*EB82+(1-EXP(-LN(2)/25))/(LN(2)/25)*Calculateur!DW83*Calculateur!DY83*VLOOKUP('Données projet'!$B$14,Paramètres!$A$1:$I$89,3,0)*0.475*44/12</f>
        <v>29.406560426036457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60.485441615545099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520</v>
      </c>
      <c r="EH83" s="12">
        <f>VLOOKUP(A83,'Données projet'!$A$191:$I$211,9,0)</f>
        <v>9.782</v>
      </c>
      <c r="EI83" s="12">
        <f t="array" ref="EI83">INDEX(EH:EH,MIN(IF(ISNUMBER(EH83:EH279),ROW(EH83:EH279),"")))</f>
        <v>9.782</v>
      </c>
      <c r="EJ83" s="12">
        <f>IF('Données projet'!$A$192&gt;35,EJ82+EI83-ER82,IF(A83&lt;'Données projet'!$A$192,$EG$205^A83,IF(A83='Données projet'!$A$192,'Données projet'!$B$192,EJ82+EI83-ER82)))</f>
        <v>520</v>
      </c>
      <c r="EK83" s="17">
        <f>EJ83*VLOOKUP('Données projet'!$B$15,Paramètres!$A$1:$I$89,3,0)*VLOOKUP('Données projet'!$B$15,Paramètres!$A$1:$I$89,5,0)</f>
        <v>310.96000000000004</v>
      </c>
      <c r="EL83" s="13">
        <f t="shared" si="99"/>
        <v>73.469280288324128</v>
      </c>
      <c r="EM83" s="20">
        <f t="shared" si="73"/>
        <v>669.54766316883126</v>
      </c>
      <c r="EN83" s="59">
        <f t="shared" si="74"/>
        <v>938.98328472658352</v>
      </c>
      <c r="EO83" s="59">
        <f ca="1">AVERAGE(OFFSET($EN$3,0,0,'Données projet'!$E$15+1,1))-AVERAGE(OFFSET($H$3,0,0,'Données projet'!$E$15+1,1))</f>
        <v>375.89365709113105</v>
      </c>
      <c r="EP83" s="59">
        <f t="shared" si="100"/>
        <v>279.39056561403834</v>
      </c>
      <c r="EQ83" s="15">
        <f>IF(ISNA(VLOOKUP(A83,'Données projet'!$A$191:$I$211,3,0)),0,VLOOKUP(A83,'Données projet'!$A$191:$I$211,3,0))</f>
        <v>8</v>
      </c>
      <c r="ER83" s="15">
        <f>IF(ISNA(VLOOKUP(A83,'Données projet'!$A$191:$I$211,4,0)),0,VLOOKUP(A83,'Données projet'!$A$191:$I$211,4,0))</f>
        <v>520</v>
      </c>
      <c r="ES83" s="16">
        <f>IF(ISNA(VLOOKUP(A83,'Données projet'!$A$191:$I$211,5,0)),0%,VLOOKUP(A83,'Données projet'!$A$191:$I$211,5,0)*VLOOKUP('Données projet'!$B$15,Paramètres!$A$1:$I$89,7,0))</f>
        <v>0.315</v>
      </c>
      <c r="ET83" s="16">
        <f>IF(ISNA(VLOOKUP(A83,'Données projet'!$A$191:$I$211,6,0)),0%,VLOOKUP(A83,'Données projet'!$A$191:$I$211,6,0)*VLOOKUP('Données projet'!$B$15,Paramètres!$A$1:$I$89,7,0))</f>
        <v>0.13500000000000001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166.51368357715378</v>
      </c>
      <c r="EW83" s="21">
        <f>EXP(-LN(2)/25)*EW82+(1-EXP(-LN(2)/25))/(LN(2)/25)*Calculateur!ER83*Calculateur!ET83*VLOOKUP('Données projet'!$B$15,Paramètres!$A$1:$I$89,3,0)*0.475*44/12</f>
        <v>82.914894127287326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249.42857770444112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-1.1368683772161603E-13</v>
      </c>
      <c r="FF83" s="17">
        <f>FE83*VLOOKUP('Données projet'!$B$16,Paramètres!$A$1:$I$89,3,0)*VLOOKUP('Données projet'!$B$16,Paramètres!$A$1:$I$89,5,0)</f>
        <v>-6.7984728957526396E-14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319.29539841078537</v>
      </c>
      <c r="FK83" s="59">
        <f t="shared" si="102"/>
        <v>327.26871144121412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93.067635532002598</v>
      </c>
      <c r="FR83" s="21">
        <f>EXP(-LN(2)/25)*FR82+(1-EXP(-LN(2)/25))/(LN(2)/25)*Calculateur!FM83*Calculateur!FO83*VLOOKUP('Données projet'!$B$16,Paramètres!$A$1:$I$89,3,0)*0.475*44/12</f>
        <v>49.219048953600321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142.2866844856029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2.2737367544323206E-13</v>
      </c>
      <c r="GA83" s="17">
        <f>FZ83*VLOOKUP('Données projet'!$B$17,Paramètres!$A$1:$I$89,3,0)*VLOOKUP('Données projet'!$B$17,Paramètres!$A$1:$I$89,5,0)</f>
        <v>1.0049916454590858E-13</v>
      </c>
      <c r="GB83" s="13">
        <f t="shared" si="103"/>
        <v>1.5089081593838289E-12</v>
      </c>
      <c r="GC83" s="20">
        <f t="shared" si="79"/>
        <v>2.8030510891776262E-12</v>
      </c>
      <c r="GD83" s="59">
        <f t="shared" si="80"/>
        <v>269.43562155775504</v>
      </c>
      <c r="GE83" s="59">
        <f ca="1">AVERAGE(OFFSET($GD$3,0,0,'Données projet'!$E$17+1,1))-AVERAGE(OFFSET($H$3,0,0,'Données projet'!$E$17+1,1))</f>
        <v>342.89128067483233</v>
      </c>
      <c r="GF83" s="59">
        <f t="shared" si="104"/>
        <v>453.47615302202996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111.07319938014521</v>
      </c>
      <c r="GM83" s="21">
        <f>EXP(-LN(2)/25)*GM82+(1-EXP(-LN(2)/25))/(LN(2)/25)*Calculateur!GH83*Calculateur!GJ83*VLOOKUP('Données projet'!$B$17,Paramètres!$A$1:$I$89,3,0)*0.475*44/12</f>
        <v>67.430735865846415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178.50393524599161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63.482442243023343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520</v>
      </c>
      <c r="GS83" s="12">
        <f>VLOOKUP(A83,'Données projet'!$A$269:$I$289,9,0)</f>
        <v>9.782</v>
      </c>
      <c r="GT83" s="12">
        <f t="array" ref="GT83">INDEX(GS:GS,MIN(IF(ISNUMBER(GS83:GS279),ROW(GS83:GS279),"")))</f>
        <v>9.782</v>
      </c>
      <c r="GU83" s="12">
        <f>IF('Données projet'!$A$270&gt;35,GU82+GT83-HC82,IF(A83&lt;'Données projet'!$A$270,$GR$205^A83,IF(A83='Données projet'!$A$270,'Données projet'!$B$270,GU82+GT83-HC82)))</f>
        <v>520</v>
      </c>
      <c r="GV83" s="17">
        <f>GU83*VLOOKUP('Données projet'!$B$18,Paramètres!$A$1:$I$89,3,0)*VLOOKUP('Données projet'!$B$18,Paramètres!$A$1:$I$89,5,0)</f>
        <v>310.96000000000004</v>
      </c>
      <c r="GW83" s="13">
        <f t="shared" si="105"/>
        <v>73.469280288324128</v>
      </c>
      <c r="GX83" s="20">
        <f t="shared" si="82"/>
        <v>669.54766316883126</v>
      </c>
      <c r="GY83" s="59">
        <f t="shared" si="83"/>
        <v>938.98328472658352</v>
      </c>
      <c r="GZ83" s="59">
        <f ca="1">AVERAGE(OFFSET($GY$3,0,0,'Données projet'!$E$18+1,1))-AVERAGE(OFFSET($H$3,0,0,'Données projet'!$E$18+1,1))</f>
        <v>375.89365709113105</v>
      </c>
      <c r="HA83" s="59">
        <f t="shared" si="106"/>
        <v>279.39056561403834</v>
      </c>
      <c r="HB83" s="15">
        <f>IF(ISNA(VLOOKUP(A83,'Données projet'!$A$269:$I$289,3,0)),0,VLOOKUP(A83,'Données projet'!$A$269:$I$289,3,0))</f>
        <v>8</v>
      </c>
      <c r="HC83" s="15">
        <f>IF(ISNA(VLOOKUP(A83,'Données projet'!$A$269:$I$289,4,0)),0,VLOOKUP(A83,'Données projet'!$A$269:$I$289,4,0))</f>
        <v>520</v>
      </c>
      <c r="HD83" s="16">
        <f>IF(ISNA(VLOOKUP(A83,'Données projet'!$A$269:$I$289,5,0)),0%,VLOOKUP(A83,'Données projet'!$A$269:$I$289,5,0)*VLOOKUP('Données projet'!$B$18,Paramètres!$A$1:$I$89,7,0))</f>
        <v>0.315</v>
      </c>
      <c r="HE83" s="16">
        <f>IF(ISNA(VLOOKUP(A83,'Données projet'!$A$269:$I$289,6,0)),0%,VLOOKUP(A83,'Données projet'!$A$269:$I$289,6,0)*VLOOKUP('Données projet'!$B$18,Paramètres!$A$1:$I$89,7,0))</f>
        <v>0.13500000000000001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166.51368357715378</v>
      </c>
      <c r="HH83" s="21">
        <f>EXP(-LN(2)/25)*HH82+(1-EXP(-LN(2)/25))/(LN(2)/25)*Calculateur!HC83*Calculateur!HE83*VLOOKUP('Données projet'!$B$18,Paramètres!$A$1:$I$89,3,0)*0.475*44/12</f>
        <v>82.914894127287326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249.42857770444112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178.09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270.8238312000002</v>
      </c>
      <c r="P84" s="13">
        <f t="shared" si="87"/>
        <v>65.024076047844915</v>
      </c>
      <c r="Q84" s="20">
        <f t="shared" si="54"/>
        <v>584.93510512333023</v>
      </c>
      <c r="R84" s="59">
        <f t="shared" si="55"/>
        <v>854.78529855310921</v>
      </c>
      <c r="S84" s="59">
        <f ca="1">AVERAGE(OFFSET($R$3,0,0,'Données projet'!$E$9+1,1))-AVERAGE(OFFSET($H$3,0,0,'Données projet'!$E$9+1,1))</f>
        <v>631.31712308065664</v>
      </c>
      <c r="T84" s="59">
        <f t="shared" si="88"/>
        <v>290.92244624361285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28.9544920071299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28.9544920071299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8.2100000000000009</v>
      </c>
      <c r="AI84" s="13">
        <f>IF('Données projet'!$A$62&gt;35,AI83+AH84-AQ83,IF(A84&lt;'Données projet'!$A$62,$AF$205^A84,IF(A84='Données projet'!$A$62,'Données projet'!$B$62,AI83+AH84-AQ83)))</f>
        <v>252.2500000000002</v>
      </c>
      <c r="AJ84" s="13">
        <f>AI84*VLOOKUP('Données projet'!$B$10,Paramètres!$A$1:$I$89,3,0)*VLOOKUP('Données projet'!$B$10,Paramètres!$A$1:$I$89,5,0)</f>
        <v>212.49540000000019</v>
      </c>
      <c r="AK84" s="13">
        <f t="shared" si="89"/>
        <v>52.480517913758362</v>
      </c>
      <c r="AL84" s="20">
        <f t="shared" si="58"/>
        <v>461.49972369979611</v>
      </c>
      <c r="AM84" s="59">
        <f t="shared" si="59"/>
        <v>731.34991712957515</v>
      </c>
      <c r="AN84" s="59">
        <f ca="1">AVERAGE(OFFSET($AM$3,0,0,'Données projet'!$E$10+1,1))-AVERAGE(OFFSET($H$3,0,0,'Données projet'!$E$10+1,1))</f>
        <v>401.19166052471473</v>
      </c>
      <c r="AO84" s="59">
        <f t="shared" si="90"/>
        <v>271.10067497534271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23.29466104283954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23.29466104283954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303.5094660000002</v>
      </c>
      <c r="BF84" s="13">
        <f t="shared" si="91"/>
        <v>71.911683612358004</v>
      </c>
      <c r="BG84" s="20">
        <f t="shared" si="61"/>
        <v>653.85850224152387</v>
      </c>
      <c r="BH84" s="59">
        <f t="shared" si="62"/>
        <v>923.70869567130285</v>
      </c>
      <c r="BI84" s="59">
        <f ca="1">AVERAGE(OFFSET($BH$3,0,0,'Données projet'!$E$11+1,1))-AVERAGE(OFFSET($H$3,0,0,'Données projet'!$E$11+1,1))</f>
        <v>695.93700574708214</v>
      </c>
      <c r="BJ84" s="59">
        <f t="shared" si="92"/>
        <v>318.31690229208471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32.448999663162816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32.448999663162816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3.6</v>
      </c>
      <c r="BY84" s="12">
        <f>IF('Données projet'!$A$114&gt;35,BY83+BX84-CG83,IF(A84&lt;'Données projet'!$A$114,$BV$205^A84,IF(A84='Données projet'!$A$114,'Données projet'!$B$114,BY83+BX84-CG83)))</f>
        <v>199.60000000000016</v>
      </c>
      <c r="BZ84" s="13">
        <f>BY84*VLOOKUP('Données projet'!$B$12,Paramètres!$A$1:$I$89,3,0)*VLOOKUP('Données projet'!$B$12,Paramètres!$A$1:$I$89,5,0)</f>
        <v>130.77792000000011</v>
      </c>
      <c r="CA84" s="13">
        <f t="shared" si="93"/>
        <v>34.176051340149542</v>
      </c>
      <c r="CB84" s="20">
        <f t="shared" si="64"/>
        <v>287.2948334174273</v>
      </c>
      <c r="CC84" s="59">
        <f t="shared" si="65"/>
        <v>557.14502684720628</v>
      </c>
      <c r="CD84" s="59">
        <f ca="1">AVERAGE(OFFSET($CC$3,0,0,'Données projet'!$E$12+1,1))-AVERAGE(OFFSET($H$3,0,0,'Données projet'!$E$12+1,1))</f>
        <v>260.25859566735949</v>
      </c>
      <c r="CE84" s="59">
        <f t="shared" si="94"/>
        <v>256.93649773468667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14.765638027687938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14.765638027687938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3.6</v>
      </c>
      <c r="CT84" s="12">
        <f>IF('Données projet'!$A$140&gt;35,CT83+CS84-DB83,IF(A84&lt;'Données projet'!$A$140,$CQ$205^A84,IF(A84='Données projet'!$A$140,'Données projet'!$B$140,CT83+CS84-DB83)))</f>
        <v>199.60000000000016</v>
      </c>
      <c r="CU84" s="17">
        <f>CT84*VLOOKUP('Données projet'!$B$13,Paramètres!$A$1:$I$89,3,0)*VLOOKUP('Données projet'!$B$13,Paramètres!$A$1:$I$89,5,0)</f>
        <v>130.77792000000011</v>
      </c>
      <c r="CV84" s="13">
        <f t="shared" si="95"/>
        <v>34.176051340149542</v>
      </c>
      <c r="CW84" s="20">
        <f t="shared" si="67"/>
        <v>287.2948334174273</v>
      </c>
      <c r="CX84" s="59">
        <f t="shared" si="68"/>
        <v>557.14502684720628</v>
      </c>
      <c r="CY84" s="59">
        <f ca="1">AVERAGE(OFFSET($CX$3,0,0,'Données projet'!$E$13+1,1))-AVERAGE(OFFSET($H$3,0,0,'Données projet'!$E$13+1,1))</f>
        <v>260.25859566735949</v>
      </c>
      <c r="CZ84" s="59">
        <f t="shared" si="96"/>
        <v>256.93649773468667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14.765638027687938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14.765638027687938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5.613999999999999</v>
      </c>
      <c r="DO84" s="12">
        <f>IF('Données projet'!$A$166&gt;35,DO83+DN84-DW83,IF(A84&lt;'Données projet'!$A$166,$DL$205^A84,IF(A84='Données projet'!$A$166,'Données projet'!$B$166,DO83+DN84-DW83)))</f>
        <v>317.33200000000011</v>
      </c>
      <c r="DP84" s="17">
        <f>DO84*VLOOKUP('Données projet'!$B$14,Paramètres!$A$1:$I$89,3,0)*VLOOKUP('Données projet'!$B$14,Paramètres!$A$1:$I$89,5,0)</f>
        <v>181.51390400000008</v>
      </c>
      <c r="DQ84" s="13">
        <f t="shared" si="97"/>
        <v>45.658837558436751</v>
      </c>
      <c r="DR84" s="20">
        <f t="shared" si="70"/>
        <v>395.65919154761076</v>
      </c>
      <c r="DS84" s="59">
        <f t="shared" si="71"/>
        <v>665.5093849773898</v>
      </c>
      <c r="DT84" s="59">
        <f ca="1">AVERAGE(OFFSET($DS$3,0,0,'Données projet'!$E$14+1,1))-AVERAGE(OFFSET($H$3,0,0,'Données projet'!$E$14+1,1))</f>
        <v>349.56396446903</v>
      </c>
      <c r="DU84" s="59">
        <f t="shared" si="98"/>
        <v>270.64279448634522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30.469443285628127</v>
      </c>
      <c r="EB84" s="21">
        <f>EXP(-LN(2)/25)*EB83+(1-EXP(-LN(2)/25))/(LN(2)/25)*Calculateur!DW84*Calculateur!DY84*VLOOKUP('Données projet'!$B$14,Paramètres!$A$1:$I$89,3,0)*0.475*44/12</f>
        <v>28.602436484762688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59.071879770390815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375.89365709113105</v>
      </c>
      <c r="EP84" s="59">
        <f t="shared" si="100"/>
        <v>279.39056561403834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163.24845180552424</v>
      </c>
      <c r="EW84" s="21">
        <f>EXP(-LN(2)/25)*EW83+(1-EXP(-LN(2)/25))/(LN(2)/25)*Calculateur!ER84*Calculateur!ET84*VLOOKUP('Données projet'!$B$15,Paramètres!$A$1:$I$89,3,0)*0.475*44/12</f>
        <v>80.647581987071874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243.89603379259611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-1.1368683772161603E-13</v>
      </c>
      <c r="FF84" s="17">
        <f>FE84*VLOOKUP('Données projet'!$B$16,Paramètres!$A$1:$I$89,3,0)*VLOOKUP('Données projet'!$B$16,Paramètres!$A$1:$I$89,5,0)</f>
        <v>-6.7984728957526396E-14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319.29539841078537</v>
      </c>
      <c r="FK84" s="59">
        <f t="shared" si="102"/>
        <v>327.26871144121412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91.242635964872562</v>
      </c>
      <c r="FR84" s="21">
        <f>EXP(-LN(2)/25)*FR83+(1-EXP(-LN(2)/25))/(LN(2)/25)*Calculateur!FM84*Calculateur!FO84*VLOOKUP('Données projet'!$B$16,Paramètres!$A$1:$I$89,3,0)*0.475*44/12</f>
        <v>47.873151471646828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139.11578743651938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2.2737367544323206E-13</v>
      </c>
      <c r="GA84" s="17">
        <f>FZ84*VLOOKUP('Données projet'!$B$17,Paramètres!$A$1:$I$89,3,0)*VLOOKUP('Données projet'!$B$17,Paramètres!$A$1:$I$89,5,0)</f>
        <v>1.0049916454590858E-13</v>
      </c>
      <c r="GB84" s="13">
        <f t="shared" si="103"/>
        <v>1.5089081593838289E-12</v>
      </c>
      <c r="GC84" s="20">
        <f t="shared" si="79"/>
        <v>2.8030510891776262E-12</v>
      </c>
      <c r="GD84" s="59">
        <f t="shared" si="80"/>
        <v>269.85019342978183</v>
      </c>
      <c r="GE84" s="59">
        <f ca="1">AVERAGE(OFFSET($GD$3,0,0,'Données projet'!$E$17+1,1))-AVERAGE(OFFSET($H$3,0,0,'Données projet'!$E$17+1,1))</f>
        <v>342.89128067483233</v>
      </c>
      <c r="GF84" s="59">
        <f t="shared" si="104"/>
        <v>453.47615302202996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108.89512168826263</v>
      </c>
      <c r="GM84" s="21">
        <f>EXP(-LN(2)/25)*GM83+(1-EXP(-LN(2)/25))/(LN(2)/25)*Calculateur!GH84*Calculateur!GJ84*VLOOKUP('Données projet'!$B$17,Paramètres!$A$1:$I$89,3,0)*0.475*44/12</f>
        <v>65.586838847566554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174.48196053582919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63.595507299030643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>
        <f>GU84*VLOOKUP('Données projet'!$B$18,Paramètres!$A$1:$I$89,3,0)*VLOOKUP('Données projet'!$B$18,Paramètres!$A$1:$I$89,5,0)</f>
        <v>0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375.89365709113105</v>
      </c>
      <c r="HA84" s="59">
        <f t="shared" si="106"/>
        <v>279.39056561403834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163.24845180552424</v>
      </c>
      <c r="HH84" s="21">
        <f>EXP(-LN(2)/25)*HH83+(1-EXP(-LN(2)/25))/(LN(2)/25)*Calculateur!HC84*Calculateur!HE84*VLOOKUP('Données projet'!$B$18,Paramètres!$A$1:$I$89,3,0)*0.475*44/12</f>
        <v>80.647581987071874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243.89603379259611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178.09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278.67478080000018</v>
      </c>
      <c r="P85" s="13">
        <f t="shared" si="87"/>
        <v>66.686874688958113</v>
      </c>
      <c r="Q85" s="20">
        <f t="shared" si="54"/>
        <v>601.50488330993562</v>
      </c>
      <c r="R85" s="59">
        <f t="shared" si="55"/>
        <v>871.76245671660558</v>
      </c>
      <c r="S85" s="59">
        <f ca="1">AVERAGE(OFFSET($R$3,0,0,'Données projet'!$E$9+1,1))-AVERAGE(OFFSET($H$3,0,0,'Données projet'!$E$9+1,1))</f>
        <v>631.31712308065664</v>
      </c>
      <c r="T85" s="59">
        <f t="shared" si="88"/>
        <v>290.92244624361285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28.386712079366379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28.386712079366379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8.2100000000000009</v>
      </c>
      <c r="AI85" s="13">
        <f>IF('Données projet'!$A$62&gt;35,AI84+AH85-AQ84,IF(A85&lt;'Données projet'!$A$62,$AF$205^A85,IF(A85='Données projet'!$A$62,'Données projet'!$B$62,AI84+AH85-AQ84)))</f>
        <v>260.46000000000021</v>
      </c>
      <c r="AJ85" s="13">
        <f>AI85*VLOOKUP('Données projet'!$B$10,Paramètres!$A$1:$I$89,3,0)*VLOOKUP('Données projet'!$B$10,Paramètres!$A$1:$I$89,5,0)</f>
        <v>219.41150400000021</v>
      </c>
      <c r="AK85" s="13">
        <f t="shared" si="89"/>
        <v>53.986959089771062</v>
      </c>
      <c r="AL85" s="20">
        <f t="shared" si="58"/>
        <v>476.16898988135159</v>
      </c>
      <c r="AM85" s="59">
        <f t="shared" si="59"/>
        <v>746.42656328802161</v>
      </c>
      <c r="AN85" s="59">
        <f ca="1">AVERAGE(OFFSET($AM$3,0,0,'Données projet'!$E$10+1,1))-AVERAGE(OFFSET($H$3,0,0,'Données projet'!$E$10+1,1))</f>
        <v>401.19166052471473</v>
      </c>
      <c r="AO85" s="59">
        <f t="shared" si="90"/>
        <v>271.10067497534271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22.837866948129736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22.837866948129736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312.30794400000019</v>
      </c>
      <c r="BF85" s="13">
        <f t="shared" si="91"/>
        <v>73.750612468537497</v>
      </c>
      <c r="BG85" s="20">
        <f t="shared" si="61"/>
        <v>672.38531918270314</v>
      </c>
      <c r="BH85" s="59">
        <f t="shared" si="62"/>
        <v>942.6428925893731</v>
      </c>
      <c r="BI85" s="59">
        <f ca="1">AVERAGE(OFFSET($BH$3,0,0,'Données projet'!$E$11+1,1))-AVERAGE(OFFSET($H$3,0,0,'Données projet'!$E$11+1,1))</f>
        <v>695.93700574708214</v>
      </c>
      <c r="BJ85" s="59">
        <f t="shared" si="92"/>
        <v>318.31690229208471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31.812694571703695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31.812694571703695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3.6</v>
      </c>
      <c r="BY85" s="12">
        <f>IF('Données projet'!$A$114&gt;35,BY84+BX85-CG84,IF(A85&lt;'Données projet'!$A$114,$BV$205^A85,IF(A85='Données projet'!$A$114,'Données projet'!$B$114,BY84+BX85-CG84)))</f>
        <v>203.20000000000016</v>
      </c>
      <c r="BZ85" s="13">
        <f>BY85*VLOOKUP('Données projet'!$B$12,Paramètres!$A$1:$I$89,3,0)*VLOOKUP('Données projet'!$B$12,Paramètres!$A$1:$I$89,5,0)</f>
        <v>133.13664000000011</v>
      </c>
      <c r="CA85" s="13">
        <f t="shared" si="93"/>
        <v>34.720135986247172</v>
      </c>
      <c r="CB85" s="20">
        <f t="shared" si="64"/>
        <v>292.35055150938069</v>
      </c>
      <c r="CC85" s="59">
        <f t="shared" si="65"/>
        <v>562.60812491605066</v>
      </c>
      <c r="CD85" s="59">
        <f ca="1">AVERAGE(OFFSET($CC$3,0,0,'Données projet'!$E$12+1,1))-AVERAGE(OFFSET($H$3,0,0,'Données projet'!$E$12+1,1))</f>
        <v>260.25859566735949</v>
      </c>
      <c r="CE85" s="59">
        <f t="shared" si="94"/>
        <v>256.93649773468667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14.476092872114892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14.476092872114892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3.6</v>
      </c>
      <c r="CT85" s="12">
        <f>IF('Données projet'!$A$140&gt;35,CT84+CS85-DB84,IF(A85&lt;'Données projet'!$A$140,$CQ$205^A85,IF(A85='Données projet'!$A$140,'Données projet'!$B$140,CT84+CS85-DB84)))</f>
        <v>203.20000000000016</v>
      </c>
      <c r="CU85" s="17">
        <f>CT85*VLOOKUP('Données projet'!$B$13,Paramètres!$A$1:$I$89,3,0)*VLOOKUP('Données projet'!$B$13,Paramètres!$A$1:$I$89,5,0)</f>
        <v>133.13664000000011</v>
      </c>
      <c r="CV85" s="13">
        <f t="shared" si="95"/>
        <v>34.720135986247172</v>
      </c>
      <c r="CW85" s="20">
        <f t="shared" si="67"/>
        <v>292.35055150938069</v>
      </c>
      <c r="CX85" s="59">
        <f t="shared" si="68"/>
        <v>562.60812491605066</v>
      </c>
      <c r="CY85" s="59">
        <f ca="1">AVERAGE(OFFSET($CX$3,0,0,'Données projet'!$E$13+1,1))-AVERAGE(OFFSET($H$3,0,0,'Données projet'!$E$13+1,1))</f>
        <v>260.25859566735949</v>
      </c>
      <c r="CZ85" s="59">
        <f t="shared" si="96"/>
        <v>256.93649773468667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14.476092872114892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14.476092872114892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5.613999999999999</v>
      </c>
      <c r="DO85" s="12">
        <f>IF('Données projet'!$A$166&gt;35,DO84+DN85-DW84,IF(A85&lt;'Données projet'!$A$166,$DL$205^A85,IF(A85='Données projet'!$A$166,'Données projet'!$B$166,DO84+DN85-DW84)))</f>
        <v>322.94600000000008</v>
      </c>
      <c r="DP85" s="17">
        <f>DO85*VLOOKUP('Données projet'!$B$14,Paramètres!$A$1:$I$89,3,0)*VLOOKUP('Données projet'!$B$14,Paramètres!$A$1:$I$89,5,0)</f>
        <v>184.72511200000008</v>
      </c>
      <c r="DQ85" s="13">
        <f t="shared" si="97"/>
        <v>46.371845920736533</v>
      </c>
      <c r="DR85" s="20">
        <f t="shared" si="70"/>
        <v>402.49386837861624</v>
      </c>
      <c r="DS85" s="59">
        <f t="shared" si="71"/>
        <v>672.75144178528626</v>
      </c>
      <c r="DT85" s="59">
        <f ca="1">AVERAGE(OFFSET($DS$3,0,0,'Données projet'!$E$14+1,1))-AVERAGE(OFFSET($H$3,0,0,'Données projet'!$E$14+1,1))</f>
        <v>349.56396446903</v>
      </c>
      <c r="DU85" s="59">
        <f t="shared" si="98"/>
        <v>270.64279448634522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29.871956087322296</v>
      </c>
      <c r="EB85" s="21">
        <f>EXP(-LN(2)/25)*EB84+(1-EXP(-LN(2)/25))/(LN(2)/25)*Calculateur!DW85*Calculateur!DY85*VLOOKUP('Données projet'!$B$14,Paramètres!$A$1:$I$89,3,0)*0.475*44/12</f>
        <v>27.820301354950089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57.692257442272386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375.89365709113105</v>
      </c>
      <c r="EP85" s="59">
        <f t="shared" si="100"/>
        <v>279.39056561403834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160.04724923734162</v>
      </c>
      <c r="EW85" s="21">
        <f>EXP(-LN(2)/25)*EW84+(1-EXP(-LN(2)/25))/(LN(2)/25)*Calculateur!ER85*Calculateur!ET85*VLOOKUP('Données projet'!$B$15,Paramètres!$A$1:$I$89,3,0)*0.475*44/12</f>
        <v>78.442269616563379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238.489518853905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-1.1368683772161603E-13</v>
      </c>
      <c r="FF85" s="17">
        <f>FE85*VLOOKUP('Données projet'!$B$16,Paramètres!$A$1:$I$89,3,0)*VLOOKUP('Données projet'!$B$16,Paramètres!$A$1:$I$89,5,0)</f>
        <v>-6.7984728957526396E-14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319.29539841078537</v>
      </c>
      <c r="FK85" s="59">
        <f t="shared" si="102"/>
        <v>327.26871144121412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89.453423526114122</v>
      </c>
      <c r="FR85" s="21">
        <f>EXP(-LN(2)/25)*FR84+(1-EXP(-LN(2)/25))/(LN(2)/25)*Calculateur!FM85*Calculateur!FO85*VLOOKUP('Données projet'!$B$16,Paramètres!$A$1:$I$89,3,0)*0.475*44/12</f>
        <v>46.564057627115027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136.01748115322914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2.2737367544323206E-13</v>
      </c>
      <c r="GA85" s="17">
        <f>FZ85*VLOOKUP('Données projet'!$B$17,Paramètres!$A$1:$I$89,3,0)*VLOOKUP('Données projet'!$B$17,Paramètres!$A$1:$I$89,5,0)</f>
        <v>1.0049916454590858E-13</v>
      </c>
      <c r="GB85" s="13">
        <f t="shared" si="103"/>
        <v>1.5089081593838289E-12</v>
      </c>
      <c r="GC85" s="20">
        <f t="shared" si="79"/>
        <v>2.8030510891776262E-12</v>
      </c>
      <c r="GD85" s="59">
        <f t="shared" si="80"/>
        <v>270.2575734066728</v>
      </c>
      <c r="GE85" s="59">
        <f ca="1">AVERAGE(OFFSET($GD$3,0,0,'Données projet'!$E$17+1,1))-AVERAGE(OFFSET($H$3,0,0,'Données projet'!$E$17+1,1))</f>
        <v>342.89128067483233</v>
      </c>
      <c r="GF85" s="59">
        <f t="shared" si="104"/>
        <v>453.47615302202996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106.75975477142165</v>
      </c>
      <c r="GM85" s="21">
        <f>EXP(-LN(2)/25)*GM84+(1-EXP(-LN(2)/25))/(LN(2)/25)*Calculateur!GH85*Calculateur!GJ85*VLOOKUP('Données projet'!$B$17,Paramètres!$A$1:$I$89,3,0)*0.475*44/12</f>
        <v>63.79336329021789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170.55311806163954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63.706610929091823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>
        <f>GU85*VLOOKUP('Données projet'!$B$18,Paramètres!$A$1:$I$89,3,0)*VLOOKUP('Données projet'!$B$18,Paramètres!$A$1:$I$89,5,0)</f>
        <v>0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375.89365709113105</v>
      </c>
      <c r="HA85" s="59">
        <f t="shared" si="106"/>
        <v>279.39056561403834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160.04724923734162</v>
      </c>
      <c r="HH85" s="21">
        <f>EXP(-LN(2)/25)*HH84+(1-EXP(-LN(2)/25))/(LN(2)/25)*Calculateur!HC85*Calculateur!HE85*VLOOKUP('Données projet'!$B$18,Paramètres!$A$1:$I$89,3,0)*0.475*44/12</f>
        <v>78.442269616563379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238.489518853905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178.09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286.52573040000021</v>
      </c>
      <c r="P86" s="13">
        <f t="shared" si="87"/>
        <v>68.344228730046424</v>
      </c>
      <c r="Q86" s="20">
        <f t="shared" si="54"/>
        <v>618.06517881816455</v>
      </c>
      <c r="R86" s="59">
        <f t="shared" si="55"/>
        <v>888.72306506989162</v>
      </c>
      <c r="S86" s="59">
        <f ca="1">AVERAGE(OFFSET($R$3,0,0,'Données projet'!$E$9+1,1))-AVERAGE(OFFSET($H$3,0,0,'Données projet'!$E$9+1,1))</f>
        <v>631.31712308065664</v>
      </c>
      <c r="T86" s="59">
        <f t="shared" si="88"/>
        <v>290.92244624361285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27.830065969674738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27.830065969674738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268.67</v>
      </c>
      <c r="AG86" s="12">
        <f>VLOOKUP(A86,'Données projet'!$A$61:$I$81,9,0)</f>
        <v>8.2100000000000009</v>
      </c>
      <c r="AH86" s="12">
        <f t="array" ref="AH86">INDEX(AG:AG,MIN(IF(ISNUMBER(AG86:AG282),ROW(AG86:AG282),"")))</f>
        <v>8.2100000000000009</v>
      </c>
      <c r="AI86" s="13">
        <f>IF('Données projet'!$A$62&gt;35,AI85+AH86-AQ85,IF(A86&lt;'Données projet'!$A$62,$AF$205^A86,IF(A86='Données projet'!$A$62,'Données projet'!$B$62,AI85+AH86-AQ85)))</f>
        <v>268.67000000000019</v>
      </c>
      <c r="AJ86" s="13">
        <f>AI86*VLOOKUP('Données projet'!$B$10,Paramètres!$A$1:$I$89,3,0)*VLOOKUP('Données projet'!$B$10,Paramètres!$A$1:$I$89,5,0)</f>
        <v>226.32760800000017</v>
      </c>
      <c r="AK86" s="13">
        <f t="shared" si="89"/>
        <v>55.487882201127306</v>
      </c>
      <c r="AL86" s="20">
        <f t="shared" si="58"/>
        <v>490.8286454336303</v>
      </c>
      <c r="AM86" s="59">
        <f t="shared" si="59"/>
        <v>761.48653168535748</v>
      </c>
      <c r="AN86" s="59">
        <f ca="1">AVERAGE(OFFSET($AM$3,0,0,'Données projet'!$E$10+1,1))-AVERAGE(OFFSET($H$3,0,0,'Données projet'!$E$10+1,1))</f>
        <v>401.19166052471473</v>
      </c>
      <c r="AO86" s="59">
        <f t="shared" si="90"/>
        <v>271.10067497534271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44.22</v>
      </c>
      <c r="AR86" s="16">
        <f>IF(ISNA(VLOOKUP(A86,'Données projet'!$A$61:$I$81,5,0)),0%,VLOOKUP(A86,'Données projet'!$A$61:$I$81,5,0)*VLOOKUP('Données projet'!$B$10,Paramètres!$A$1:$I$89,7,0))</f>
        <v>0.25800000000000001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33.014418065641877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33.014418065641877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321.10642200000024</v>
      </c>
      <c r="BF86" s="13">
        <f t="shared" si="91"/>
        <v>75.58352001110228</v>
      </c>
      <c r="BG86" s="20">
        <f t="shared" si="61"/>
        <v>690.90164900267018</v>
      </c>
      <c r="BH86" s="59">
        <f t="shared" si="62"/>
        <v>961.55953525439736</v>
      </c>
      <c r="BI86" s="59">
        <f ca="1">AVERAGE(OFFSET($BH$3,0,0,'Données projet'!$E$11+1,1))-AVERAGE(OFFSET($H$3,0,0,'Données projet'!$E$11+1,1))</f>
        <v>695.93700574708214</v>
      </c>
      <c r="BJ86" s="59">
        <f t="shared" si="92"/>
        <v>318.31690229208471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31.188867034980305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31.188867034980305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3.6</v>
      </c>
      <c r="BY86" s="12">
        <f>IF('Données projet'!$A$114&gt;35,BY85+BX86-CG85,IF(A86&lt;'Données projet'!$A$114,$BV$205^A86,IF(A86='Données projet'!$A$114,'Données projet'!$B$114,BY85+BX86-CG85)))</f>
        <v>206.80000000000015</v>
      </c>
      <c r="BZ86" s="13">
        <f>BY86*VLOOKUP('Données projet'!$B$12,Paramètres!$A$1:$I$89,3,0)*VLOOKUP('Données projet'!$B$12,Paramètres!$A$1:$I$89,5,0)</f>
        <v>135.49536000000012</v>
      </c>
      <c r="CA86" s="13">
        <f t="shared" si="93"/>
        <v>35.263099712541788</v>
      </c>
      <c r="CB86" s="20">
        <f t="shared" si="64"/>
        <v>297.40431733267718</v>
      </c>
      <c r="CC86" s="59">
        <f t="shared" si="65"/>
        <v>568.0622035844043</v>
      </c>
      <c r="CD86" s="59">
        <f ca="1">AVERAGE(OFFSET($CC$3,0,0,'Données projet'!$E$12+1,1))-AVERAGE(OFFSET($H$3,0,0,'Données projet'!$E$12+1,1))</f>
        <v>260.25859566735949</v>
      </c>
      <c r="CE86" s="59">
        <f t="shared" si="94"/>
        <v>256.93649773468667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14.192225520437526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14.192225520437526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3.6</v>
      </c>
      <c r="CT86" s="12">
        <f>IF('Données projet'!$A$140&gt;35,CT85+CS86-DB85,IF(A86&lt;'Données projet'!$A$140,$CQ$205^A86,IF(A86='Données projet'!$A$140,'Données projet'!$B$140,CT85+CS86-DB85)))</f>
        <v>206.80000000000015</v>
      </c>
      <c r="CU86" s="17">
        <f>CT86*VLOOKUP('Données projet'!$B$13,Paramètres!$A$1:$I$89,3,0)*VLOOKUP('Données projet'!$B$13,Paramètres!$A$1:$I$89,5,0)</f>
        <v>135.49536000000012</v>
      </c>
      <c r="CV86" s="13">
        <f t="shared" si="95"/>
        <v>35.263099712541788</v>
      </c>
      <c r="CW86" s="20">
        <f t="shared" si="67"/>
        <v>297.40431733267718</v>
      </c>
      <c r="CX86" s="59">
        <f t="shared" si="68"/>
        <v>568.0622035844043</v>
      </c>
      <c r="CY86" s="59">
        <f ca="1">AVERAGE(OFFSET($CX$3,0,0,'Données projet'!$E$13+1,1))-AVERAGE(OFFSET($H$3,0,0,'Données projet'!$E$13+1,1))</f>
        <v>260.25859566735949</v>
      </c>
      <c r="CZ86" s="59">
        <f t="shared" si="96"/>
        <v>256.93649773468667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14.192225520437526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14.192225520437526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5.613999999999999</v>
      </c>
      <c r="DO86" s="12">
        <f>IF('Données projet'!$A$166&gt;35,DO85+DN86-DW85,IF(A86&lt;'Données projet'!$A$166,$DL$205^A86,IF(A86='Données projet'!$A$166,'Données projet'!$B$166,DO85+DN86-DW85)))</f>
        <v>328.56000000000006</v>
      </c>
      <c r="DP86" s="17">
        <f>DO86*VLOOKUP('Données projet'!$B$14,Paramètres!$A$1:$I$89,3,0)*VLOOKUP('Données projet'!$B$14,Paramètres!$A$1:$I$89,5,0)</f>
        <v>187.93632000000002</v>
      </c>
      <c r="DQ86" s="13">
        <f t="shared" si="97"/>
        <v>47.08341291823524</v>
      </c>
      <c r="DR86" s="20">
        <f t="shared" si="70"/>
        <v>409.32603483259305</v>
      </c>
      <c r="DS86" s="59">
        <f t="shared" si="71"/>
        <v>679.98392108432017</v>
      </c>
      <c r="DT86" s="59">
        <f ca="1">AVERAGE(OFFSET($DS$3,0,0,'Données projet'!$E$14+1,1))-AVERAGE(OFFSET($H$3,0,0,'Données projet'!$E$14+1,1))</f>
        <v>349.56396446903</v>
      </c>
      <c r="DU86" s="59">
        <f t="shared" si="98"/>
        <v>270.64279448634522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29.286185248544033</v>
      </c>
      <c r="EB86" s="21">
        <f>EXP(-LN(2)/25)*EB85+(1-EXP(-LN(2)/25))/(LN(2)/25)*Calculateur!DW86*Calculateur!DY86*VLOOKUP('Données projet'!$B$14,Paramètres!$A$1:$I$89,3,0)*0.475*44/12</f>
        <v>27.059553751392915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56.345738999936948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375.89365709113105</v>
      </c>
      <c r="EP86" s="59">
        <f t="shared" si="100"/>
        <v>279.39056561403834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156.90882029898029</v>
      </c>
      <c r="EW86" s="21">
        <f>EXP(-LN(2)/25)*EW85+(1-EXP(-LN(2)/25))/(LN(2)/25)*Calculateur!ER86*Calculateur!ET86*VLOOKUP('Données projet'!$B$15,Paramètres!$A$1:$I$89,3,0)*0.475*44/12</f>
        <v>76.297261628798779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233.20608192777905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-1.1368683772161603E-13</v>
      </c>
      <c r="FF86" s="17">
        <f>FE86*VLOOKUP('Données projet'!$B$16,Paramètres!$A$1:$I$89,3,0)*VLOOKUP('Données projet'!$B$16,Paramètres!$A$1:$I$89,5,0)</f>
        <v>-6.7984728957526396E-14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319.29539841078537</v>
      </c>
      <c r="FK86" s="59">
        <f t="shared" si="102"/>
        <v>327.26871144121412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87.699296451967911</v>
      </c>
      <c r="FR86" s="21">
        <f>EXP(-LN(2)/25)*FR85+(1-EXP(-LN(2)/25))/(LN(2)/25)*Calculateur!FM86*Calculateur!FO86*VLOOKUP('Données projet'!$B$16,Paramètres!$A$1:$I$89,3,0)*0.475*44/12</f>
        <v>45.290761022604201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132.9900574745721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2.2737367544323206E-13</v>
      </c>
      <c r="GA86" s="17">
        <f>FZ86*VLOOKUP('Données projet'!$B$17,Paramètres!$A$1:$I$89,3,0)*VLOOKUP('Données projet'!$B$17,Paramètres!$A$1:$I$89,5,0)</f>
        <v>1.0049916454590858E-13</v>
      </c>
      <c r="GB86" s="13">
        <f t="shared" si="103"/>
        <v>1.5089081593838289E-12</v>
      </c>
      <c r="GC86" s="20">
        <f t="shared" si="79"/>
        <v>2.8030510891776262E-12</v>
      </c>
      <c r="GD86" s="59">
        <f t="shared" si="80"/>
        <v>270.65788625172991</v>
      </c>
      <c r="GE86" s="59">
        <f ca="1">AVERAGE(OFFSET($GD$3,0,0,'Données projet'!$E$17+1,1))-AVERAGE(OFFSET($H$3,0,0,'Données projet'!$E$17+1,1))</f>
        <v>342.89128067483233</v>
      </c>
      <c r="GF86" s="59">
        <f t="shared" si="104"/>
        <v>453.47615302202996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104.66626109737471</v>
      </c>
      <c r="GM86" s="21">
        <f>EXP(-LN(2)/25)*GM85+(1-EXP(-LN(2)/25))/(LN(2)/25)*Calculateur!GH86*Calculateur!GJ86*VLOOKUP('Données projet'!$B$17,Paramètres!$A$1:$I$89,3,0)*0.475*44/12</f>
        <v>62.048930416299712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166.71519151367443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63.81578715956195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>
        <f>GU86*VLOOKUP('Données projet'!$B$18,Paramètres!$A$1:$I$89,3,0)*VLOOKUP('Données projet'!$B$18,Paramètres!$A$1:$I$89,5,0)</f>
        <v>0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375.89365709113105</v>
      </c>
      <c r="HA86" s="59">
        <f t="shared" si="106"/>
        <v>279.39056561403834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156.90882029898029</v>
      </c>
      <c r="HH86" s="21">
        <f>EXP(-LN(2)/25)*HH85+(1-EXP(-LN(2)/25))/(LN(2)/25)*Calculateur!HC86*Calculateur!HE86*VLOOKUP('Données projet'!$B$18,Paramètres!$A$1:$I$89,3,0)*0.475*44/12</f>
        <v>76.297261628798779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233.20608192777905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178.09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294.37668000000025</v>
      </c>
      <c r="P87" s="13">
        <f t="shared" si="87"/>
        <v>69.99630449784344</v>
      </c>
      <c r="Q87" s="20">
        <f t="shared" si="54"/>
        <v>634.61628133374438</v>
      </c>
      <c r="R87" s="59">
        <f t="shared" si="55"/>
        <v>905.66753589763243</v>
      </c>
      <c r="S87" s="59">
        <f ca="1">AVERAGE(OFFSET($R$3,0,0,'Données projet'!$E$9+1,1))-AVERAGE(OFFSET($H$3,0,0,'Données projet'!$E$9+1,1))</f>
        <v>631.31712308065664</v>
      </c>
      <c r="T87" s="59">
        <f t="shared" si="88"/>
        <v>290.92244624361285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43.147236627276406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43.147236627276406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7.9879999999999969</v>
      </c>
      <c r="AI87" s="13">
        <f>IF('Données projet'!$A$62&gt;35,AI86+AH87-AQ86,IF(A87&lt;'Données projet'!$A$62,$AF$205^A87,IF(A87='Données projet'!$A$62,'Données projet'!$B$62,AI86+AH87-AQ86)))</f>
        <v>232.43800000000019</v>
      </c>
      <c r="AJ87" s="13">
        <f>AI87*VLOOKUP('Données projet'!$B$10,Paramètres!$A$1:$I$89,3,0)*VLOOKUP('Données projet'!$B$10,Paramètres!$A$1:$I$89,5,0)</f>
        <v>195.80577120000018</v>
      </c>
      <c r="AK87" s="13">
        <f t="shared" si="89"/>
        <v>48.821269270689932</v>
      </c>
      <c r="AL87" s="20">
        <f t="shared" si="58"/>
        <v>426.05876215311855</v>
      </c>
      <c r="AM87" s="59">
        <f t="shared" si="59"/>
        <v>697.1100167170066</v>
      </c>
      <c r="AN87" s="59">
        <f ca="1">AVERAGE(OFFSET($AM$3,0,0,'Données projet'!$E$10+1,1))-AVERAGE(OFFSET($H$3,0,0,'Données projet'!$E$10+1,1))</f>
        <v>401.19166052471473</v>
      </c>
      <c r="AO87" s="59">
        <f t="shared" si="90"/>
        <v>271.10067497534271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32.367025464181317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32.367025464181317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329.90490000000028</v>
      </c>
      <c r="BF87" s="13">
        <f t="shared" si="91"/>
        <v>77.410590184772218</v>
      </c>
      <c r="BG87" s="20">
        <f t="shared" si="61"/>
        <v>709.40781207181215</v>
      </c>
      <c r="BH87" s="59">
        <f t="shared" si="62"/>
        <v>980.45906663570008</v>
      </c>
      <c r="BI87" s="59">
        <f ca="1">AVERAGE(OFFSET($BH$3,0,0,'Données projet'!$E$11+1,1))-AVERAGE(OFFSET($H$3,0,0,'Données projet'!$E$11+1,1))</f>
        <v>695.93700574708214</v>
      </c>
      <c r="BJ87" s="59">
        <f t="shared" si="92"/>
        <v>318.31690229208471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48.354661737464937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48.354661737464937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3.6</v>
      </c>
      <c r="BY87" s="12">
        <f>IF('Données projet'!$A$114&gt;35,BY86+BX87-CG86,IF(A87&lt;'Données projet'!$A$114,$BV$205^A87,IF(A87='Données projet'!$A$114,'Données projet'!$B$114,BY86+BX87-CG86)))</f>
        <v>210.40000000000015</v>
      </c>
      <c r="BZ87" s="13">
        <f>BY87*VLOOKUP('Données projet'!$B$12,Paramètres!$A$1:$I$89,3,0)*VLOOKUP('Données projet'!$B$12,Paramètres!$A$1:$I$89,5,0)</f>
        <v>137.8540800000001</v>
      </c>
      <c r="CA87" s="13">
        <f t="shared" si="93"/>
        <v>35.804964283629992</v>
      </c>
      <c r="CB87" s="20">
        <f t="shared" si="64"/>
        <v>302.45616879398909</v>
      </c>
      <c r="CC87" s="59">
        <f t="shared" si="65"/>
        <v>573.50742335787709</v>
      </c>
      <c r="CD87" s="59">
        <f ca="1">AVERAGE(OFFSET($CC$3,0,0,'Données projet'!$E$12+1,1))-AVERAGE(OFFSET($H$3,0,0,'Données projet'!$E$12+1,1))</f>
        <v>260.25859566735949</v>
      </c>
      <c r="CE87" s="59">
        <f t="shared" si="94"/>
        <v>256.93649773468667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13.913924634384566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13.913924634384566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3.6</v>
      </c>
      <c r="CT87" s="12">
        <f>IF('Données projet'!$A$140&gt;35,CT86+CS87-DB86,IF(A87&lt;'Données projet'!$A$140,$CQ$205^A87,IF(A87='Données projet'!$A$140,'Données projet'!$B$140,CT86+CS87-DB86)))</f>
        <v>210.40000000000015</v>
      </c>
      <c r="CU87" s="17">
        <f>CT87*VLOOKUP('Données projet'!$B$13,Paramètres!$A$1:$I$89,3,0)*VLOOKUP('Données projet'!$B$13,Paramètres!$A$1:$I$89,5,0)</f>
        <v>137.8540800000001</v>
      </c>
      <c r="CV87" s="13">
        <f t="shared" si="95"/>
        <v>35.804964283629992</v>
      </c>
      <c r="CW87" s="20">
        <f t="shared" si="67"/>
        <v>302.45616879398909</v>
      </c>
      <c r="CX87" s="59">
        <f t="shared" si="68"/>
        <v>573.50742335787709</v>
      </c>
      <c r="CY87" s="59">
        <f ca="1">AVERAGE(OFFSET($CX$3,0,0,'Données projet'!$E$13+1,1))-AVERAGE(OFFSET($H$3,0,0,'Données projet'!$E$13+1,1))</f>
        <v>260.25859566735949</v>
      </c>
      <c r="CZ87" s="59">
        <f t="shared" si="96"/>
        <v>256.93649773468667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13.913924634384566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13.913924634384566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5.613999999999999</v>
      </c>
      <c r="DO87" s="12">
        <f>IF('Données projet'!$A$166&gt;35,DO86+DN87-DW86,IF(A87&lt;'Données projet'!$A$166,$DL$205^A87,IF(A87='Données projet'!$A$166,'Données projet'!$B$166,DO86+DN87-DW86)))</f>
        <v>334.17400000000004</v>
      </c>
      <c r="DP87" s="17">
        <f>DO87*VLOOKUP('Données projet'!$B$14,Paramètres!$A$1:$I$89,3,0)*VLOOKUP('Données projet'!$B$14,Paramètres!$A$1:$I$89,5,0)</f>
        <v>191.14752800000002</v>
      </c>
      <c r="DQ87" s="13">
        <f t="shared" si="97"/>
        <v>47.793566021159592</v>
      </c>
      <c r="DR87" s="20">
        <f t="shared" si="70"/>
        <v>416.15573875351964</v>
      </c>
      <c r="DS87" s="59">
        <f t="shared" si="71"/>
        <v>687.20699331740764</v>
      </c>
      <c r="DT87" s="59">
        <f ca="1">AVERAGE(OFFSET($DS$3,0,0,'Données projet'!$E$14+1,1))-AVERAGE(OFFSET($H$3,0,0,'Données projet'!$E$14+1,1))</f>
        <v>349.56396446903</v>
      </c>
      <c r="DU87" s="59">
        <f t="shared" si="98"/>
        <v>270.64279448634522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28.71190101862928</v>
      </c>
      <c r="EB87" s="21">
        <f>EXP(-LN(2)/25)*EB86+(1-EXP(-LN(2)/25))/(LN(2)/25)*Calculateur!DW87*Calculateur!DY87*VLOOKUP('Données projet'!$B$14,Paramètres!$A$1:$I$89,3,0)*0.475*44/12</f>
        <v>26.319608831060989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55.031509849690266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375.89365709113105</v>
      </c>
      <c r="EP87" s="59">
        <f t="shared" si="100"/>
        <v>279.39056561403834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153.83193403784759</v>
      </c>
      <c r="EW87" s="21">
        <f>EXP(-LN(2)/25)*EW86+(1-EXP(-LN(2)/25))/(LN(2)/25)*Calculateur!ER87*Calculateur!ET87*VLOOKUP('Données projet'!$B$15,Paramètres!$A$1:$I$89,3,0)*0.475*44/12</f>
        <v>74.210908997260674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228.04284303510826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-1.1368683772161603E-13</v>
      </c>
      <c r="FF87" s="17">
        <f>FE87*VLOOKUP('Données projet'!$B$16,Paramètres!$A$1:$I$89,3,0)*VLOOKUP('Données projet'!$B$16,Paramètres!$A$1:$I$89,5,0)</f>
        <v>-6.7984728957526396E-14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319.29539841078537</v>
      </c>
      <c r="FK87" s="59">
        <f t="shared" si="102"/>
        <v>327.26871144121412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85.979566739833828</v>
      </c>
      <c r="FR87" s="21">
        <f>EXP(-LN(2)/25)*FR86+(1-EXP(-LN(2)/25))/(LN(2)/25)*Calculateur!FM87*Calculateur!FO87*VLOOKUP('Données projet'!$B$16,Paramètres!$A$1:$I$89,3,0)*0.475*44/12</f>
        <v>44.052282780703479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130.03184952053732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2.2737367544323206E-13</v>
      </c>
      <c r="GA87" s="17">
        <f>FZ87*VLOOKUP('Données projet'!$B$17,Paramètres!$A$1:$I$89,3,0)*VLOOKUP('Données projet'!$B$17,Paramètres!$A$1:$I$89,5,0)</f>
        <v>1.0049916454590858E-13</v>
      </c>
      <c r="GB87" s="13">
        <f t="shared" si="103"/>
        <v>1.5089081593838289E-12</v>
      </c>
      <c r="GC87" s="20">
        <f t="shared" si="79"/>
        <v>2.8030510891776262E-12</v>
      </c>
      <c r="GD87" s="59">
        <f t="shared" si="80"/>
        <v>271.05125456389078</v>
      </c>
      <c r="GE87" s="59">
        <f ca="1">AVERAGE(OFFSET($GD$3,0,0,'Données projet'!$E$17+1,1))-AVERAGE(OFFSET($H$3,0,0,'Données projet'!$E$17+1,1))</f>
        <v>342.89128067483233</v>
      </c>
      <c r="GF87" s="59">
        <f t="shared" si="104"/>
        <v>453.47615302202996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102.61381955737077</v>
      </c>
      <c r="GM87" s="21">
        <f>EXP(-LN(2)/25)*GM86+(1-EXP(-LN(2)/25))/(LN(2)/25)*Calculateur!GH87*Calculateur!GJ87*VLOOKUP('Données projet'!$B$17,Paramètres!$A$1:$I$89,3,0)*0.475*44/12</f>
        <v>60.352199151054563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162.96601870842534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63.923069426514893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>
        <f>GU87*VLOOKUP('Données projet'!$B$18,Paramètres!$A$1:$I$89,3,0)*VLOOKUP('Données projet'!$B$18,Paramètres!$A$1:$I$89,5,0)</f>
        <v>0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375.89365709113105</v>
      </c>
      <c r="HA87" s="59">
        <f t="shared" si="106"/>
        <v>279.39056561403834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153.83193403784759</v>
      </c>
      <c r="HH87" s="21">
        <f>EXP(-LN(2)/25)*HH86+(1-EXP(-LN(2)/25))/(LN(2)/25)*Calculateur!HC87*Calculateur!HE87*VLOOKUP('Données projet'!$B$18,Paramètres!$A$1:$I$89,3,0)*0.475*44/12</f>
        <v>74.210908997260674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228.04284303510826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178.09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246.26032080000024</v>
      </c>
      <c r="P88" s="13">
        <f t="shared" si="87"/>
        <v>59.784443753506842</v>
      </c>
      <c r="Q88" s="20">
        <f t="shared" si="54"/>
        <v>533.02796493069138</v>
      </c>
      <c r="R88" s="59">
        <f t="shared" si="55"/>
        <v>804.46576374596384</v>
      </c>
      <c r="S88" s="59">
        <f ca="1">AVERAGE(OFFSET($R$3,0,0,'Données projet'!$E$9+1,1))-AVERAGE(OFFSET($H$3,0,0,'Données projet'!$E$9+1,1))</f>
        <v>631.31712308065664</v>
      </c>
      <c r="T88" s="59">
        <f t="shared" si="88"/>
        <v>290.92244624361285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42.301145634231247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42.301145634231247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7.9879999999999969</v>
      </c>
      <c r="AI88" s="13">
        <f>IF('Données projet'!$A$62&gt;35,AI87+AH88-AQ87,IF(A88&lt;'Données projet'!$A$62,$AF$205^A88,IF(A88='Données projet'!$A$62,'Données projet'!$B$62,AI87+AH88-AQ87)))</f>
        <v>240.42600000000019</v>
      </c>
      <c r="AJ88" s="13">
        <f>AI88*VLOOKUP('Données projet'!$B$10,Paramètres!$A$1:$I$89,3,0)*VLOOKUP('Données projet'!$B$10,Paramètres!$A$1:$I$89,5,0)</f>
        <v>202.53486240000018</v>
      </c>
      <c r="AK88" s="13">
        <f t="shared" si="89"/>
        <v>50.300844751824435</v>
      </c>
      <c r="AL88" s="20">
        <f t="shared" si="58"/>
        <v>440.35552328942782</v>
      </c>
      <c r="AM88" s="59">
        <f t="shared" si="59"/>
        <v>711.79332210470034</v>
      </c>
      <c r="AN88" s="59">
        <f ca="1">AVERAGE(OFFSET($AM$3,0,0,'Données projet'!$E$10+1,1))-AVERAGE(OFFSET($H$3,0,0,'Données projet'!$E$10+1,1))</f>
        <v>401.19166052471473</v>
      </c>
      <c r="AO88" s="59">
        <f t="shared" si="90"/>
        <v>271.10067497534271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31.732327836764899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31.732327836764899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275.98139400000031</v>
      </c>
      <c r="BF88" s="13">
        <f t="shared" si="91"/>
        <v>66.117048721763197</v>
      </c>
      <c r="BG88" s="20">
        <f t="shared" si="61"/>
        <v>595.82145440707143</v>
      </c>
      <c r="BH88" s="59">
        <f t="shared" si="62"/>
        <v>867.25925322234389</v>
      </c>
      <c r="BI88" s="59">
        <f ca="1">AVERAGE(OFFSET($BH$3,0,0,'Données projet'!$E$11+1,1))-AVERAGE(OFFSET($H$3,0,0,'Données projet'!$E$11+1,1))</f>
        <v>695.93700574708214</v>
      </c>
      <c r="BJ88" s="59">
        <f t="shared" si="92"/>
        <v>318.31690229208471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47.406456314224677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47.406456314224677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214</v>
      </c>
      <c r="BW88" s="12">
        <f>VLOOKUP(A88,'Données projet'!$A$113:$I$133,9,0)</f>
        <v>3.6</v>
      </c>
      <c r="BX88" s="12">
        <f t="array" ref="BX88">INDEX(BW:BW,MIN(IF(ISNUMBER(BW88:BW284),ROW(BW88:BW284),"")))</f>
        <v>3.6</v>
      </c>
      <c r="BY88" s="12">
        <f>IF('Données projet'!$A$114&gt;35,BY87+BX88-CG87,IF(A88&lt;'Données projet'!$A$114,$BV$205^A88,IF(A88='Données projet'!$A$114,'Données projet'!$B$114,BY87+BX88-CG87)))</f>
        <v>214.00000000000014</v>
      </c>
      <c r="BZ88" s="13">
        <f>BY88*VLOOKUP('Données projet'!$B$12,Paramètres!$A$1:$I$89,3,0)*VLOOKUP('Données projet'!$B$12,Paramètres!$A$1:$I$89,5,0)</f>
        <v>140.21280000000007</v>
      </c>
      <c r="CA88" s="13">
        <f t="shared" si="93"/>
        <v>36.345750676634587</v>
      </c>
      <c r="CB88" s="20">
        <f t="shared" si="64"/>
        <v>307.50614242847206</v>
      </c>
      <c r="CC88" s="59">
        <f t="shared" si="65"/>
        <v>578.94394124374458</v>
      </c>
      <c r="CD88" s="59">
        <f ca="1">AVERAGE(OFFSET($CC$3,0,0,'Données projet'!$E$12+1,1))-AVERAGE(OFFSET($H$3,0,0,'Données projet'!$E$12+1,1))</f>
        <v>260.25859566735949</v>
      </c>
      <c r="CE88" s="59">
        <f t="shared" si="94"/>
        <v>256.93649773468667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16.257267802884325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16.257267802884325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214</v>
      </c>
      <c r="CR88" s="12">
        <f>VLOOKUP(A88,'Données projet'!$A$139:$I$159,9,0)</f>
        <v>3.6</v>
      </c>
      <c r="CS88" s="12">
        <f t="array" ref="CS88">INDEX(CR:CR,MIN(IF(ISNUMBER(CR88:CR284),ROW(CR88:CR284),"")))</f>
        <v>3.6</v>
      </c>
      <c r="CT88" s="12">
        <f>IF('Données projet'!$A$140&gt;35,CT87+CS88-DB87,IF(A88&lt;'Données projet'!$A$140,$CQ$205^A88,IF(A88='Données projet'!$A$140,'Données projet'!$B$140,CT87+CS88-DB87)))</f>
        <v>214.00000000000014</v>
      </c>
      <c r="CU88" s="17">
        <f>CT88*VLOOKUP('Données projet'!$B$13,Paramètres!$A$1:$I$89,3,0)*VLOOKUP('Données projet'!$B$13,Paramètres!$A$1:$I$89,5,0)</f>
        <v>140.21280000000007</v>
      </c>
      <c r="CV88" s="13">
        <f t="shared" si="95"/>
        <v>36.345750676634587</v>
      </c>
      <c r="CW88" s="20">
        <f t="shared" si="67"/>
        <v>307.50614242847206</v>
      </c>
      <c r="CX88" s="59">
        <f t="shared" si="68"/>
        <v>578.94394124374458</v>
      </c>
      <c r="CY88" s="59">
        <f ca="1">AVERAGE(OFFSET($CX$3,0,0,'Données projet'!$E$13+1,1))-AVERAGE(OFFSET($H$3,0,0,'Données projet'!$E$13+1,1))</f>
        <v>260.25859566735949</v>
      </c>
      <c r="CZ88" s="59">
        <f t="shared" si="96"/>
        <v>256.93649773468667</v>
      </c>
      <c r="DA88" s="15">
        <f>IF(ISNA(VLOOKUP(A88,'Données projet'!$A$139:$I$159,3,0)),0,VLOOKUP(A88,'Données projet'!$A$139:$I$159,3,0))</f>
        <v>16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16.257267802884325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16.257267802884325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5.613999999999999</v>
      </c>
      <c r="DO88" s="12">
        <f>IF('Données projet'!$A$166&gt;35,DO87+DN88-DW87,IF(A88&lt;'Données projet'!$A$166,$DL$205^A88,IF(A88='Données projet'!$A$166,'Données projet'!$B$166,DO87+DN88-DW87)))</f>
        <v>339.78800000000001</v>
      </c>
      <c r="DP88" s="17">
        <f>DO88*VLOOKUP('Données projet'!$B$14,Paramètres!$A$1:$I$89,3,0)*VLOOKUP('Données projet'!$B$14,Paramètres!$A$1:$I$89,5,0)</f>
        <v>194.35873600000002</v>
      </c>
      <c r="DQ88" s="13">
        <f t="shared" si="97"/>
        <v>48.502331723856592</v>
      </c>
      <c r="DR88" s="20">
        <f t="shared" si="70"/>
        <v>422.98302628571696</v>
      </c>
      <c r="DS88" s="59">
        <f t="shared" si="71"/>
        <v>694.42082510098953</v>
      </c>
      <c r="DT88" s="59">
        <f ca="1">AVERAGE(OFFSET($DS$3,0,0,'Données projet'!$E$14+1,1))-AVERAGE(OFFSET($H$3,0,0,'Données projet'!$E$14+1,1))</f>
        <v>349.56396446903</v>
      </c>
      <c r="DU88" s="59">
        <f t="shared" si="98"/>
        <v>270.64279448634522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28.148878152184363</v>
      </c>
      <c r="EB88" s="21">
        <f>EXP(-LN(2)/25)*EB87+(1-EXP(-LN(2)/25))/(LN(2)/25)*Calculateur!DW88*Calculateur!DY88*VLOOKUP('Données projet'!$B$14,Paramètres!$A$1:$I$89,3,0)*0.475*44/12</f>
        <v>25.599897743487553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53.748775895671912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375.89365709113105</v>
      </c>
      <c r="EP88" s="59">
        <f t="shared" si="100"/>
        <v>279.39056561403834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150.8153836395804</v>
      </c>
      <c r="EW88" s="21">
        <f>EXP(-LN(2)/25)*EW87+(1-EXP(-LN(2)/25))/(LN(2)/25)*Calculateur!ER88*Calculateur!ET88*VLOOKUP('Données projet'!$B$15,Paramètres!$A$1:$I$89,3,0)*0.475*44/12</f>
        <v>72.181607788148483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222.99699142772889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-1.1368683772161603E-13</v>
      </c>
      <c r="FF88" s="17">
        <f>FE88*VLOOKUP('Données projet'!$B$16,Paramètres!$A$1:$I$89,3,0)*VLOOKUP('Données projet'!$B$16,Paramètres!$A$1:$I$89,5,0)</f>
        <v>-6.7984728957526396E-14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319.29539841078537</v>
      </c>
      <c r="FK88" s="59">
        <f t="shared" si="102"/>
        <v>327.26871144121412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84.293559878423139</v>
      </c>
      <c r="FR88" s="21">
        <f>EXP(-LN(2)/25)*FR87+(1-EXP(-LN(2)/25))/(LN(2)/25)*Calculateur!FM88*Calculateur!FO88*VLOOKUP('Données projet'!$B$16,Paramètres!$A$1:$I$89,3,0)*0.475*44/12</f>
        <v>42.847670791456274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127.14123066987941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2.2737367544323206E-13</v>
      </c>
      <c r="GA88" s="17">
        <f>FZ88*VLOOKUP('Données projet'!$B$17,Paramètres!$A$1:$I$89,3,0)*VLOOKUP('Données projet'!$B$17,Paramètres!$A$1:$I$89,5,0)</f>
        <v>1.0049916454590858E-13</v>
      </c>
      <c r="GB88" s="13">
        <f t="shared" si="103"/>
        <v>1.5089081593838289E-12</v>
      </c>
      <c r="GC88" s="20">
        <f t="shared" si="79"/>
        <v>2.8030510891776262E-12</v>
      </c>
      <c r="GD88" s="59">
        <f t="shared" si="80"/>
        <v>271.4377988152753</v>
      </c>
      <c r="GE88" s="59">
        <f ca="1">AVERAGE(OFFSET($GD$3,0,0,'Données projet'!$E$17+1,1))-AVERAGE(OFFSET($H$3,0,0,'Données projet'!$E$17+1,1))</f>
        <v>342.89128067483233</v>
      </c>
      <c r="GF88" s="59">
        <f t="shared" si="104"/>
        <v>453.47615302202996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100.60162514410058</v>
      </c>
      <c r="GM88" s="21">
        <f>EXP(-LN(2)/25)*GM87+(1-EXP(-LN(2)/25))/(LN(2)/25)*Calculateur!GH88*Calculateur!GJ88*VLOOKUP('Données projet'!$B$17,Paramètres!$A$1:$I$89,3,0)*0.475*44/12</f>
        <v>58.701865091484763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159.30349023558534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64.02849058598342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>
        <f>GU88*VLOOKUP('Données projet'!$B$18,Paramètres!$A$1:$I$89,3,0)*VLOOKUP('Données projet'!$B$18,Paramètres!$A$1:$I$89,5,0)</f>
        <v>0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375.89365709113105</v>
      </c>
      <c r="HA88" s="59">
        <f t="shared" si="106"/>
        <v>279.39056561403834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150.8153836395804</v>
      </c>
      <c r="HH88" s="21">
        <f>EXP(-LN(2)/25)*HH87+(1-EXP(-LN(2)/25))/(LN(2)/25)*Calculateur!HC88*Calculateur!HE88*VLOOKUP('Données projet'!$B$18,Paramètres!$A$1:$I$89,3,0)*0.475*44/12</f>
        <v>72.181607788148483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222.99699142772889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178.09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253.76201760000023</v>
      </c>
      <c r="P89" s="13">
        <f t="shared" si="87"/>
        <v>61.390818695638195</v>
      </c>
      <c r="Q89" s="20">
        <f t="shared" si="54"/>
        <v>548.89118988157031</v>
      </c>
      <c r="R89" s="59">
        <f t="shared" si="55"/>
        <v>820.70882726964942</v>
      </c>
      <c r="S89" s="59">
        <f ca="1">AVERAGE(OFFSET($R$3,0,0,'Données projet'!$E$9+1,1))-AVERAGE(OFFSET($H$3,0,0,'Données projet'!$E$9+1,1))</f>
        <v>631.31712308065664</v>
      </c>
      <c r="T89" s="59">
        <f t="shared" si="88"/>
        <v>290.92244624361285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41.471645969495157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41.471645969495157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7.9879999999999969</v>
      </c>
      <c r="AI89" s="13">
        <f>IF('Données projet'!$A$62&gt;35,AI88+AH89-AQ88,IF(A89&lt;'Données projet'!$A$62,$AF$205^A89,IF(A89='Données projet'!$A$62,'Données projet'!$B$62,AI88+AH89-AQ88)))</f>
        <v>248.41400000000019</v>
      </c>
      <c r="AJ89" s="13">
        <f>AI89*VLOOKUP('Données projet'!$B$10,Paramètres!$A$1:$I$89,3,0)*VLOOKUP('Données projet'!$B$10,Paramètres!$A$1:$I$89,5,0)</f>
        <v>209.26395360000021</v>
      </c>
      <c r="AK89" s="13">
        <f t="shared" si="89"/>
        <v>51.774708187666221</v>
      </c>
      <c r="AL89" s="20">
        <f t="shared" si="58"/>
        <v>454.64233594685237</v>
      </c>
      <c r="AM89" s="59">
        <f t="shared" si="59"/>
        <v>726.45997333493153</v>
      </c>
      <c r="AN89" s="59">
        <f ca="1">AVERAGE(OFFSET($AM$3,0,0,'Données projet'!$E$10+1,1))-AVERAGE(OFFSET($H$3,0,0,'Données projet'!$E$10+1,1))</f>
        <v>401.19166052471473</v>
      </c>
      <c r="AO89" s="59">
        <f t="shared" si="90"/>
        <v>271.10067497534271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31.110076242694792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31.110076242694792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284.38846800000033</v>
      </c>
      <c r="BF89" s="13">
        <f t="shared" si="91"/>
        <v>67.893577257383939</v>
      </c>
      <c r="BG89" s="20">
        <f t="shared" si="61"/>
        <v>613.55789548994426</v>
      </c>
      <c r="BH89" s="59">
        <f t="shared" si="62"/>
        <v>885.37553287802348</v>
      </c>
      <c r="BI89" s="59">
        <f ca="1">AVERAGE(OFFSET($BH$3,0,0,'Données projet'!$E$11+1,1))-AVERAGE(OFFSET($H$3,0,0,'Données projet'!$E$11+1,1))</f>
        <v>695.93700574708214</v>
      </c>
      <c r="BJ89" s="59">
        <f t="shared" si="92"/>
        <v>318.31690229208471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46.476844620985958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46.476844620985958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3.4</v>
      </c>
      <c r="BY89" s="12">
        <f>IF('Données projet'!$A$114&gt;35,BY88+BX89-CG88,IF(A89&lt;'Données projet'!$A$114,$BV$205^A89,IF(A89='Données projet'!$A$114,'Données projet'!$B$114,BY88+BX89-CG88)))</f>
        <v>203.40000000000015</v>
      </c>
      <c r="BZ89" s="13">
        <f>BY89*VLOOKUP('Données projet'!$B$12,Paramètres!$A$1:$I$89,3,0)*VLOOKUP('Données projet'!$B$12,Paramètres!$A$1:$I$89,5,0)</f>
        <v>133.2676800000001</v>
      </c>
      <c r="CA89" s="13">
        <f t="shared" si="93"/>
        <v>34.750329840004937</v>
      </c>
      <c r="CB89" s="20">
        <f t="shared" si="64"/>
        <v>292.63136713800878</v>
      </c>
      <c r="CC89" s="59">
        <f t="shared" si="65"/>
        <v>564.44900452608795</v>
      </c>
      <c r="CD89" s="59">
        <f ca="1">AVERAGE(OFFSET($CC$3,0,0,'Données projet'!$E$12+1,1))-AVERAGE(OFFSET($H$3,0,0,'Données projet'!$E$12+1,1))</f>
        <v>260.25859566735949</v>
      </c>
      <c r="CE89" s="59">
        <f t="shared" si="94"/>
        <v>256.93649773468667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15.938472697224004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15.938472697224004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3.4</v>
      </c>
      <c r="CT89" s="12">
        <f>IF('Données projet'!$A$140&gt;35,CT88+CS89-DB88,IF(A89&lt;'Données projet'!$A$140,$CQ$205^A89,IF(A89='Données projet'!$A$140,'Données projet'!$B$140,CT88+CS89-DB88)))</f>
        <v>203.40000000000015</v>
      </c>
      <c r="CU89" s="17">
        <f>CT89*VLOOKUP('Données projet'!$B$13,Paramètres!$A$1:$I$89,3,0)*VLOOKUP('Données projet'!$B$13,Paramètres!$A$1:$I$89,5,0)</f>
        <v>133.2676800000001</v>
      </c>
      <c r="CV89" s="13">
        <f t="shared" si="95"/>
        <v>34.750329840004937</v>
      </c>
      <c r="CW89" s="20">
        <f t="shared" si="67"/>
        <v>292.63136713800878</v>
      </c>
      <c r="CX89" s="59">
        <f t="shared" si="68"/>
        <v>564.44900452608795</v>
      </c>
      <c r="CY89" s="59">
        <f ca="1">AVERAGE(OFFSET($CX$3,0,0,'Données projet'!$E$13+1,1))-AVERAGE(OFFSET($H$3,0,0,'Données projet'!$E$13+1,1))</f>
        <v>260.25859566735949</v>
      </c>
      <c r="CZ89" s="59">
        <f t="shared" si="96"/>
        <v>256.93649773468667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15.938472697224004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15.938472697224004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5.613999999999999</v>
      </c>
      <c r="DO89" s="12">
        <f>IF('Données projet'!$A$166&gt;35,DO88+DN89-DW88,IF(A89&lt;'Données projet'!$A$166,$DL$205^A89,IF(A89='Données projet'!$A$166,'Données projet'!$B$166,DO88+DN89-DW88)))</f>
        <v>345.40199999999999</v>
      </c>
      <c r="DP89" s="17">
        <f>DO89*VLOOKUP('Données projet'!$B$14,Paramètres!$A$1:$I$89,3,0)*VLOOKUP('Données projet'!$B$14,Paramètres!$A$1:$I$89,5,0)</f>
        <v>197.56994399999999</v>
      </c>
      <c r="DQ89" s="13">
        <f t="shared" si="97"/>
        <v>49.209735595001703</v>
      </c>
      <c r="DR89" s="20">
        <f t="shared" si="70"/>
        <v>429.8079419612946</v>
      </c>
      <c r="DS89" s="59">
        <f t="shared" si="71"/>
        <v>701.62557934937377</v>
      </c>
      <c r="DT89" s="59">
        <f ca="1">AVERAGE(OFFSET($DS$3,0,0,'Données projet'!$E$14+1,1))-AVERAGE(OFFSET($H$3,0,0,'Données projet'!$E$14+1,1))</f>
        <v>349.56396446903</v>
      </c>
      <c r="DU89" s="59">
        <f t="shared" si="98"/>
        <v>270.64279448634522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27.596895820740389</v>
      </c>
      <c r="EB89" s="21">
        <f>EXP(-LN(2)/25)*EB88+(1-EXP(-LN(2)/25))/(LN(2)/25)*Calculateur!DW89*Calculateur!DY89*VLOOKUP('Données projet'!$B$14,Paramètres!$A$1:$I$89,3,0)*0.475*44/12</f>
        <v>24.899867193451772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52.496763014192162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375.89365709113105</v>
      </c>
      <c r="EP89" s="59">
        <f t="shared" si="100"/>
        <v>279.39056561403834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147.85798595470916</v>
      </c>
      <c r="EW89" s="21">
        <f>EXP(-LN(2)/25)*EW88+(1-EXP(-LN(2)/25))/(LN(2)/25)*Calculateur!ER89*Calculateur!ET89*VLOOKUP('Données projet'!$B$15,Paramètres!$A$1:$I$89,3,0)*0.475*44/12</f>
        <v>70.207797927315781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218.06578388202496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-1.1368683772161603E-13</v>
      </c>
      <c r="FF89" s="17">
        <f>FE89*VLOOKUP('Données projet'!$B$16,Paramètres!$A$1:$I$89,3,0)*VLOOKUP('Données projet'!$B$16,Paramètres!$A$1:$I$89,5,0)</f>
        <v>-6.7984728957526396E-14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319.29539841078537</v>
      </c>
      <c r="FK89" s="59">
        <f t="shared" si="102"/>
        <v>327.26871144121412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82.64061458320208</v>
      </c>
      <c r="FR89" s="21">
        <f>EXP(-LN(2)/25)*FR88+(1-EXP(-LN(2)/25))/(LN(2)/25)*Calculateur!FM89*Calculateur!FO89*VLOOKUP('Données projet'!$B$16,Paramètres!$A$1:$I$89,3,0)*0.475*44/12</f>
        <v>41.675998980402824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124.3166135636049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2.2737367544323206E-13</v>
      </c>
      <c r="GA89" s="17">
        <f>FZ89*VLOOKUP('Données projet'!$B$17,Paramètres!$A$1:$I$89,3,0)*VLOOKUP('Données projet'!$B$17,Paramètres!$A$1:$I$89,5,0)</f>
        <v>1.0049916454590858E-13</v>
      </c>
      <c r="GB89" s="13">
        <f t="shared" si="103"/>
        <v>1.5089081593838289E-12</v>
      </c>
      <c r="GC89" s="20">
        <f t="shared" si="79"/>
        <v>2.8030510891776262E-12</v>
      </c>
      <c r="GD89" s="59">
        <f t="shared" si="80"/>
        <v>271.81763738808195</v>
      </c>
      <c r="GE89" s="59">
        <f ca="1">AVERAGE(OFFSET($GD$3,0,0,'Données projet'!$E$17+1,1))-AVERAGE(OFFSET($H$3,0,0,'Données projet'!$E$17+1,1))</f>
        <v>342.89128067483233</v>
      </c>
      <c r="GF89" s="59">
        <f t="shared" si="104"/>
        <v>453.47615302202996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98.62888863595721</v>
      </c>
      <c r="GM89" s="21">
        <f>EXP(-LN(2)/25)*GM88+(1-EXP(-LN(2)/25))/(LN(2)/25)*Calculateur!GH89*Calculateur!GJ89*VLOOKUP('Données projet'!$B$17,Paramètres!$A$1:$I$89,3,0)*0.475*44/12</f>
        <v>57.096659503561192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155.72554813951839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64.132082924021589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>
        <f>GU89*VLOOKUP('Données projet'!$B$18,Paramètres!$A$1:$I$89,3,0)*VLOOKUP('Données projet'!$B$18,Paramètres!$A$1:$I$89,5,0)</f>
        <v>0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375.89365709113105</v>
      </c>
      <c r="HA89" s="59">
        <f t="shared" si="106"/>
        <v>279.39056561403834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147.85798595470916</v>
      </c>
      <c r="HH89" s="21">
        <f>EXP(-LN(2)/25)*HH88+(1-EXP(-LN(2)/25))/(LN(2)/25)*Calculateur!HC89*Calculateur!HE89*VLOOKUP('Données projet'!$B$18,Paramètres!$A$1:$I$89,3,0)*0.475*44/12</f>
        <v>70.207797927315781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218.06578388202496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178.09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261.26371440000025</v>
      </c>
      <c r="P90" s="13">
        <f t="shared" si="87"/>
        <v>62.991674736313257</v>
      </c>
      <c r="Q90" s="20">
        <f t="shared" si="54"/>
        <v>564.74480274574603</v>
      </c>
      <c r="R90" s="59">
        <f t="shared" si="55"/>
        <v>836.93568935658527</v>
      </c>
      <c r="S90" s="59">
        <f ca="1">AVERAGE(OFFSET($R$3,0,0,'Données projet'!$E$9+1,1))-AVERAGE(OFFSET($H$3,0,0,'Données projet'!$E$9+1,1))</f>
        <v>631.31712308065664</v>
      </c>
      <c r="T90" s="59">
        <f t="shared" si="88"/>
        <v>290.92244624361285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40.658412287239706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40.658412287239706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7.9879999999999969</v>
      </c>
      <c r="AI90" s="13">
        <f>IF('Données projet'!$A$62&gt;35,AI89+AH90-AQ89,IF(A90&lt;'Données projet'!$A$62,$AF$205^A90,IF(A90='Données projet'!$A$62,'Données projet'!$B$62,AI89+AH90-AQ89)))</f>
        <v>256.40200000000016</v>
      </c>
      <c r="AJ90" s="13">
        <f>AI90*VLOOKUP('Données projet'!$B$10,Paramètres!$A$1:$I$89,3,0)*VLOOKUP('Données projet'!$B$10,Paramètres!$A$1:$I$89,5,0)</f>
        <v>215.99304480000018</v>
      </c>
      <c r="AK90" s="13">
        <f t="shared" si="89"/>
        <v>53.243064323023681</v>
      </c>
      <c r="AL90" s="20">
        <f t="shared" si="58"/>
        <v>468.91955672259991</v>
      </c>
      <c r="AM90" s="59">
        <f t="shared" si="59"/>
        <v>741.11044333343921</v>
      </c>
      <c r="AN90" s="59">
        <f ca="1">AVERAGE(OFFSET($AM$3,0,0,'Données projet'!$E$10+1,1))-AVERAGE(OFFSET($H$3,0,0,'Données projet'!$E$10+1,1))</f>
        <v>401.19166052471473</v>
      </c>
      <c r="AO90" s="59">
        <f t="shared" si="90"/>
        <v>271.10067497534271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30.500026622848402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30.500026622848402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292.7955420000003</v>
      </c>
      <c r="BF90" s="13">
        <f t="shared" si="91"/>
        <v>69.664002307656872</v>
      </c>
      <c r="BG90" s="20">
        <f t="shared" si="61"/>
        <v>631.2837063358362</v>
      </c>
      <c r="BH90" s="59">
        <f t="shared" si="62"/>
        <v>903.47459294667556</v>
      </c>
      <c r="BI90" s="59">
        <f ca="1">AVERAGE(OFFSET($BH$3,0,0,'Données projet'!$E$11+1,1))-AVERAGE(OFFSET($H$3,0,0,'Données projet'!$E$11+1,1))</f>
        <v>695.93700574708214</v>
      </c>
      <c r="BJ90" s="59">
        <f t="shared" si="92"/>
        <v>318.31690229208471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45.565462046044502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45.565462046044502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3.4</v>
      </c>
      <c r="BY90" s="12">
        <f>IF('Données projet'!$A$114&gt;35,BY89+BX90-CG89,IF(A90&lt;'Données projet'!$A$114,$BV$205^A90,IF(A90='Données projet'!$A$114,'Données projet'!$B$114,BY89+BX90-CG89)))</f>
        <v>206.80000000000015</v>
      </c>
      <c r="BZ90" s="13">
        <f>BY90*VLOOKUP('Données projet'!$B$12,Paramètres!$A$1:$I$89,3,0)*VLOOKUP('Données projet'!$B$12,Paramètres!$A$1:$I$89,5,0)</f>
        <v>135.49536000000012</v>
      </c>
      <c r="CA90" s="13">
        <f t="shared" si="93"/>
        <v>35.263099712541788</v>
      </c>
      <c r="CB90" s="20">
        <f t="shared" si="64"/>
        <v>297.40431733267718</v>
      </c>
      <c r="CC90" s="59">
        <f t="shared" si="65"/>
        <v>569.59520394351648</v>
      </c>
      <c r="CD90" s="59">
        <f ca="1">AVERAGE(OFFSET($CC$3,0,0,'Données projet'!$E$12+1,1))-AVERAGE(OFFSET($H$3,0,0,'Données projet'!$E$12+1,1))</f>
        <v>260.25859566735949</v>
      </c>
      <c r="CE90" s="59">
        <f t="shared" si="94"/>
        <v>256.93649773468667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15.625928969139867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15.625928969139867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3.4</v>
      </c>
      <c r="CT90" s="12">
        <f>IF('Données projet'!$A$140&gt;35,CT89+CS90-DB89,IF(A90&lt;'Données projet'!$A$140,$CQ$205^A90,IF(A90='Données projet'!$A$140,'Données projet'!$B$140,CT89+CS90-DB89)))</f>
        <v>206.80000000000015</v>
      </c>
      <c r="CU90" s="17">
        <f>CT90*VLOOKUP('Données projet'!$B$13,Paramètres!$A$1:$I$89,3,0)*VLOOKUP('Données projet'!$B$13,Paramètres!$A$1:$I$89,5,0)</f>
        <v>135.49536000000012</v>
      </c>
      <c r="CV90" s="13">
        <f t="shared" si="95"/>
        <v>35.263099712541788</v>
      </c>
      <c r="CW90" s="20">
        <f t="shared" si="67"/>
        <v>297.40431733267718</v>
      </c>
      <c r="CX90" s="59">
        <f t="shared" si="68"/>
        <v>569.59520394351648</v>
      </c>
      <c r="CY90" s="59">
        <f ca="1">AVERAGE(OFFSET($CX$3,0,0,'Données projet'!$E$13+1,1))-AVERAGE(OFFSET($H$3,0,0,'Données projet'!$E$13+1,1))</f>
        <v>260.25859566735949</v>
      </c>
      <c r="CZ90" s="59">
        <f t="shared" si="96"/>
        <v>256.93649773468667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15.625928969139867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15.625928969139867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5.613999999999999</v>
      </c>
      <c r="DO90" s="12">
        <f>IF('Données projet'!$A$166&gt;35,DO89+DN90-DW89,IF(A90&lt;'Données projet'!$A$166,$DL$205^A90,IF(A90='Données projet'!$A$166,'Données projet'!$B$166,DO89+DN90-DW89)))</f>
        <v>351.01599999999996</v>
      </c>
      <c r="DP90" s="17">
        <f>DO90*VLOOKUP('Données projet'!$B$14,Paramètres!$A$1:$I$89,3,0)*VLOOKUP('Données projet'!$B$14,Paramètres!$A$1:$I$89,5,0)</f>
        <v>200.78115199999999</v>
      </c>
      <c r="DQ90" s="13">
        <f t="shared" si="97"/>
        <v>49.915802324450475</v>
      </c>
      <c r="DR90" s="20">
        <f t="shared" si="70"/>
        <v>436.63052878175125</v>
      </c>
      <c r="DS90" s="59">
        <f t="shared" si="71"/>
        <v>708.82141539259055</v>
      </c>
      <c r="DT90" s="59">
        <f ca="1">AVERAGE(OFFSET($DS$3,0,0,'Données projet'!$E$14+1,1))-AVERAGE(OFFSET($H$3,0,0,'Données projet'!$E$14+1,1))</f>
        <v>349.56396446903</v>
      </c>
      <c r="DU90" s="59">
        <f t="shared" si="98"/>
        <v>270.64279448634522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27.055737526140057</v>
      </c>
      <c r="EB90" s="21">
        <f>EXP(-LN(2)/25)*EB89+(1-EXP(-LN(2)/25))/(LN(2)/25)*Calculateur!DW90*Calculateur!DY90*VLOOKUP('Données projet'!$B$14,Paramètres!$A$1:$I$89,3,0)*0.475*44/12</f>
        <v>24.218979015619727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51.274716541759787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375.89365709113105</v>
      </c>
      <c r="EP90" s="59">
        <f t="shared" si="100"/>
        <v>279.39056561403834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144.95858103460378</v>
      </c>
      <c r="EW90" s="21">
        <f>EXP(-LN(2)/25)*EW89+(1-EXP(-LN(2)/25))/(LN(2)/25)*Calculateur!ER90*Calculateur!ET90*VLOOKUP('Données projet'!$B$15,Paramètres!$A$1:$I$89,3,0)*0.475*44/12</f>
        <v>68.287962000925702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213.2465430355295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-1.1368683772161603E-13</v>
      </c>
      <c r="FF90" s="17">
        <f>FE90*VLOOKUP('Données projet'!$B$16,Paramètres!$A$1:$I$89,3,0)*VLOOKUP('Données projet'!$B$16,Paramètres!$A$1:$I$89,5,0)</f>
        <v>-6.7984728957526396E-14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319.29539841078537</v>
      </c>
      <c r="FK90" s="59">
        <f t="shared" si="102"/>
        <v>327.26871144121412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81.020082537023228</v>
      </c>
      <c r="FR90" s="21">
        <f>EXP(-LN(2)/25)*FR89+(1-EXP(-LN(2)/25))/(LN(2)/25)*Calculateur!FM90*Calculateur!FO90*VLOOKUP('Données projet'!$B$16,Paramètres!$A$1:$I$89,3,0)*0.475*44/12</f>
        <v>40.536366596638175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121.5564491336614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2.2737367544323206E-13</v>
      </c>
      <c r="GA90" s="17">
        <f>FZ90*VLOOKUP('Données projet'!$B$17,Paramètres!$A$1:$I$89,3,0)*VLOOKUP('Données projet'!$B$17,Paramètres!$A$1:$I$89,5,0)</f>
        <v>1.0049916454590858E-13</v>
      </c>
      <c r="GB90" s="13">
        <f t="shared" si="103"/>
        <v>1.5089081593838289E-12</v>
      </c>
      <c r="GC90" s="20">
        <f t="shared" si="79"/>
        <v>2.8030510891776262E-12</v>
      </c>
      <c r="GD90" s="59">
        <f t="shared" si="80"/>
        <v>272.19088661084209</v>
      </c>
      <c r="GE90" s="59">
        <f ca="1">AVERAGE(OFFSET($GD$3,0,0,'Données projet'!$E$17+1,1))-AVERAGE(OFFSET($H$3,0,0,'Données projet'!$E$17+1,1))</f>
        <v>342.89128067483233</v>
      </c>
      <c r="GF90" s="59">
        <f t="shared" si="104"/>
        <v>453.47615302202996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96.694836287488073</v>
      </c>
      <c r="GM90" s="21">
        <f>EXP(-LN(2)/25)*GM89+(1-EXP(-LN(2)/25))/(LN(2)/25)*Calculateur!GH90*Calculateur!GJ90*VLOOKUP('Données projet'!$B$17,Paramètres!$A$1:$I$89,3,0)*0.475*44/12</f>
        <v>55.535348346853482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152.23018463434155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64.233878166592547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>
        <f>GU90*VLOOKUP('Données projet'!$B$18,Paramètres!$A$1:$I$89,3,0)*VLOOKUP('Données projet'!$B$18,Paramètres!$A$1:$I$89,5,0)</f>
        <v>0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375.89365709113105</v>
      </c>
      <c r="HA90" s="59">
        <f t="shared" si="106"/>
        <v>279.39056561403834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144.95858103460378</v>
      </c>
      <c r="HH90" s="21">
        <f>EXP(-LN(2)/25)*HH89+(1-EXP(-LN(2)/25))/(LN(2)/25)*Calculateur!HC90*Calculateur!HE90*VLOOKUP('Données projet'!$B$18,Paramètres!$A$1:$I$89,3,0)*0.475*44/12</f>
        <v>68.287962000925702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213.2465430355295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178.09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268.76541120000024</v>
      </c>
      <c r="P91" s="13">
        <f t="shared" si="87"/>
        <v>64.587188539623412</v>
      </c>
      <c r="Q91" s="20">
        <f t="shared" si="54"/>
        <v>580.58911121317794</v>
      </c>
      <c r="R91" s="59">
        <f t="shared" si="55"/>
        <v>853.14677200722281</v>
      </c>
      <c r="S91" s="59">
        <f ca="1">AVERAGE(OFFSET($R$3,0,0,'Données projet'!$E$9+1,1))-AVERAGE(OFFSET($H$3,0,0,'Données projet'!$E$9+1,1))</f>
        <v>631.31712308065664</v>
      </c>
      <c r="T91" s="59">
        <f t="shared" si="88"/>
        <v>290.92244624361285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39.861125621469718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39.861125621469718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7.9879999999999969</v>
      </c>
      <c r="AI91" s="13">
        <f>IF('Données projet'!$A$62&gt;35,AI90+AH91-AQ90,IF(A91&lt;'Données projet'!$A$62,$AF$205^A91,IF(A91='Données projet'!$A$62,'Données projet'!$B$62,AI90+AH91-AQ90)))</f>
        <v>264.39000000000016</v>
      </c>
      <c r="AJ91" s="13">
        <f>AI91*VLOOKUP('Données projet'!$B$10,Paramètres!$A$1:$I$89,3,0)*VLOOKUP('Données projet'!$B$10,Paramètres!$A$1:$I$89,5,0)</f>
        <v>222.72213600000015</v>
      </c>
      <c r="AK91" s="13">
        <f t="shared" si="89"/>
        <v>54.70610442073766</v>
      </c>
      <c r="AL91" s="20">
        <f t="shared" si="58"/>
        <v>483.18751873278489</v>
      </c>
      <c r="AM91" s="59">
        <f t="shared" si="59"/>
        <v>755.74517952682982</v>
      </c>
      <c r="AN91" s="59">
        <f ca="1">AVERAGE(OFFSET($AM$3,0,0,'Données projet'!$E$10+1,1))-AVERAGE(OFFSET($H$3,0,0,'Données projet'!$E$10+1,1))</f>
        <v>401.19166052471473</v>
      </c>
      <c r="AO91" s="59">
        <f t="shared" si="90"/>
        <v>271.10067497534271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29.901939703953673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29.901939703953673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301.20261600000032</v>
      </c>
      <c r="BF91" s="13">
        <f t="shared" si="91"/>
        <v>71.428519249633297</v>
      </c>
      <c r="BG91" s="20">
        <f t="shared" si="61"/>
        <v>648.99922722644521</v>
      </c>
      <c r="BH91" s="59">
        <f t="shared" si="62"/>
        <v>921.55688802049008</v>
      </c>
      <c r="BI91" s="59">
        <f ca="1">AVERAGE(OFFSET($BH$3,0,0,'Données projet'!$E$11+1,1))-AVERAGE(OFFSET($H$3,0,0,'Données projet'!$E$11+1,1))</f>
        <v>695.93700574708214</v>
      </c>
      <c r="BJ91" s="59">
        <f t="shared" si="92"/>
        <v>318.31690229208471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44.671951127509168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44.671951127509168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3.4</v>
      </c>
      <c r="BY91" s="12">
        <f>IF('Données projet'!$A$114&gt;35,BY90+BX91-CG90,IF(A91&lt;'Données projet'!$A$114,$BV$205^A91,IF(A91='Données projet'!$A$114,'Données projet'!$B$114,BY90+BX91-CG90)))</f>
        <v>210.20000000000016</v>
      </c>
      <c r="BZ91" s="13">
        <f>BY91*VLOOKUP('Données projet'!$B$12,Paramètres!$A$1:$I$89,3,0)*VLOOKUP('Données projet'!$B$12,Paramètres!$A$1:$I$89,5,0)</f>
        <v>137.72304000000011</v>
      </c>
      <c r="CA91" s="13">
        <f t="shared" si="93"/>
        <v>35.774889172094717</v>
      </c>
      <c r="CB91" s="20">
        <f t="shared" si="64"/>
        <v>302.17555997473181</v>
      </c>
      <c r="CC91" s="59">
        <f t="shared" si="65"/>
        <v>574.73322076877673</v>
      </c>
      <c r="CD91" s="59">
        <f ca="1">AVERAGE(OFFSET($CC$3,0,0,'Données projet'!$E$12+1,1))-AVERAGE(OFFSET($H$3,0,0,'Données projet'!$E$12+1,1))</f>
        <v>260.25859566735949</v>
      </c>
      <c r="CE91" s="59">
        <f t="shared" si="94"/>
        <v>256.93649773468667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15.319514032930609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15.319514032930609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3.4</v>
      </c>
      <c r="CT91" s="12">
        <f>IF('Données projet'!$A$140&gt;35,CT90+CS91-DB90,IF(A91&lt;'Données projet'!$A$140,$CQ$205^A91,IF(A91='Données projet'!$A$140,'Données projet'!$B$140,CT90+CS91-DB90)))</f>
        <v>210.20000000000016</v>
      </c>
      <c r="CU91" s="17">
        <f>CT91*VLOOKUP('Données projet'!$B$13,Paramètres!$A$1:$I$89,3,0)*VLOOKUP('Données projet'!$B$13,Paramètres!$A$1:$I$89,5,0)</f>
        <v>137.72304000000011</v>
      </c>
      <c r="CV91" s="13">
        <f t="shared" si="95"/>
        <v>35.774889172094717</v>
      </c>
      <c r="CW91" s="20">
        <f t="shared" si="67"/>
        <v>302.17555997473181</v>
      </c>
      <c r="CX91" s="59">
        <f t="shared" si="68"/>
        <v>574.73322076877673</v>
      </c>
      <c r="CY91" s="59">
        <f ca="1">AVERAGE(OFFSET($CX$3,0,0,'Données projet'!$E$13+1,1))-AVERAGE(OFFSET($H$3,0,0,'Données projet'!$E$13+1,1))</f>
        <v>260.25859566735949</v>
      </c>
      <c r="CZ91" s="59">
        <f t="shared" si="96"/>
        <v>256.93649773468667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15.319514032930609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15.319514032930609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>
        <f>VLOOKUP(A91,'Données projet'!$A$165:$I$185,2,0)</f>
        <v>356.63</v>
      </c>
      <c r="DM91" s="12">
        <f>VLOOKUP(A91,'Données projet'!$A$165:$I$185,9,0)</f>
        <v>5.613999999999999</v>
      </c>
      <c r="DN91" s="12">
        <f t="array" ref="DN91">INDEX(DM:DM,MIN(IF(ISNUMBER(DM91:DM287),ROW(DM91:DM287),"")))</f>
        <v>5.613999999999999</v>
      </c>
      <c r="DO91" s="12">
        <f>IF('Données projet'!$A$166&gt;35,DO90+DN91-DW90,IF(A91&lt;'Données projet'!$A$166,$DL$205^A91,IF(A91='Données projet'!$A$166,'Données projet'!$B$166,DO90+DN91-DW90)))</f>
        <v>356.62999999999994</v>
      </c>
      <c r="DP91" s="17">
        <f>DO91*VLOOKUP('Données projet'!$B$14,Paramètres!$A$1:$I$89,3,0)*VLOOKUP('Données projet'!$B$14,Paramètres!$A$1:$I$89,5,0)</f>
        <v>203.99235999999999</v>
      </c>
      <c r="DQ91" s="13">
        <f t="shared" si="97"/>
        <v>50.620555767007545</v>
      </c>
      <c r="DR91" s="20">
        <f t="shared" si="70"/>
        <v>443.45082829420477</v>
      </c>
      <c r="DS91" s="59">
        <f t="shared" si="71"/>
        <v>716.00848908824969</v>
      </c>
      <c r="DT91" s="59">
        <f ca="1">AVERAGE(OFFSET($DS$3,0,0,'Données projet'!$E$14+1,1))-AVERAGE(OFFSET($H$3,0,0,'Données projet'!$E$14+1,1))</f>
        <v>349.56396446903</v>
      </c>
      <c r="DU91" s="59">
        <f t="shared" si="98"/>
        <v>270.64279448634522</v>
      </c>
      <c r="DV91" s="15">
        <f>IF(ISNA(VLOOKUP(A91,'Données projet'!$A$165:$I$185,3,0)),0,VLOOKUP(A91,'Données projet'!$A$165:$I$185,3,0))</f>
        <v>8</v>
      </c>
      <c r="DW91" s="15">
        <f>IF(ISNA(VLOOKUP(A91,'Données projet'!$A$165:$I$185,4,0)),0,VLOOKUP(A91,'Données projet'!$A$165:$I$185,4,0))</f>
        <v>35.479999999999997</v>
      </c>
      <c r="DX91" s="16">
        <f>IF(ISNA(VLOOKUP(A91,'Données projet'!$A$165:$I$185,5,0)),0%,VLOOKUP(A91,'Données projet'!$A$165:$I$185,5,0)*VLOOKUP('Données projet'!$B$14,Paramètres!$A$1:$I$89,7,0))</f>
        <v>0.315</v>
      </c>
      <c r="DY91" s="16">
        <f>IF(ISNA(VLOOKUP(A91,'Données projet'!$A$165:$I$185,6,0)),0%,VLOOKUP(A91,'Données projet'!$A$165:$I$185,6,0)*VLOOKUP('Données projet'!$B$14,Paramètres!$A$1:$I$89,7,0))</f>
        <v>0.13500000000000001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35.005634225080165</v>
      </c>
      <c r="EB91" s="21">
        <f>EXP(-LN(2)/25)*EB90+(1-EXP(-LN(2)/25))/(LN(2)/25)*Calculateur!DW91*Calculateur!DY91*VLOOKUP('Données projet'!$B$14,Paramètres!$A$1:$I$89,3,0)*0.475*44/12</f>
        <v>27.176875106490911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62.182509331571076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375.89365709113105</v>
      </c>
      <c r="EP91" s="59">
        <f t="shared" si="100"/>
        <v>279.39056561403834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142.11603167651927</v>
      </c>
      <c r="EW91" s="21">
        <f>EXP(-LN(2)/25)*EW90+(1-EXP(-LN(2)/25))/(LN(2)/25)*Calculateur!ER91*Calculateur!ET91*VLOOKUP('Données projet'!$B$15,Paramètres!$A$1:$I$89,3,0)*0.475*44/12</f>
        <v>66.420624088902542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208.53665576542181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-1.1368683772161603E-13</v>
      </c>
      <c r="FF91" s="17">
        <f>FE91*VLOOKUP('Données projet'!$B$16,Paramètres!$A$1:$I$89,3,0)*VLOOKUP('Données projet'!$B$16,Paramètres!$A$1:$I$89,5,0)</f>
        <v>-6.7984728957526396E-14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319.29539841078537</v>
      </c>
      <c r="FK91" s="59">
        <f t="shared" si="102"/>
        <v>327.26871144121412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79.431328135842989</v>
      </c>
      <c r="FR91" s="21">
        <f>EXP(-LN(2)/25)*FR90+(1-EXP(-LN(2)/25))/(LN(2)/25)*Calculateur!FM91*Calculateur!FO91*VLOOKUP('Données projet'!$B$16,Paramètres!$A$1:$I$89,3,0)*0.475*44/12</f>
        <v>39.427897520338234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118.85922565618122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2.2737367544323206E-13</v>
      </c>
      <c r="GA91" s="17">
        <f>FZ91*VLOOKUP('Données projet'!$B$17,Paramètres!$A$1:$I$89,3,0)*VLOOKUP('Données projet'!$B$17,Paramètres!$A$1:$I$89,5,0)</f>
        <v>1.0049916454590858E-13</v>
      </c>
      <c r="GB91" s="13">
        <f t="shared" si="103"/>
        <v>1.5089081593838289E-12</v>
      </c>
      <c r="GC91" s="20">
        <f t="shared" si="79"/>
        <v>2.8030510891776262E-12</v>
      </c>
      <c r="GD91" s="59">
        <f t="shared" si="80"/>
        <v>272.55766079404771</v>
      </c>
      <c r="GE91" s="59">
        <f ca="1">AVERAGE(OFFSET($GD$3,0,0,'Données projet'!$E$17+1,1))-AVERAGE(OFFSET($H$3,0,0,'Données projet'!$E$17+1,1))</f>
        <v>342.89128067483233</v>
      </c>
      <c r="GF91" s="59">
        <f t="shared" si="104"/>
        <v>453.47615302202996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94.798709525916976</v>
      </c>
      <c r="GM91" s="21">
        <f>EXP(-LN(2)/25)*GM90+(1-EXP(-LN(2)/25))/(LN(2)/25)*Calculateur!GH91*Calculateur!GJ91*VLOOKUP('Données projet'!$B$17,Paramètres!$A$1:$I$89,3,0)*0.475*44/12</f>
        <v>54.016731325831735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148.81544085174872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64.333907489284982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>
        <f>GU91*VLOOKUP('Données projet'!$B$18,Paramètres!$A$1:$I$89,3,0)*VLOOKUP('Données projet'!$B$18,Paramètres!$A$1:$I$89,5,0)</f>
        <v>0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375.89365709113105</v>
      </c>
      <c r="HA91" s="59">
        <f t="shared" si="106"/>
        <v>279.39056561403834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142.11603167651927</v>
      </c>
      <c r="HH91" s="21">
        <f>EXP(-LN(2)/25)*HH90+(1-EXP(-LN(2)/25))/(LN(2)/25)*Calculateur!HC91*Calculateur!HE91*VLOOKUP('Données projet'!$B$18,Paramètres!$A$1:$I$89,3,0)*0.475*44/12</f>
        <v>66.420624088902542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208.53665576542181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178.09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276.26710800000023</v>
      </c>
      <c r="P92" s="13">
        <f t="shared" si="87"/>
        <v>66.177526346547864</v>
      </c>
      <c r="Q92" s="20">
        <f t="shared" si="54"/>
        <v>596.42440482023801</v>
      </c>
      <c r="R92" s="59">
        <f t="shared" si="55"/>
        <v>869.34247708539408</v>
      </c>
      <c r="S92" s="59">
        <f ca="1">AVERAGE(OFFSET($R$3,0,0,'Données projet'!$E$9+1,1))-AVERAGE(OFFSET($H$3,0,0,'Données projet'!$E$9+1,1))</f>
        <v>631.31712308065664</v>
      </c>
      <c r="T92" s="59">
        <f t="shared" si="88"/>
        <v>290.92244624361285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39.079473260918625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39.079473260918625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7.9879999999999969</v>
      </c>
      <c r="AI92" s="13">
        <f>IF('Données projet'!$A$62&gt;35,AI91+AH92-AQ91,IF(A92&lt;'Données projet'!$A$62,$AF$205^A92,IF(A92='Données projet'!$A$62,'Données projet'!$B$62,AI91+AH92-AQ91)))</f>
        <v>272.37800000000016</v>
      </c>
      <c r="AJ92" s="13">
        <f>AI92*VLOOKUP('Données projet'!$B$10,Paramètres!$A$1:$I$89,3,0)*VLOOKUP('Données projet'!$B$10,Paramètres!$A$1:$I$89,5,0)</f>
        <v>229.45122720000015</v>
      </c>
      <c r="AK92" s="13">
        <f t="shared" si="89"/>
        <v>56.164007529639626</v>
      </c>
      <c r="AL92" s="20">
        <f t="shared" si="58"/>
        <v>497.44653382078923</v>
      </c>
      <c r="AM92" s="59">
        <f t="shared" si="59"/>
        <v>770.3646060859453</v>
      </c>
      <c r="AN92" s="59">
        <f ca="1">AVERAGE(OFFSET($AM$3,0,0,'Données projet'!$E$10+1,1))-AVERAGE(OFFSET($H$3,0,0,'Données projet'!$E$10+1,1))</f>
        <v>401.19166052471473</v>
      </c>
      <c r="AO92" s="59">
        <f t="shared" si="90"/>
        <v>271.10067497534271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29.31558090474147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29.31558090474147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309.60969000000028</v>
      </c>
      <c r="BF92" s="13">
        <f t="shared" si="91"/>
        <v>73.187311933195204</v>
      </c>
      <c r="BG92" s="20">
        <f t="shared" si="61"/>
        <v>666.70477836698205</v>
      </c>
      <c r="BH92" s="59">
        <f t="shared" si="62"/>
        <v>939.62285063213812</v>
      </c>
      <c r="BI92" s="59">
        <f ca="1">AVERAGE(OFFSET($BH$3,0,0,'Données projet'!$E$11+1,1))-AVERAGE(OFFSET($H$3,0,0,'Données projet'!$E$11+1,1))</f>
        <v>695.93700574708214</v>
      </c>
      <c r="BJ92" s="59">
        <f t="shared" si="92"/>
        <v>318.31690229208471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43.79596141309846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43.79596141309846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3.4</v>
      </c>
      <c r="BY92" s="12">
        <f>IF('Données projet'!$A$114&gt;35,BY91+BX92-CG91,IF(A92&lt;'Données projet'!$A$114,$BV$205^A92,IF(A92='Données projet'!$A$114,'Données projet'!$B$114,BY91+BX92-CG91)))</f>
        <v>213.60000000000016</v>
      </c>
      <c r="BZ92" s="13">
        <f>BY92*VLOOKUP('Données projet'!$B$12,Paramètres!$A$1:$I$89,3,0)*VLOOKUP('Données projet'!$B$12,Paramètres!$A$1:$I$89,5,0)</f>
        <v>139.9507200000001</v>
      </c>
      <c r="CA92" s="13">
        <f t="shared" si="93"/>
        <v>36.285715907711953</v>
      </c>
      <c r="CB92" s="20">
        <f t="shared" si="64"/>
        <v>306.94512587259851</v>
      </c>
      <c r="CC92" s="59">
        <f t="shared" si="65"/>
        <v>579.86319813775458</v>
      </c>
      <c r="CD92" s="59">
        <f ca="1">AVERAGE(OFFSET($CC$3,0,0,'Données projet'!$E$12+1,1))-AVERAGE(OFFSET($H$3,0,0,'Données projet'!$E$12+1,1))</f>
        <v>260.25859566735949</v>
      </c>
      <c r="CE92" s="59">
        <f t="shared" si="94"/>
        <v>256.93649773468667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15.019107706725759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15.019107706725759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3.4</v>
      </c>
      <c r="CT92" s="12">
        <f>IF('Données projet'!$A$140&gt;35,CT91+CS92-DB91,IF(A92&lt;'Données projet'!$A$140,$CQ$205^A92,IF(A92='Données projet'!$A$140,'Données projet'!$B$140,CT91+CS92-DB91)))</f>
        <v>213.60000000000016</v>
      </c>
      <c r="CU92" s="17">
        <f>CT92*VLOOKUP('Données projet'!$B$13,Paramètres!$A$1:$I$89,3,0)*VLOOKUP('Données projet'!$B$13,Paramètres!$A$1:$I$89,5,0)</f>
        <v>139.9507200000001</v>
      </c>
      <c r="CV92" s="13">
        <f t="shared" si="95"/>
        <v>36.285715907711953</v>
      </c>
      <c r="CW92" s="20">
        <f t="shared" si="67"/>
        <v>306.94512587259851</v>
      </c>
      <c r="CX92" s="59">
        <f t="shared" si="68"/>
        <v>579.86319813775458</v>
      </c>
      <c r="CY92" s="59">
        <f ca="1">AVERAGE(OFFSET($CX$3,0,0,'Données projet'!$E$13+1,1))-AVERAGE(OFFSET($H$3,0,0,'Données projet'!$E$13+1,1))</f>
        <v>260.25859566735949</v>
      </c>
      <c r="CZ92" s="59">
        <f t="shared" si="96"/>
        <v>256.93649773468667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15.019107706725759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15.019107706725759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4.7720000000000002</v>
      </c>
      <c r="DO92" s="12">
        <f>IF('Données projet'!$A$166&gt;35,DO91+DN92-DW91,IF(A92&lt;'Données projet'!$A$166,$DL$205^A92,IF(A92='Données projet'!$A$166,'Données projet'!$B$166,DO91+DN92-DW91)))</f>
        <v>325.92199999999991</v>
      </c>
      <c r="DP92" s="17">
        <f>DO92*VLOOKUP('Données projet'!$B$14,Paramètres!$A$1:$I$89,3,0)*VLOOKUP('Données projet'!$B$14,Paramètres!$A$1:$I$89,5,0)</f>
        <v>186.42738399999996</v>
      </c>
      <c r="DQ92" s="13">
        <f t="shared" si="97"/>
        <v>46.749227692767072</v>
      </c>
      <c r="DR92" s="20">
        <f t="shared" si="70"/>
        <v>406.11593203156923</v>
      </c>
      <c r="DS92" s="59">
        <f t="shared" si="71"/>
        <v>679.03400429672524</v>
      </c>
      <c r="DT92" s="59">
        <f ca="1">AVERAGE(OFFSET($DS$3,0,0,'Données projet'!$E$14+1,1))-AVERAGE(OFFSET($H$3,0,0,'Données projet'!$E$14+1,1))</f>
        <v>349.56396446903</v>
      </c>
      <c r="DU92" s="59">
        <f t="shared" si="98"/>
        <v>270.64279448634522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34.319195089254954</v>
      </c>
      <c r="EB92" s="21">
        <f>EXP(-LN(2)/25)*EB91+(1-EXP(-LN(2)/25))/(LN(2)/25)*Calculateur!DW92*Calculateur!DY92*VLOOKUP('Données projet'!$B$14,Paramètres!$A$1:$I$89,3,0)*0.475*44/12</f>
        <v>26.43372202753417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60.752917116789121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375.89365709113105</v>
      </c>
      <c r="EP92" s="59">
        <f t="shared" si="100"/>
        <v>279.39056561403834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139.32922297756289</v>
      </c>
      <c r="EW92" s="21">
        <f>EXP(-LN(2)/25)*EW91+(1-EXP(-LN(2)/25))/(LN(2)/25)*Calculateur!ER92*Calculateur!ET92*VLOOKUP('Données projet'!$B$15,Paramètres!$A$1:$I$89,3,0)*0.475*44/12</f>
        <v>64.604348630282686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203.93357160784558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-1.1368683772161603E-13</v>
      </c>
      <c r="FF92" s="17">
        <f>FE92*VLOOKUP('Données projet'!$B$16,Paramètres!$A$1:$I$89,3,0)*VLOOKUP('Données projet'!$B$16,Paramètres!$A$1:$I$89,5,0)</f>
        <v>-6.7984728957526396E-14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319.29539841078537</v>
      </c>
      <c r="FK92" s="59">
        <f t="shared" si="102"/>
        <v>327.26871144121412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77.87372823942539</v>
      </c>
      <c r="FR92" s="21">
        <f>EXP(-LN(2)/25)*FR91+(1-EXP(-LN(2)/25))/(LN(2)/25)*Calculateur!FM92*Calculateur!FO92*VLOOKUP('Données projet'!$B$16,Paramètres!$A$1:$I$89,3,0)*0.475*44/12</f>
        <v>38.349739589221571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116.22346782864696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2.2737367544323206E-13</v>
      </c>
      <c r="GA92" s="17">
        <f>FZ92*VLOOKUP('Données projet'!$B$17,Paramètres!$A$1:$I$89,3,0)*VLOOKUP('Données projet'!$B$17,Paramètres!$A$1:$I$89,5,0)</f>
        <v>1.0049916454590858E-13</v>
      </c>
      <c r="GB92" s="13">
        <f t="shared" si="103"/>
        <v>1.5089081593838289E-12</v>
      </c>
      <c r="GC92" s="20">
        <f t="shared" si="79"/>
        <v>2.8030510891776262E-12</v>
      </c>
      <c r="GD92" s="59">
        <f t="shared" si="80"/>
        <v>272.91807226515886</v>
      </c>
      <c r="GE92" s="59">
        <f ca="1">AVERAGE(OFFSET($GD$3,0,0,'Données projet'!$E$17+1,1))-AVERAGE(OFFSET($H$3,0,0,'Données projet'!$E$17+1,1))</f>
        <v>342.89128067483233</v>
      </c>
      <c r="GF92" s="59">
        <f t="shared" si="104"/>
        <v>453.47615302202996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92.939764653617161</v>
      </c>
      <c r="GM92" s="21">
        <f>EXP(-LN(2)/25)*GM91+(1-EXP(-LN(2)/25))/(LN(2)/25)*Calculateur!GH92*Calculateur!GJ92*VLOOKUP('Données projet'!$B$17,Paramètres!$A$1:$I$89,3,0)*0.475*44/12</f>
        <v>52.539640967110422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145.47940562072759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64.432201526860752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>
        <f>GU92*VLOOKUP('Données projet'!$B$18,Paramètres!$A$1:$I$89,3,0)*VLOOKUP('Données projet'!$B$18,Paramètres!$A$1:$I$89,5,0)</f>
        <v>0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375.89365709113105</v>
      </c>
      <c r="HA92" s="59">
        <f t="shared" si="106"/>
        <v>279.39056561403834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139.32922297756289</v>
      </c>
      <c r="HH92" s="21">
        <f>EXP(-LN(2)/25)*HH91+(1-EXP(-LN(2)/25))/(LN(2)/25)*Calculateur!HC92*Calculateur!HE92*VLOOKUP('Données projet'!$B$18,Paramètres!$A$1:$I$89,3,0)*0.475*44/12</f>
        <v>64.604348630282686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203.93357160784558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178.09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283.76880480000023</v>
      </c>
      <c r="P93" s="13">
        <f t="shared" si="87"/>
        <v>67.762844856024827</v>
      </c>
      <c r="Q93" s="20">
        <f t="shared" si="54"/>
        <v>612.2509564842436</v>
      </c>
      <c r="R93" s="59">
        <f t="shared" si="55"/>
        <v>885.52318788724642</v>
      </c>
      <c r="S93" s="59">
        <f ca="1">AVERAGE(OFFSET($R$3,0,0,'Données projet'!$E$9+1,1))-AVERAGE(OFFSET($H$3,0,0,'Données projet'!$E$9+1,1))</f>
        <v>631.31712308065664</v>
      </c>
      <c r="T93" s="59">
        <f t="shared" si="88"/>
        <v>290.92244624361285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38.31314862639708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38.31314862639708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7.9879999999999969</v>
      </c>
      <c r="AI93" s="13">
        <f>IF('Données projet'!$A$62&gt;35,AI92+AH93-AQ92,IF(A93&lt;'Données projet'!$A$62,$AF$205^A93,IF(A93='Données projet'!$A$62,'Données projet'!$B$62,AI92+AH93-AQ92)))</f>
        <v>280.36600000000016</v>
      </c>
      <c r="AJ93" s="13">
        <f>AI93*VLOOKUP('Données projet'!$B$10,Paramètres!$A$1:$I$89,3,0)*VLOOKUP('Données projet'!$B$10,Paramètres!$A$1:$I$89,5,0)</f>
        <v>236.18031840000015</v>
      </c>
      <c r="AK93" s="13">
        <f t="shared" si="89"/>
        <v>57.61694159958833</v>
      </c>
      <c r="AL93" s="20">
        <f t="shared" si="58"/>
        <v>511.69689449928336</v>
      </c>
      <c r="AM93" s="59">
        <f t="shared" si="59"/>
        <v>784.96912590228624</v>
      </c>
      <c r="AN93" s="59">
        <f ca="1">AVERAGE(OFFSET($AM$3,0,0,'Données projet'!$E$10+1,1))-AVERAGE(OFFSET($H$3,0,0,'Données projet'!$E$10+1,1))</f>
        <v>401.19166052471473</v>
      </c>
      <c r="AO93" s="59">
        <f t="shared" si="90"/>
        <v>271.10067497534271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28.740720243938267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28.740720243938267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318.01676400000025</v>
      </c>
      <c r="BF93" s="13">
        <f t="shared" si="91"/>
        <v>74.940553655452632</v>
      </c>
      <c r="BG93" s="20">
        <f t="shared" si="61"/>
        <v>684.40066158324714</v>
      </c>
      <c r="BH93" s="59">
        <f t="shared" si="62"/>
        <v>957.67289298624996</v>
      </c>
      <c r="BI93" s="59">
        <f ca="1">AVERAGE(OFFSET($BH$3,0,0,'Données projet'!$E$11+1,1))-AVERAGE(OFFSET($H$3,0,0,'Données projet'!$E$11+1,1))</f>
        <v>695.93700574708214</v>
      </c>
      <c r="BJ93" s="59">
        <f t="shared" si="92"/>
        <v>318.31690229208471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42.937149322686381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42.937149322686381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217</v>
      </c>
      <c r="BW93" s="12">
        <f>VLOOKUP(A93,'Données projet'!$A$113:$I$133,9,0)</f>
        <v>3.4</v>
      </c>
      <c r="BX93" s="12">
        <f t="array" ref="BX93">INDEX(BW:BW,MIN(IF(ISNUMBER(BW93:BW289),ROW(BW93:BW289),"")))</f>
        <v>3.4</v>
      </c>
      <c r="BY93" s="12">
        <f>IF('Données projet'!$A$114&gt;35,BY92+BX93-CG92,IF(A93&lt;'Données projet'!$A$114,$BV$205^A93,IF(A93='Données projet'!$A$114,'Données projet'!$B$114,BY92+BX93-CG92)))</f>
        <v>217.00000000000017</v>
      </c>
      <c r="BZ93" s="13">
        <f>BY93*VLOOKUP('Données projet'!$B$12,Paramètres!$A$1:$I$89,3,0)*VLOOKUP('Données projet'!$B$12,Paramètres!$A$1:$I$89,5,0)</f>
        <v>142.17840000000012</v>
      </c>
      <c r="CA93" s="13">
        <f t="shared" si="93"/>
        <v>36.795597013009385</v>
      </c>
      <c r="CB93" s="20">
        <f t="shared" si="64"/>
        <v>311.71304479765826</v>
      </c>
      <c r="CC93" s="59">
        <f t="shared" si="65"/>
        <v>584.98527620066113</v>
      </c>
      <c r="CD93" s="59">
        <f ca="1">AVERAGE(OFFSET($CC$3,0,0,'Données projet'!$E$12+1,1))-AVERAGE(OFFSET($H$3,0,0,'Données projet'!$E$12+1,1))</f>
        <v>260.25859566735949</v>
      </c>
      <c r="CE93" s="59">
        <f t="shared" si="94"/>
        <v>256.93649773468667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217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55.275486696170027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55.275486696170027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217</v>
      </c>
      <c r="CR93" s="12">
        <f>VLOOKUP(A93,'Données projet'!$A$139:$I$159,9,0)</f>
        <v>3.4</v>
      </c>
      <c r="CS93" s="12">
        <f t="array" ref="CS93">INDEX(CR:CR,MIN(IF(ISNUMBER(CR93:CR289),ROW(CR93:CR289),"")))</f>
        <v>3.4</v>
      </c>
      <c r="CT93" s="12">
        <f>IF('Données projet'!$A$140&gt;35,CT92+CS93-DB92,IF(A93&lt;'Données projet'!$A$140,$CQ$205^A93,IF(A93='Données projet'!$A$140,'Données projet'!$B$140,CT92+CS93-DB92)))</f>
        <v>217.00000000000017</v>
      </c>
      <c r="CU93" s="17">
        <f>CT93*VLOOKUP('Données projet'!$B$13,Paramètres!$A$1:$I$89,3,0)*VLOOKUP('Données projet'!$B$13,Paramètres!$A$1:$I$89,5,0)</f>
        <v>142.17840000000012</v>
      </c>
      <c r="CV93" s="13">
        <f t="shared" si="95"/>
        <v>36.795597013009385</v>
      </c>
      <c r="CW93" s="20">
        <f t="shared" si="67"/>
        <v>311.71304479765826</v>
      </c>
      <c r="CX93" s="59">
        <f t="shared" si="68"/>
        <v>584.98527620066113</v>
      </c>
      <c r="CY93" s="59">
        <f ca="1">AVERAGE(OFFSET($CX$3,0,0,'Données projet'!$E$13+1,1))-AVERAGE(OFFSET($H$3,0,0,'Données projet'!$E$13+1,1))</f>
        <v>260.25859566735949</v>
      </c>
      <c r="CZ93" s="59">
        <f t="shared" si="96"/>
        <v>256.93649773468667</v>
      </c>
      <c r="DA93" s="15">
        <f>IF(ISNA(VLOOKUP(A93,'Données projet'!$A$139:$I$159,3,0)),0,VLOOKUP(A93,'Données projet'!$A$139:$I$159,3,0))</f>
        <v>17</v>
      </c>
      <c r="DB93" s="15">
        <f>IF(ISNA(VLOOKUP(A93,'Données projet'!$A$139:$I$159,4,0)),0,VLOOKUP(A93,'Données projet'!$A$139:$I$159,4,0))</f>
        <v>217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55.275486696170027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55.275486696170027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4.7720000000000002</v>
      </c>
      <c r="DO93" s="12">
        <f>IF('Données projet'!$A$166&gt;35,DO92+DN93-DW92,IF(A93&lt;'Données projet'!$A$166,$DL$205^A93,IF(A93='Données projet'!$A$166,'Données projet'!$B$166,DO92+DN93-DW92)))</f>
        <v>330.6939999999999</v>
      </c>
      <c r="DP93" s="17">
        <f>DO93*VLOOKUP('Données projet'!$B$14,Paramètres!$A$1:$I$89,3,0)*VLOOKUP('Données projet'!$B$14,Paramètres!$A$1:$I$89,5,0)</f>
        <v>189.15696799999998</v>
      </c>
      <c r="DQ93" s="13">
        <f t="shared" si="97"/>
        <v>47.353522235642437</v>
      </c>
      <c r="DR93" s="20">
        <f t="shared" si="70"/>
        <v>411.92243716041048</v>
      </c>
      <c r="DS93" s="59">
        <f t="shared" si="71"/>
        <v>685.19466856341342</v>
      </c>
      <c r="DT93" s="59">
        <f ca="1">AVERAGE(OFFSET($DS$3,0,0,'Données projet'!$E$14+1,1))-AVERAGE(OFFSET($H$3,0,0,'Données projet'!$E$14+1,1))</f>
        <v>349.56396446903</v>
      </c>
      <c r="DU93" s="59">
        <f t="shared" si="98"/>
        <v>270.64279448634522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33.646216606196745</v>
      </c>
      <c r="EB93" s="21">
        <f>EXP(-LN(2)/25)*EB92+(1-EXP(-LN(2)/25))/(LN(2)/25)*Calculateur!DW93*Calculateur!DY93*VLOOKUP('Données projet'!$B$14,Paramètres!$A$1:$I$89,3,0)*0.475*44/12</f>
        <v>25.710890508602223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59.357107114798964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375.89365709113105</v>
      </c>
      <c r="EP93" s="59">
        <f t="shared" si="100"/>
        <v>279.39056561403834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136.59706189740757</v>
      </c>
      <c r="EW93" s="21">
        <f>EXP(-LN(2)/25)*EW92+(1-EXP(-LN(2)/25))/(LN(2)/25)*Calculateur!ER93*Calculateur!ET93*VLOOKUP('Données projet'!$B$15,Paramètres!$A$1:$I$89,3,0)*0.475*44/12</f>
        <v>62.837739319592565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199.43480121700014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-1.1368683772161603E-13</v>
      </c>
      <c r="FF93" s="17">
        <f>FE93*VLOOKUP('Données projet'!$B$16,Paramètres!$A$1:$I$89,3,0)*VLOOKUP('Données projet'!$B$16,Paramètres!$A$1:$I$89,5,0)</f>
        <v>-6.7984728957526396E-14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319.29539841078537</v>
      </c>
      <c r="FK93" s="59">
        <f t="shared" si="102"/>
        <v>327.26871144121412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76.34667192693442</v>
      </c>
      <c r="FR93" s="21">
        <f>EXP(-LN(2)/25)*FR92+(1-EXP(-LN(2)/25))/(LN(2)/25)*Calculateur!FM93*Calculateur!FO93*VLOOKUP('Données projet'!$B$16,Paramètres!$A$1:$I$89,3,0)*0.475*44/12</f>
        <v>37.301063943429149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113.64773587036356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2.2737367544323206E-13</v>
      </c>
      <c r="GA93" s="17">
        <f>FZ93*VLOOKUP('Données projet'!$B$17,Paramètres!$A$1:$I$89,3,0)*VLOOKUP('Données projet'!$B$17,Paramètres!$A$1:$I$89,5,0)</f>
        <v>1.0049916454590858E-13</v>
      </c>
      <c r="GB93" s="13">
        <f t="shared" si="103"/>
        <v>1.5089081593838289E-12</v>
      </c>
      <c r="GC93" s="20">
        <f t="shared" si="79"/>
        <v>2.8030510891776262E-12</v>
      </c>
      <c r="GD93" s="59">
        <f t="shared" si="80"/>
        <v>273.27223140300566</v>
      </c>
      <c r="GE93" s="59">
        <f ca="1">AVERAGE(OFFSET($GD$3,0,0,'Données projet'!$E$17+1,1))-AVERAGE(OFFSET($H$3,0,0,'Données projet'!$E$17+1,1))</f>
        <v>342.89128067483233</v>
      </c>
      <c r="GF93" s="59">
        <f t="shared" si="104"/>
        <v>453.47615302202996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91.117272556418726</v>
      </c>
      <c r="GM93" s="21">
        <f>EXP(-LN(2)/25)*GM92+(1-EXP(-LN(2)/25))/(LN(2)/25)*Calculateur!GH93*Calculateur!GJ93*VLOOKUP('Données projet'!$B$17,Paramètres!$A$1:$I$89,3,0)*0.475*44/12</f>
        <v>51.102941721925148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142.22021427834386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64.528790382637141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>
        <f>GU93*VLOOKUP('Données projet'!$B$18,Paramètres!$A$1:$I$89,3,0)*VLOOKUP('Données projet'!$B$18,Paramètres!$A$1:$I$89,5,0)</f>
        <v>0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375.89365709113105</v>
      </c>
      <c r="HA93" s="59">
        <f t="shared" si="106"/>
        <v>279.39056561403834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136.59706189740757</v>
      </c>
      <c r="HH93" s="21">
        <f>EXP(-LN(2)/25)*HH92+(1-EXP(-LN(2)/25))/(LN(2)/25)*Calculateur!HC93*Calculateur!HE93*VLOOKUP('Données projet'!$B$18,Paramètres!$A$1:$I$89,3,0)*0.475*44/12</f>
        <v>62.837739319592565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199.43480121700014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178.09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291.27050160000022</v>
      </c>
      <c r="P94" s="13">
        <f t="shared" si="87"/>
        <v>69.343292010233441</v>
      </c>
      <c r="Q94" s="20">
        <f t="shared" si="54"/>
        <v>628.0690238711569</v>
      </c>
      <c r="R94" s="59">
        <f t="shared" si="55"/>
        <v>901.68927054274604</v>
      </c>
      <c r="S94" s="59">
        <f ca="1">AVERAGE(OFFSET($R$3,0,0,'Données projet'!$E$9+1,1))-AVERAGE(OFFSET($H$3,0,0,'Données projet'!$E$9+1,1))</f>
        <v>631.31712308065664</v>
      </c>
      <c r="T94" s="59">
        <f t="shared" si="88"/>
        <v>290.92244624361285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37.561851150546623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37.561851150546623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7.9879999999999969</v>
      </c>
      <c r="AI94" s="13">
        <f>IF('Données projet'!$A$62&gt;35,AI93+AH94-AQ93,IF(A94&lt;'Données projet'!$A$62,$AF$205^A94,IF(A94='Données projet'!$A$62,'Données projet'!$B$62,AI93+AH94-AQ93)))</f>
        <v>288.35400000000016</v>
      </c>
      <c r="AJ94" s="13">
        <f>AI94*VLOOKUP('Données projet'!$B$10,Paramètres!$A$1:$I$89,3,0)*VLOOKUP('Données projet'!$B$10,Paramètres!$A$1:$I$89,5,0)</f>
        <v>242.90940960000015</v>
      </c>
      <c r="AK94" s="13">
        <f t="shared" si="89"/>
        <v>59.065064465860083</v>
      </c>
      <c r="AL94" s="20">
        <f t="shared" si="58"/>
        <v>525.93887566470653</v>
      </c>
      <c r="AM94" s="59">
        <f t="shared" si="59"/>
        <v>799.55912233629579</v>
      </c>
      <c r="AN94" s="59">
        <f ca="1">AVERAGE(OFFSET($AM$3,0,0,'Données projet'!$E$10+1,1))-AVERAGE(OFFSET($H$3,0,0,'Données projet'!$E$10+1,1))</f>
        <v>401.19166052471473</v>
      </c>
      <c r="AO94" s="59">
        <f t="shared" si="90"/>
        <v>271.10067497534271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28.177132250063032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28.177132250063032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326.42383800000027</v>
      </c>
      <c r="BF94" s="13">
        <f t="shared" si="91"/>
        <v>76.688408029206073</v>
      </c>
      <c r="BG94" s="20">
        <f t="shared" si="61"/>
        <v>702.08716183420108</v>
      </c>
      <c r="BH94" s="59">
        <f t="shared" si="62"/>
        <v>975.70740850579023</v>
      </c>
      <c r="BI94" s="59">
        <f ca="1">AVERAGE(OFFSET($BH$3,0,0,'Données projet'!$E$11+1,1))-AVERAGE(OFFSET($H$3,0,0,'Données projet'!$E$11+1,1))</f>
        <v>695.93700574708214</v>
      </c>
      <c r="BJ94" s="59">
        <f t="shared" si="92"/>
        <v>318.31690229208471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42.095178013543631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42.095178013543631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1.7053025658242404E-13</v>
      </c>
      <c r="BZ94" s="13">
        <f>BY94*VLOOKUP('Données projet'!$B$12,Paramètres!$A$1:$I$89,3,0)*VLOOKUP('Données projet'!$B$12,Paramètres!$A$1:$I$89,5,0)</f>
        <v>1.1173142411280423E-13</v>
      </c>
      <c r="CA94" s="13">
        <f t="shared" si="93"/>
        <v>1.6569896290553793E-12</v>
      </c>
      <c r="CB94" s="20">
        <f t="shared" si="64"/>
        <v>3.0805225009345862E-12</v>
      </c>
      <c r="CC94" s="59">
        <f t="shared" si="65"/>
        <v>273.62024667159227</v>
      </c>
      <c r="CD94" s="59">
        <f ca="1">AVERAGE(OFFSET($CC$3,0,0,'Données projet'!$E$12+1,1))-AVERAGE(OFFSET($H$3,0,0,'Données projet'!$E$12+1,1))</f>
        <v>260.25859566735949</v>
      </c>
      <c r="CE94" s="59">
        <f t="shared" si="94"/>
        <v>256.93649773468667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54.191568116775969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54.191568116775969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1.7053025658242404E-13</v>
      </c>
      <c r="CU94" s="17">
        <f>CT94*VLOOKUP('Données projet'!$B$13,Paramètres!$A$1:$I$89,3,0)*VLOOKUP('Données projet'!$B$13,Paramètres!$A$1:$I$89,5,0)</f>
        <v>1.1173142411280423E-13</v>
      </c>
      <c r="CV94" s="13">
        <f t="shared" si="95"/>
        <v>1.6569896290553793E-12</v>
      </c>
      <c r="CW94" s="20">
        <f t="shared" si="67"/>
        <v>3.0805225009345862E-12</v>
      </c>
      <c r="CX94" s="59">
        <f t="shared" si="68"/>
        <v>273.62024667159227</v>
      </c>
      <c r="CY94" s="59">
        <f ca="1">AVERAGE(OFFSET($CX$3,0,0,'Données projet'!$E$13+1,1))-AVERAGE(OFFSET($H$3,0,0,'Données projet'!$E$13+1,1))</f>
        <v>260.25859566735949</v>
      </c>
      <c r="CZ94" s="59">
        <f t="shared" si="96"/>
        <v>256.93649773468667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54.191568116775969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54.191568116775969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4.7720000000000002</v>
      </c>
      <c r="DO94" s="12">
        <f>IF('Données projet'!$A$166&gt;35,DO93+DN94-DW93,IF(A94&lt;'Données projet'!$A$166,$DL$205^A94,IF(A94='Données projet'!$A$166,'Données projet'!$B$166,DO93+DN94-DW93)))</f>
        <v>335.46599999999989</v>
      </c>
      <c r="DP94" s="17">
        <f>DO94*VLOOKUP('Données projet'!$B$14,Paramètres!$A$1:$I$89,3,0)*VLOOKUP('Données projet'!$B$14,Paramètres!$A$1:$I$89,5,0)</f>
        <v>191.88655199999994</v>
      </c>
      <c r="DQ94" s="13">
        <f t="shared" si="97"/>
        <v>47.956802570539999</v>
      </c>
      <c r="DR94" s="20">
        <f t="shared" si="70"/>
        <v>417.72717587702368</v>
      </c>
      <c r="DS94" s="59">
        <f t="shared" si="71"/>
        <v>691.34742254861294</v>
      </c>
      <c r="DT94" s="59">
        <f ca="1">AVERAGE(OFFSET($DS$3,0,0,'Données projet'!$E$14+1,1))-AVERAGE(OFFSET($H$3,0,0,'Données projet'!$E$14+1,1))</f>
        <v>349.56396446903</v>
      </c>
      <c r="DU94" s="59">
        <f t="shared" si="98"/>
        <v>270.64279448634522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32.986434820714962</v>
      </c>
      <c r="EB94" s="21">
        <f>EXP(-LN(2)/25)*EB93+(1-EXP(-LN(2)/25))/(LN(2)/25)*Calculateur!DW94*Calculateur!DY94*VLOOKUP('Données projet'!$B$14,Paramètres!$A$1:$I$89,3,0)*0.475*44/12</f>
        <v>25.007824855567527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57.994259676282489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375.89365709113105</v>
      </c>
      <c r="EP94" s="59">
        <f t="shared" si="100"/>
        <v>279.39056561403834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133.91847682958038</v>
      </c>
      <c r="EW94" s="21">
        <f>EXP(-LN(2)/25)*EW93+(1-EXP(-LN(2)/25))/(LN(2)/25)*Calculateur!ER94*Calculateur!ET94*VLOOKUP('Données projet'!$B$15,Paramètres!$A$1:$I$89,3,0)*0.475*44/12</f>
        <v>61.11943803340521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195.03791486298559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-1.1368683772161603E-13</v>
      </c>
      <c r="FF94" s="17">
        <f>FE94*VLOOKUP('Données projet'!$B$16,Paramètres!$A$1:$I$89,3,0)*VLOOKUP('Données projet'!$B$16,Paramètres!$A$1:$I$89,5,0)</f>
        <v>-6.7984728957526396E-14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319.29539841078537</v>
      </c>
      <c r="FK94" s="59">
        <f t="shared" si="102"/>
        <v>327.26871144121412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74.849560257319013</v>
      </c>
      <c r="FR94" s="21">
        <f>EXP(-LN(2)/25)*FR93+(1-EXP(-LN(2)/25))/(LN(2)/25)*Calculateur!FM94*Calculateur!FO94*VLOOKUP('Données projet'!$B$16,Paramètres!$A$1:$I$89,3,0)*0.475*44/12</f>
        <v>36.281064388318377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111.1306246456374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2.2737367544323206E-13</v>
      </c>
      <c r="GA94" s="17">
        <f>FZ94*VLOOKUP('Données projet'!$B$17,Paramètres!$A$1:$I$89,3,0)*VLOOKUP('Données projet'!$B$17,Paramètres!$A$1:$I$89,5,0)</f>
        <v>1.0049916454590858E-13</v>
      </c>
      <c r="GB94" s="13">
        <f t="shared" si="103"/>
        <v>1.5089081593838289E-12</v>
      </c>
      <c r="GC94" s="20">
        <f t="shared" si="79"/>
        <v>2.8030510891776262E-12</v>
      </c>
      <c r="GD94" s="59">
        <f t="shared" si="80"/>
        <v>273.62024667159199</v>
      </c>
      <c r="GE94" s="59">
        <f ca="1">AVERAGE(OFFSET($GD$3,0,0,'Données projet'!$E$17+1,1))-AVERAGE(OFFSET($H$3,0,0,'Données projet'!$E$17+1,1))</f>
        <v>342.89128067483233</v>
      </c>
      <c r="GF94" s="59">
        <f t="shared" si="104"/>
        <v>453.47615302202996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89.330518417635929</v>
      </c>
      <c r="GM94" s="21">
        <f>EXP(-LN(2)/25)*GM93+(1-EXP(-LN(2)/25))/(LN(2)/25)*Calculateur!GH94*Calculateur!GJ94*VLOOKUP('Données projet'!$B$17,Paramètres!$A$1:$I$89,3,0)*0.475*44/12</f>
        <v>49.705529093152201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139.03604751078814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64.623703637706143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>
        <f>GU94*VLOOKUP('Données projet'!$B$18,Paramètres!$A$1:$I$89,3,0)*VLOOKUP('Données projet'!$B$18,Paramètres!$A$1:$I$89,5,0)</f>
        <v>0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375.89365709113105</v>
      </c>
      <c r="HA94" s="59">
        <f t="shared" si="106"/>
        <v>279.39056561403834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133.91847682958038</v>
      </c>
      <c r="HH94" s="21">
        <f>EXP(-LN(2)/25)*HH93+(1-EXP(-LN(2)/25))/(LN(2)/25)*Calculateur!HC94*Calculateur!HE94*VLOOKUP('Données projet'!$B$18,Paramètres!$A$1:$I$89,3,0)*0.475*44/12</f>
        <v>61.11943803340521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195.03791486298559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178.09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298.77219840000021</v>
      </c>
      <c r="P95" s="13">
        <f t="shared" si="87"/>
        <v>70.919007696700163</v>
      </c>
      <c r="Q95" s="20">
        <f t="shared" si="54"/>
        <v>643.87885061841985</v>
      </c>
      <c r="R95" s="59">
        <f t="shared" si="55"/>
        <v>917.84107527173092</v>
      </c>
      <c r="S95" s="59">
        <f ca="1">AVERAGE(OFFSET($R$3,0,0,'Données projet'!$E$9+1,1))-AVERAGE(OFFSET($H$3,0,0,'Données projet'!$E$9+1,1))</f>
        <v>631.31712308065664</v>
      </c>
      <c r="T95" s="59">
        <f t="shared" si="88"/>
        <v>290.92244624361285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36.825286159951382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36.825286159951382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7.9879999999999969</v>
      </c>
      <c r="AI95" s="13">
        <f>IF('Données projet'!$A$62&gt;35,AI94+AH95-AQ94,IF(A95&lt;'Données projet'!$A$62,$AF$205^A95,IF(A95='Données projet'!$A$62,'Données projet'!$B$62,AI94+AH95-AQ94)))</f>
        <v>296.34200000000016</v>
      </c>
      <c r="AJ95" s="13">
        <f>AI95*VLOOKUP('Données projet'!$B$10,Paramètres!$A$1:$I$89,3,0)*VLOOKUP('Données projet'!$B$10,Paramètres!$A$1:$I$89,5,0)</f>
        <v>249.63850080000017</v>
      </c>
      <c r="AK95" s="13">
        <f t="shared" si="89"/>
        <v>60.508524721393243</v>
      </c>
      <c r="AL95" s="20">
        <f t="shared" si="58"/>
        <v>540.17273611642679</v>
      </c>
      <c r="AM95" s="59">
        <f t="shared" si="59"/>
        <v>814.13496076973797</v>
      </c>
      <c r="AN95" s="59">
        <f ca="1">AVERAGE(OFFSET($AM$3,0,0,'Données projet'!$E$10+1,1))-AVERAGE(OFFSET($H$3,0,0,'Données projet'!$E$10+1,1))</f>
        <v>401.19166052471473</v>
      </c>
      <c r="AO95" s="59">
        <f t="shared" si="90"/>
        <v>271.10067497534271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27.624595872992955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27.624595872992955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334.8309120000003</v>
      </c>
      <c r="BF95" s="13">
        <f t="shared" si="91"/>
        <v>78.431029759422557</v>
      </c>
      <c r="BG95" s="20">
        <f t="shared" si="61"/>
        <v>719.76454856432804</v>
      </c>
      <c r="BH95" s="59">
        <f t="shared" si="62"/>
        <v>993.72677321763922</v>
      </c>
      <c r="BI95" s="59">
        <f ca="1">AVERAGE(OFFSET($BH$3,0,0,'Données projet'!$E$11+1,1))-AVERAGE(OFFSET($H$3,0,0,'Données projet'!$E$11+1,1))</f>
        <v>695.93700574708214</v>
      </c>
      <c r="BJ95" s="59">
        <f t="shared" si="92"/>
        <v>318.31690229208471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41.269717248221383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41.269717248221383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1.7053025658242404E-13</v>
      </c>
      <c r="BZ95" s="13">
        <f>BY95*VLOOKUP('Données projet'!$B$12,Paramètres!$A$1:$I$89,3,0)*VLOOKUP('Données projet'!$B$12,Paramètres!$A$1:$I$89,5,0)</f>
        <v>1.1173142411280423E-13</v>
      </c>
      <c r="CA95" s="13">
        <f t="shared" si="93"/>
        <v>1.6569896290553793E-12</v>
      </c>
      <c r="CB95" s="20">
        <f t="shared" si="64"/>
        <v>3.0805225009345862E-12</v>
      </c>
      <c r="CC95" s="59">
        <f t="shared" si="65"/>
        <v>273.96222465331419</v>
      </c>
      <c r="CD95" s="59">
        <f ca="1">AVERAGE(OFFSET($CC$3,0,0,'Données projet'!$E$12+1,1))-AVERAGE(OFFSET($H$3,0,0,'Données projet'!$E$12+1,1))</f>
        <v>260.25859566735949</v>
      </c>
      <c r="CE95" s="59">
        <f t="shared" si="94"/>
        <v>256.93649773468667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53.12890451959877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53.12890451959877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1.7053025658242404E-13</v>
      </c>
      <c r="CU95" s="17">
        <f>CT95*VLOOKUP('Données projet'!$B$13,Paramètres!$A$1:$I$89,3,0)*VLOOKUP('Données projet'!$B$13,Paramètres!$A$1:$I$89,5,0)</f>
        <v>1.1173142411280423E-13</v>
      </c>
      <c r="CV95" s="13">
        <f t="shared" si="95"/>
        <v>1.6569896290553793E-12</v>
      </c>
      <c r="CW95" s="20">
        <f t="shared" si="67"/>
        <v>3.0805225009345862E-12</v>
      </c>
      <c r="CX95" s="59">
        <f t="shared" si="68"/>
        <v>273.96222465331419</v>
      </c>
      <c r="CY95" s="59">
        <f ca="1">AVERAGE(OFFSET($CX$3,0,0,'Données projet'!$E$13+1,1))-AVERAGE(OFFSET($H$3,0,0,'Données projet'!$E$13+1,1))</f>
        <v>260.25859566735949</v>
      </c>
      <c r="CZ95" s="59">
        <f t="shared" si="96"/>
        <v>256.93649773468667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53.12890451959877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53.12890451959877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4.7720000000000002</v>
      </c>
      <c r="DO95" s="12">
        <f>IF('Données projet'!$A$166&gt;35,DO94+DN95-DW94,IF(A95&lt;'Données projet'!$A$166,$DL$205^A95,IF(A95='Données projet'!$A$166,'Données projet'!$B$166,DO94+DN95-DW94)))</f>
        <v>340.23799999999989</v>
      </c>
      <c r="DP95" s="17">
        <f>DO95*VLOOKUP('Données projet'!$B$14,Paramètres!$A$1:$I$89,3,0)*VLOOKUP('Données projet'!$B$14,Paramètres!$A$1:$I$89,5,0)</f>
        <v>194.61613599999995</v>
      </c>
      <c r="DQ95" s="13">
        <f t="shared" si="97"/>
        <v>48.55908479163633</v>
      </c>
      <c r="DR95" s="20">
        <f t="shared" si="70"/>
        <v>423.53017621209983</v>
      </c>
      <c r="DS95" s="59">
        <f t="shared" si="71"/>
        <v>697.4924008654109</v>
      </c>
      <c r="DT95" s="59">
        <f ca="1">AVERAGE(OFFSET($DS$3,0,0,'Données projet'!$E$14+1,1))-AVERAGE(OFFSET($H$3,0,0,'Données projet'!$E$14+1,1))</f>
        <v>349.56396446903</v>
      </c>
      <c r="DU95" s="59">
        <f t="shared" si="98"/>
        <v>270.64279448634522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32.339590953619322</v>
      </c>
      <c r="EB95" s="21">
        <f>EXP(-LN(2)/25)*EB94+(1-EXP(-LN(2)/25))/(LN(2)/25)*Calculateur!DW95*Calculateur!DY95*VLOOKUP('Données projet'!$B$14,Paramètres!$A$1:$I$89,3,0)*0.475*44/12</f>
        <v>24.32398456978768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56.663575523407005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375.89365709113105</v>
      </c>
      <c r="EP95" s="59">
        <f t="shared" si="100"/>
        <v>279.39056561403834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131.29241718115773</v>
      </c>
      <c r="EW95" s="21">
        <f>EXP(-LN(2)/25)*EW94+(1-EXP(-LN(2)/25))/(LN(2)/25)*Calculateur!ER95*Calculateur!ET95*VLOOKUP('Données projet'!$B$15,Paramètres!$A$1:$I$89,3,0)*0.475*44/12</f>
        <v>59.448123786250186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190.74054096740792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-1.1368683772161603E-13</v>
      </c>
      <c r="FF95" s="17">
        <f>FE95*VLOOKUP('Données projet'!$B$16,Paramètres!$A$1:$I$89,3,0)*VLOOKUP('Données projet'!$B$16,Paramètres!$A$1:$I$89,5,0)</f>
        <v>-6.7984728957526396E-14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319.29539841078537</v>
      </c>
      <c r="FK95" s="59">
        <f t="shared" si="102"/>
        <v>327.26871144121412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73.381806034396817</v>
      </c>
      <c r="FR95" s="21">
        <f>EXP(-LN(2)/25)*FR94+(1-EXP(-LN(2)/25))/(LN(2)/25)*Calculateur!FM95*Calculateur!FO95*VLOOKUP('Données projet'!$B$16,Paramètres!$A$1:$I$89,3,0)*0.475*44/12</f>
        <v>35.288956774681559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108.67076280907838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2.2737367544323206E-13</v>
      </c>
      <c r="GA95" s="17">
        <f>FZ95*VLOOKUP('Données projet'!$B$17,Paramètres!$A$1:$I$89,3,0)*VLOOKUP('Données projet'!$B$17,Paramètres!$A$1:$I$89,5,0)</f>
        <v>1.0049916454590858E-13</v>
      </c>
      <c r="GB95" s="13">
        <f t="shared" si="103"/>
        <v>1.5089081593838289E-12</v>
      </c>
      <c r="GC95" s="20">
        <f t="shared" si="79"/>
        <v>2.8030510891776262E-12</v>
      </c>
      <c r="GD95" s="59">
        <f t="shared" si="80"/>
        <v>273.96222465331391</v>
      </c>
      <c r="GE95" s="59">
        <f ca="1">AVERAGE(OFFSET($GD$3,0,0,'Données projet'!$E$17+1,1))-AVERAGE(OFFSET($H$3,0,0,'Données projet'!$E$17+1,1))</f>
        <v>342.89128067483233</v>
      </c>
      <c r="GF95" s="59">
        <f t="shared" si="104"/>
        <v>453.47615302202996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87.578801437702253</v>
      </c>
      <c r="GM95" s="21">
        <f>EXP(-LN(2)/25)*GM94+(1-EXP(-LN(2)/25))/(LN(2)/25)*Calculateur!GH95*Calculateur!GJ95*VLOOKUP('Données projet'!$B$17,Paramètres!$A$1:$I$89,3,0)*0.475*44/12</f>
        <v>48.346328786199784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135.92513022390204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64.716970359993937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>
        <f>GU95*VLOOKUP('Données projet'!$B$18,Paramètres!$A$1:$I$89,3,0)*VLOOKUP('Données projet'!$B$18,Paramètres!$A$1:$I$89,5,0)</f>
        <v>0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375.89365709113105</v>
      </c>
      <c r="HA95" s="59">
        <f t="shared" si="106"/>
        <v>279.39056561403834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131.29241718115773</v>
      </c>
      <c r="HH95" s="21">
        <f>EXP(-LN(2)/25)*HH94+(1-EXP(-LN(2)/25))/(LN(2)/25)*Calculateur!HC95*Calculateur!HE95*VLOOKUP('Données projet'!$B$18,Paramètres!$A$1:$I$89,3,0)*0.475*44/12</f>
        <v>59.448123786250186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190.74054096740792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178.09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306.27389520000025</v>
      </c>
      <c r="P96" s="13">
        <f t="shared" si="87"/>
        <v>72.490124377904692</v>
      </c>
      <c r="Q96" s="20">
        <f t="shared" si="54"/>
        <v>659.68066743151769</v>
      </c>
      <c r="R96" s="59">
        <f t="shared" si="55"/>
        <v>933.97893751311608</v>
      </c>
      <c r="S96" s="59">
        <f ca="1">AVERAGE(OFFSET($R$3,0,0,'Données projet'!$E$9+1,1))-AVERAGE(OFFSET($H$3,0,0,'Données projet'!$E$9+1,1))</f>
        <v>631.31712308065664</v>
      </c>
      <c r="T96" s="59">
        <f t="shared" si="88"/>
        <v>290.92244624361285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36.10316475956143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36.10316475956143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304.33</v>
      </c>
      <c r="AG96" s="12">
        <f>VLOOKUP(A96,'Données projet'!$A$61:$I$81,9,0)</f>
        <v>7.9879999999999969</v>
      </c>
      <c r="AH96" s="12">
        <f t="array" ref="AH96">INDEX(AG:AG,MIN(IF(ISNUMBER(AG96:AG292),ROW(AG96:AG292),"")))</f>
        <v>7.9879999999999969</v>
      </c>
      <c r="AI96" s="13">
        <f>IF('Données projet'!$A$62&gt;35,AI95+AH96-AQ95,IF(A96&lt;'Données projet'!$A$62,$AF$205^A96,IF(A96='Données projet'!$A$62,'Données projet'!$B$62,AI95+AH96-AQ95)))</f>
        <v>304.33000000000015</v>
      </c>
      <c r="AJ96" s="13">
        <f>AI96*VLOOKUP('Données projet'!$B$10,Paramètres!$A$1:$I$89,3,0)*VLOOKUP('Données projet'!$B$10,Paramètres!$A$1:$I$89,5,0)</f>
        <v>256.36759200000012</v>
      </c>
      <c r="AK96" s="13">
        <f t="shared" si="89"/>
        <v>61.947462492340996</v>
      </c>
      <c r="AL96" s="20">
        <f t="shared" si="58"/>
        <v>554.39871990749418</v>
      </c>
      <c r="AM96" s="59">
        <f t="shared" si="59"/>
        <v>828.69698998909257</v>
      </c>
      <c r="AN96" s="59">
        <f ca="1">AVERAGE(OFFSET($AM$3,0,0,'Données projet'!$E$10+1,1))-AVERAGE(OFFSET($H$3,0,0,'Données projet'!$E$10+1,1))</f>
        <v>401.19166052471473</v>
      </c>
      <c r="AO96" s="59">
        <f t="shared" si="90"/>
        <v>271.10067497534271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59.26</v>
      </c>
      <c r="AR96" s="16">
        <f>IF(ISNA(VLOOKUP(A96,'Données projet'!$A$61:$I$81,5,0)),0%,VLOOKUP(A96,'Données projet'!$A$61:$I$81,5,0)*VLOOKUP('Données projet'!$B$10,Paramètres!$A$1:$I$89,7,0))</f>
        <v>0.25800000000000001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41.320823356492156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41.320823356492156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343.23798600000026</v>
      </c>
      <c r="BF96" s="13">
        <f t="shared" si="91"/>
        <v>80.16856533953208</v>
      </c>
      <c r="BG96" s="20">
        <f t="shared" si="61"/>
        <v>737.43307691635209</v>
      </c>
      <c r="BH96" s="59">
        <f t="shared" si="62"/>
        <v>1011.7313469979504</v>
      </c>
      <c r="BI96" s="59">
        <f ca="1">AVERAGE(OFFSET($BH$3,0,0,'Données projet'!$E$11+1,1))-AVERAGE(OFFSET($H$3,0,0,'Données projet'!$E$11+1,1))</f>
        <v>695.93700574708214</v>
      </c>
      <c r="BJ96" s="59">
        <f t="shared" si="92"/>
        <v>318.31690229208471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40.460443265025752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40.460443265025752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1.7053025658242404E-13</v>
      </c>
      <c r="BZ96" s="13">
        <f>BY96*VLOOKUP('Données projet'!$B$12,Paramètres!$A$1:$I$89,3,0)*VLOOKUP('Données projet'!$B$12,Paramètres!$A$1:$I$89,5,0)</f>
        <v>1.1173142411280423E-13</v>
      </c>
      <c r="CA96" s="13">
        <f t="shared" si="93"/>
        <v>1.6569896290553793E-12</v>
      </c>
      <c r="CB96" s="20">
        <f t="shared" si="64"/>
        <v>3.0805225009345862E-12</v>
      </c>
      <c r="CC96" s="59">
        <f t="shared" si="65"/>
        <v>274.2982700816014</v>
      </c>
      <c r="CD96" s="59">
        <f ca="1">AVERAGE(OFFSET($CC$3,0,0,'Données projet'!$E$12+1,1))-AVERAGE(OFFSET($H$3,0,0,'Données projet'!$E$12+1,1))</f>
        <v>260.25859566735949</v>
      </c>
      <c r="CE96" s="59">
        <f t="shared" si="94"/>
        <v>256.93649773468667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52.087079107401422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52.087079107401422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1.7053025658242404E-13</v>
      </c>
      <c r="CU96" s="17">
        <f>CT96*VLOOKUP('Données projet'!$B$13,Paramètres!$A$1:$I$89,3,0)*VLOOKUP('Données projet'!$B$13,Paramètres!$A$1:$I$89,5,0)</f>
        <v>1.1173142411280423E-13</v>
      </c>
      <c r="CV96" s="13">
        <f t="shared" si="95"/>
        <v>1.6569896290553793E-12</v>
      </c>
      <c r="CW96" s="20">
        <f t="shared" si="67"/>
        <v>3.0805225009345862E-12</v>
      </c>
      <c r="CX96" s="59">
        <f t="shared" si="68"/>
        <v>274.2982700816014</v>
      </c>
      <c r="CY96" s="59">
        <f ca="1">AVERAGE(OFFSET($CX$3,0,0,'Données projet'!$E$13+1,1))-AVERAGE(OFFSET($H$3,0,0,'Données projet'!$E$13+1,1))</f>
        <v>260.25859566735949</v>
      </c>
      <c r="CZ96" s="59">
        <f t="shared" si="96"/>
        <v>256.93649773468667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52.087079107401422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52.087079107401422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4.7720000000000002</v>
      </c>
      <c r="DO96" s="12">
        <f>IF('Données projet'!$A$166&gt;35,DO95+DN96-DW95,IF(A96&lt;'Données projet'!$A$166,$DL$205^A96,IF(A96='Données projet'!$A$166,'Données projet'!$B$166,DO95+DN96-DW95)))</f>
        <v>345.00999999999988</v>
      </c>
      <c r="DP96" s="17">
        <f>DO96*VLOOKUP('Données projet'!$B$14,Paramètres!$A$1:$I$89,3,0)*VLOOKUP('Données projet'!$B$14,Paramètres!$A$1:$I$89,5,0)</f>
        <v>197.34571999999994</v>
      </c>
      <c r="DQ96" s="13">
        <f t="shared" si="97"/>
        <v>49.160384515719073</v>
      </c>
      <c r="DR96" s="20">
        <f t="shared" si="70"/>
        <v>429.33146536487726</v>
      </c>
      <c r="DS96" s="59">
        <f t="shared" si="71"/>
        <v>703.62973544647559</v>
      </c>
      <c r="DT96" s="59">
        <f ca="1">AVERAGE(OFFSET($DS$3,0,0,'Données projet'!$E$14+1,1))-AVERAGE(OFFSET($H$3,0,0,'Données projet'!$E$14+1,1))</f>
        <v>349.56396446903</v>
      </c>
      <c r="DU96" s="59">
        <f t="shared" si="98"/>
        <v>270.64279448634522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31.705431300221626</v>
      </c>
      <c r="EB96" s="21">
        <f>EXP(-LN(2)/25)*EB95+(1-EXP(-LN(2)/25))/(LN(2)/25)*Calculateur!DW96*Calculateur!DY96*VLOOKUP('Données projet'!$B$14,Paramètres!$A$1:$I$89,3,0)*0.475*44/12</f>
        <v>23.65884393258408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55.36427523280571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375.89365709113105</v>
      </c>
      <c r="EP96" s="59">
        <f t="shared" si="100"/>
        <v>279.39056561403834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128.71785296070243</v>
      </c>
      <c r="EW96" s="21">
        <f>EXP(-LN(2)/25)*EW95+(1-EXP(-LN(2)/25))/(LN(2)/25)*Calculateur!ER96*Calculateur!ET96*VLOOKUP('Données projet'!$B$15,Paramètres!$A$1:$I$89,3,0)*0.475*44/12</f>
        <v>57.822511715074214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186.54036467577663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-1.1368683772161603E-13</v>
      </c>
      <c r="FF96" s="17">
        <f>FE96*VLOOKUP('Données projet'!$B$16,Paramètres!$A$1:$I$89,3,0)*VLOOKUP('Données projet'!$B$16,Paramètres!$A$1:$I$89,5,0)</f>
        <v>-6.7984728957526396E-14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319.29539841078537</v>
      </c>
      <c r="FK96" s="59">
        <f t="shared" si="102"/>
        <v>327.26871144121412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71.942833576544444</v>
      </c>
      <c r="FR96" s="21">
        <f>EXP(-LN(2)/25)*FR95+(1-EXP(-LN(2)/25))/(LN(2)/25)*Calculateur!FM96*Calculateur!FO96*VLOOKUP('Données projet'!$B$16,Paramètres!$A$1:$I$89,3,0)*0.475*44/12</f>
        <v>34.323978395912306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106.26681197245675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2.2737367544323206E-13</v>
      </c>
      <c r="GA96" s="17">
        <f>FZ96*VLOOKUP('Données projet'!$B$17,Paramètres!$A$1:$I$89,3,0)*VLOOKUP('Données projet'!$B$17,Paramètres!$A$1:$I$89,5,0)</f>
        <v>1.0049916454590858E-13</v>
      </c>
      <c r="GB96" s="13">
        <f t="shared" si="103"/>
        <v>1.5089081593838289E-12</v>
      </c>
      <c r="GC96" s="20">
        <f t="shared" si="79"/>
        <v>2.8030510891776262E-12</v>
      </c>
      <c r="GD96" s="59">
        <f t="shared" si="80"/>
        <v>274.29827008160112</v>
      </c>
      <c r="GE96" s="59">
        <f ca="1">AVERAGE(OFFSET($GD$3,0,0,'Données projet'!$E$17+1,1))-AVERAGE(OFFSET($H$3,0,0,'Données projet'!$E$17+1,1))</f>
        <v>342.89128067483233</v>
      </c>
      <c r="GF96" s="59">
        <f t="shared" si="104"/>
        <v>453.47615302202996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85.86143455930322</v>
      </c>
      <c r="GM96" s="21">
        <f>EXP(-LN(2)/25)*GM95+(1-EXP(-LN(2)/25))/(LN(2)/25)*Calculateur!GH96*Calculateur!GJ96*VLOOKUP('Données projet'!$B$17,Paramètres!$A$1:$I$89,3,0)*0.475*44/12</f>
        <v>47.024295883118221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132.88573044242145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64.808619113163189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>
        <f>GU96*VLOOKUP('Données projet'!$B$18,Paramètres!$A$1:$I$89,3,0)*VLOOKUP('Données projet'!$B$18,Paramètres!$A$1:$I$89,5,0)</f>
        <v>0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375.89365709113105</v>
      </c>
      <c r="HA96" s="59">
        <f t="shared" si="106"/>
        <v>279.39056561403834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128.71785296070243</v>
      </c>
      <c r="HH96" s="21">
        <f>EXP(-LN(2)/25)*HH95+(1-EXP(-LN(2)/25))/(LN(2)/25)*Calculateur!HC96*Calculateur!HE96*VLOOKUP('Données projet'!$B$18,Paramètres!$A$1:$I$89,3,0)*0.475*44/12</f>
        <v>57.822511715074214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186.54036467577663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178.09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313.77559200000019</v>
      </c>
      <c r="P97" s="13">
        <f t="shared" si="87"/>
        <v>74.056767657464533</v>
      </c>
      <c r="Q97" s="20">
        <f t="shared" si="54"/>
        <v>675.47469307008441</v>
      </c>
      <c r="R97" s="59">
        <f t="shared" si="55"/>
        <v>950.10317894307434</v>
      </c>
      <c r="S97" s="59">
        <f ca="1">AVERAGE(OFFSET($R$3,0,0,'Données projet'!$E$9+1,1))-AVERAGE(OFFSET($H$3,0,0,'Données projet'!$E$9+1,1))</f>
        <v>631.31712308065664</v>
      </c>
      <c r="T97" s="59">
        <f t="shared" si="88"/>
        <v>290.92244624361285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51.356167505910733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51.356167505910733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7.7120000000000006</v>
      </c>
      <c r="AI97" s="13">
        <f>IF('Données projet'!$A$62&gt;35,AI96+AH97-AQ96,IF(A97&lt;'Données projet'!$A$62,$AF$205^A97,IF(A97='Données projet'!$A$62,'Données projet'!$B$62,AI96+AH97-AQ96)))</f>
        <v>252.78200000000015</v>
      </c>
      <c r="AJ97" s="13">
        <f>AI97*VLOOKUP('Données projet'!$B$10,Paramètres!$A$1:$I$89,3,0)*VLOOKUP('Données projet'!$B$10,Paramètres!$A$1:$I$89,5,0)</f>
        <v>212.94355680000015</v>
      </c>
      <c r="AK97" s="13">
        <f t="shared" si="89"/>
        <v>52.578304887940781</v>
      </c>
      <c r="AL97" s="20">
        <f t="shared" si="58"/>
        <v>462.45057577316379</v>
      </c>
      <c r="AM97" s="59">
        <f t="shared" si="59"/>
        <v>737.07906164615372</v>
      </c>
      <c r="AN97" s="59">
        <f ca="1">AVERAGE(OFFSET($AM$3,0,0,'Données projet'!$E$10+1,1))-AVERAGE(OFFSET($H$3,0,0,'Données projet'!$E$10+1,1))</f>
        <v>401.19166052471473</v>
      </c>
      <c r="AO97" s="59">
        <f t="shared" si="90"/>
        <v>271.10067497534271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40.51054721368498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40.51054721368498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351.64506000000029</v>
      </c>
      <c r="BF97" s="13">
        <f t="shared" si="91"/>
        <v>81.901153677584574</v>
      </c>
      <c r="BG97" s="20">
        <f t="shared" si="61"/>
        <v>755.09298882179371</v>
      </c>
      <c r="BH97" s="59">
        <f t="shared" si="62"/>
        <v>1029.7214746947836</v>
      </c>
      <c r="BI97" s="59">
        <f ca="1">AVERAGE(OFFSET($BH$3,0,0,'Données projet'!$E$11+1,1))-AVERAGE(OFFSET($H$3,0,0,'Données projet'!$E$11+1,1))</f>
        <v>695.93700574708214</v>
      </c>
      <c r="BJ97" s="59">
        <f t="shared" si="92"/>
        <v>318.31690229208471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57.554325653175837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57.554325653175837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1.7053025658242404E-13</v>
      </c>
      <c r="BZ97" s="13">
        <f>BY97*VLOOKUP('Données projet'!$B$12,Paramètres!$A$1:$I$89,3,0)*VLOOKUP('Données projet'!$B$12,Paramètres!$A$1:$I$89,5,0)</f>
        <v>1.1173142411280423E-13</v>
      </c>
      <c r="CA97" s="13">
        <f t="shared" si="93"/>
        <v>1.6569896290553793E-12</v>
      </c>
      <c r="CB97" s="20">
        <f t="shared" si="64"/>
        <v>3.0805225009345862E-12</v>
      </c>
      <c r="CC97" s="59">
        <f t="shared" si="65"/>
        <v>274.628485872993</v>
      </c>
      <c r="CD97" s="59">
        <f ca="1">AVERAGE(OFFSET($CC$3,0,0,'Données projet'!$E$12+1,1))-AVERAGE(OFFSET($H$3,0,0,'Données projet'!$E$12+1,1))</f>
        <v>260.25859566735949</v>
      </c>
      <c r="CE97" s="59">
        <f t="shared" si="94"/>
        <v>256.93649773468667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51.065683256086508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51.065683256086508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1.7053025658242404E-13</v>
      </c>
      <c r="CU97" s="17">
        <f>CT97*VLOOKUP('Données projet'!$B$13,Paramètres!$A$1:$I$89,3,0)*VLOOKUP('Données projet'!$B$13,Paramètres!$A$1:$I$89,5,0)</f>
        <v>1.1173142411280423E-13</v>
      </c>
      <c r="CV97" s="13">
        <f t="shared" si="95"/>
        <v>1.6569896290553793E-12</v>
      </c>
      <c r="CW97" s="20">
        <f t="shared" si="67"/>
        <v>3.0805225009345862E-12</v>
      </c>
      <c r="CX97" s="59">
        <f t="shared" si="68"/>
        <v>274.628485872993</v>
      </c>
      <c r="CY97" s="59">
        <f ca="1">AVERAGE(OFFSET($CX$3,0,0,'Données projet'!$E$13+1,1))-AVERAGE(OFFSET($H$3,0,0,'Données projet'!$E$13+1,1))</f>
        <v>260.25859566735949</v>
      </c>
      <c r="CZ97" s="59">
        <f t="shared" si="96"/>
        <v>256.93649773468667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51.065683256086508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51.065683256086508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4.7720000000000002</v>
      </c>
      <c r="DO97" s="12">
        <f>IF('Données projet'!$A$166&gt;35,DO96+DN97-DW96,IF(A97&lt;'Données projet'!$A$166,$DL$205^A97,IF(A97='Données projet'!$A$166,'Données projet'!$B$166,DO96+DN97-DW96)))</f>
        <v>349.78199999999987</v>
      </c>
      <c r="DP97" s="17">
        <f>DO97*VLOOKUP('Données projet'!$B$14,Paramètres!$A$1:$I$89,3,0)*VLOOKUP('Données projet'!$B$14,Paramètres!$A$1:$I$89,5,0)</f>
        <v>200.07530399999993</v>
      </c>
      <c r="DQ97" s="13">
        <f t="shared" si="97"/>
        <v>49.760716902750858</v>
      </c>
      <c r="DR97" s="20">
        <f t="shared" si="70"/>
        <v>435.13106973895759</v>
      </c>
      <c r="DS97" s="59">
        <f t="shared" si="71"/>
        <v>709.75955561194746</v>
      </c>
      <c r="DT97" s="59">
        <f ca="1">AVERAGE(OFFSET($DS$3,0,0,'Données projet'!$E$14+1,1))-AVERAGE(OFFSET($H$3,0,0,'Données projet'!$E$14+1,1))</f>
        <v>349.56396446903</v>
      </c>
      <c r="DU97" s="59">
        <f t="shared" si="98"/>
        <v>270.64279448634522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31.083707130827865</v>
      </c>
      <c r="EB97" s="21">
        <f>EXP(-LN(2)/25)*EB96+(1-EXP(-LN(2)/25))/(LN(2)/25)*Calculateur!DW97*Calculateur!DY97*VLOOKUP('Données projet'!$B$14,Paramètres!$A$1:$I$89,3,0)*0.475*44/12</f>
        <v>23.01189160108304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54.095598731910904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375.89365709113105</v>
      </c>
      <c r="EP97" s="59">
        <f t="shared" si="100"/>
        <v>279.39056561403834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126.19377437428113</v>
      </c>
      <c r="EW97" s="21">
        <f>EXP(-LN(2)/25)*EW96+(1-EXP(-LN(2)/25))/(LN(2)/25)*Calculateur!ER97*Calculateur!ET97*VLOOKUP('Données projet'!$B$15,Paramètres!$A$1:$I$89,3,0)*0.475*44/12</f>
        <v>56.241352091471775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182.43512646575292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-1.1368683772161603E-13</v>
      </c>
      <c r="FF97" s="17">
        <f>FE97*VLOOKUP('Données projet'!$B$16,Paramètres!$A$1:$I$89,3,0)*VLOOKUP('Données projet'!$B$16,Paramètres!$A$1:$I$89,5,0)</f>
        <v>-6.7984728957526396E-14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319.29539841078537</v>
      </c>
      <c r="FK97" s="59">
        <f t="shared" si="102"/>
        <v>327.26871144121412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70.532078490904027</v>
      </c>
      <c r="FR97" s="21">
        <f>EXP(-LN(2)/25)*FR96+(1-EXP(-LN(2)/25))/(LN(2)/25)*Calculateur!FM97*Calculateur!FO97*VLOOKUP('Données projet'!$B$16,Paramètres!$A$1:$I$89,3,0)*0.475*44/12</f>
        <v>33.385387401656509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103.91746589256053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2.2737367544323206E-13</v>
      </c>
      <c r="GA97" s="17">
        <f>FZ97*VLOOKUP('Données projet'!$B$17,Paramètres!$A$1:$I$89,3,0)*VLOOKUP('Données projet'!$B$17,Paramètres!$A$1:$I$89,5,0)</f>
        <v>1.0049916454590858E-13</v>
      </c>
      <c r="GB97" s="13">
        <f t="shared" si="103"/>
        <v>1.5089081593838289E-12</v>
      </c>
      <c r="GC97" s="20">
        <f t="shared" si="79"/>
        <v>2.8030510891776262E-12</v>
      </c>
      <c r="GD97" s="59">
        <f t="shared" si="80"/>
        <v>274.62848587299271</v>
      </c>
      <c r="GE97" s="59">
        <f ca="1">AVERAGE(OFFSET($GD$3,0,0,'Données projet'!$E$17+1,1))-AVERAGE(OFFSET($H$3,0,0,'Données projet'!$E$17+1,1))</f>
        <v>342.89128067483233</v>
      </c>
      <c r="GF97" s="59">
        <f t="shared" si="104"/>
        <v>453.47615302202996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84.17774419789923</v>
      </c>
      <c r="GM97" s="21">
        <f>EXP(-LN(2)/25)*GM96+(1-EXP(-LN(2)/25))/(LN(2)/25)*Calculateur!GH97*Calculateur!GJ97*VLOOKUP('Données projet'!$B$17,Paramètres!$A$1:$I$89,3,0)*0.475*44/12</f>
        <v>45.738414039294106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129.91615823719334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64.898677965360889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>
        <f>GU97*VLOOKUP('Données projet'!$B$18,Paramètres!$A$1:$I$89,3,0)*VLOOKUP('Données projet'!$B$18,Paramètres!$A$1:$I$89,5,0)</f>
        <v>0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375.89365709113105</v>
      </c>
      <c r="HA97" s="59">
        <f t="shared" si="106"/>
        <v>279.39056561403834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126.19377437428113</v>
      </c>
      <c r="HH97" s="21">
        <f>EXP(-LN(2)/25)*HH96+(1-EXP(-LN(2)/25))/(LN(2)/25)*Calculateur!HC97*Calculateur!HE97*VLOOKUP('Données projet'!$B$18,Paramètres!$A$1:$I$89,3,0)*0.475*44/12</f>
        <v>56.241352091471775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182.43512646575292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178.09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265.09463760000023</v>
      </c>
      <c r="P98" s="13">
        <f t="shared" si="87"/>
        <v>63.807119294189917</v>
      </c>
      <c r="Q98" s="20">
        <f t="shared" si="54"/>
        <v>572.83722659071452</v>
      </c>
      <c r="R98" s="59">
        <f t="shared" si="55"/>
        <v>847.79019974936728</v>
      </c>
      <c r="S98" s="59">
        <f ca="1">AVERAGE(OFFSET($R$3,0,0,'Données projet'!$E$9+1,1))-AVERAGE(OFFSET($H$3,0,0,'Données projet'!$E$9+1,1))</f>
        <v>631.31712308065664</v>
      </c>
      <c r="T98" s="59">
        <f t="shared" si="88"/>
        <v>290.92244624361285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50.349104385288996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50.349104385288996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7.7120000000000006</v>
      </c>
      <c r="AI98" s="13">
        <f>IF('Données projet'!$A$62&gt;35,AI97+AH98-AQ97,IF(A98&lt;'Données projet'!$A$62,$AF$205^A98,IF(A98='Données projet'!$A$62,'Données projet'!$B$62,AI97+AH98-AQ97)))</f>
        <v>260.49400000000014</v>
      </c>
      <c r="AJ98" s="13">
        <f>AI98*VLOOKUP('Données projet'!$B$10,Paramètres!$A$1:$I$89,3,0)*VLOOKUP('Données projet'!$B$10,Paramètres!$A$1:$I$89,5,0)</f>
        <v>219.44014560000016</v>
      </c>
      <c r="AK98" s="13">
        <f t="shared" si="89"/>
        <v>53.993186093910936</v>
      </c>
      <c r="AL98" s="20">
        <f t="shared" si="58"/>
        <v>476.2297193668951</v>
      </c>
      <c r="AM98" s="59">
        <f t="shared" si="59"/>
        <v>751.18269252554774</v>
      </c>
      <c r="AN98" s="59">
        <f ca="1">AVERAGE(OFFSET($AM$3,0,0,'Données projet'!$E$10+1,1))-AVERAGE(OFFSET($H$3,0,0,'Données projet'!$E$10+1,1))</f>
        <v>401.19166052471473</v>
      </c>
      <c r="AO98" s="59">
        <f t="shared" si="90"/>
        <v>271.10067497534271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39.716160091818608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39.716160091818608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297.08881800000029</v>
      </c>
      <c r="BF98" s="13">
        <f t="shared" si="91"/>
        <v>70.565821981438845</v>
      </c>
      <c r="BG98" s="20">
        <f t="shared" si="61"/>
        <v>640.33183130100645</v>
      </c>
      <c r="BH98" s="59">
        <f t="shared" si="62"/>
        <v>915.2848044596592</v>
      </c>
      <c r="BI98" s="59">
        <f ca="1">AVERAGE(OFFSET($BH$3,0,0,'Données projet'!$E$11+1,1))-AVERAGE(OFFSET($H$3,0,0,'Données projet'!$E$11+1,1))</f>
        <v>695.93700574708214</v>
      </c>
      <c r="BJ98" s="59">
        <f t="shared" si="92"/>
        <v>318.31690229208471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56.425720431789408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56.425720431789408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1.7053025658242404E-13</v>
      </c>
      <c r="BZ98" s="13">
        <f>BY98*VLOOKUP('Données projet'!$B$12,Paramètres!$A$1:$I$89,3,0)*VLOOKUP('Données projet'!$B$12,Paramètres!$A$1:$I$89,5,0)</f>
        <v>1.1173142411280423E-13</v>
      </c>
      <c r="CA98" s="13">
        <f t="shared" si="93"/>
        <v>1.6569896290553793E-12</v>
      </c>
      <c r="CB98" s="20">
        <f t="shared" si="64"/>
        <v>3.0805225009345862E-12</v>
      </c>
      <c r="CC98" s="59">
        <f t="shared" si="65"/>
        <v>274.95297315865577</v>
      </c>
      <c r="CD98" s="59">
        <f ca="1">AVERAGE(OFFSET($CC$3,0,0,'Données projet'!$E$12+1,1))-AVERAGE(OFFSET($H$3,0,0,'Données projet'!$E$12+1,1))</f>
        <v>260.25859566735949</v>
      </c>
      <c r="CE98" s="59">
        <f t="shared" si="94"/>
        <v>256.93649773468667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50.064316354425927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50.064316354425927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1.7053025658242404E-13</v>
      </c>
      <c r="CU98" s="17">
        <f>CT98*VLOOKUP('Données projet'!$B$13,Paramètres!$A$1:$I$89,3,0)*VLOOKUP('Données projet'!$B$13,Paramètres!$A$1:$I$89,5,0)</f>
        <v>1.1173142411280423E-13</v>
      </c>
      <c r="CV98" s="13">
        <f t="shared" si="95"/>
        <v>1.6569896290553793E-12</v>
      </c>
      <c r="CW98" s="20">
        <f t="shared" si="67"/>
        <v>3.0805225009345862E-12</v>
      </c>
      <c r="CX98" s="59">
        <f t="shared" si="68"/>
        <v>274.95297315865577</v>
      </c>
      <c r="CY98" s="59">
        <f ca="1">AVERAGE(OFFSET($CX$3,0,0,'Données projet'!$E$13+1,1))-AVERAGE(OFFSET($H$3,0,0,'Données projet'!$E$13+1,1))</f>
        <v>260.25859566735949</v>
      </c>
      <c r="CZ98" s="59">
        <f t="shared" si="96"/>
        <v>256.93649773468667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50.064316354425927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50.064316354425927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4.7720000000000002</v>
      </c>
      <c r="DO98" s="12">
        <f>IF('Données projet'!$A$166&gt;35,DO97+DN98-DW97,IF(A98&lt;'Données projet'!$A$166,$DL$205^A98,IF(A98='Données projet'!$A$166,'Données projet'!$B$166,DO97+DN98-DW97)))</f>
        <v>354.55399999999986</v>
      </c>
      <c r="DP98" s="17">
        <f>DO98*VLOOKUP('Données projet'!$B$14,Paramètres!$A$1:$I$89,3,0)*VLOOKUP('Données projet'!$B$14,Paramètres!$A$1:$I$89,5,0)</f>
        <v>202.80488799999992</v>
      </c>
      <c r="DQ98" s="13">
        <f t="shared" si="97"/>
        <v>50.360096675278754</v>
      </c>
      <c r="DR98" s="20">
        <f t="shared" si="70"/>
        <v>440.9290149761103</v>
      </c>
      <c r="DS98" s="59">
        <f t="shared" si="71"/>
        <v>715.88198813476299</v>
      </c>
      <c r="DT98" s="59">
        <f ca="1">AVERAGE(OFFSET($DS$3,0,0,'Données projet'!$E$14+1,1))-AVERAGE(OFFSET($H$3,0,0,'Données projet'!$E$14+1,1))</f>
        <v>349.56396446903</v>
      </c>
      <c r="DU98" s="59">
        <f t="shared" si="98"/>
        <v>270.64279448634522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30.474174593181615</v>
      </c>
      <c r="EB98" s="21">
        <f>EXP(-LN(2)/25)*EB97+(1-EXP(-LN(2)/25))/(LN(2)/25)*Calculateur!DW98*Calculateur!DY98*VLOOKUP('Données projet'!$B$14,Paramètres!$A$1:$I$89,3,0)*0.475*44/12</f>
        <v>22.382630215108637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52.856804808290249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375.89365709113105</v>
      </c>
      <c r="EP98" s="59">
        <f t="shared" si="100"/>
        <v>279.39056561403834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123.71919142940364</v>
      </c>
      <c r="EW98" s="21">
        <f>EXP(-LN(2)/25)*EW97+(1-EXP(-LN(2)/25))/(LN(2)/25)*Calculateur!ER98*Calculateur!ET98*VLOOKUP('Données projet'!$B$15,Paramètres!$A$1:$I$89,3,0)*0.475*44/12</f>
        <v>54.703429360926314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178.42262079032994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-1.1368683772161603E-13</v>
      </c>
      <c r="FF98" s="17">
        <f>FE98*VLOOKUP('Données projet'!$B$16,Paramètres!$A$1:$I$89,3,0)*VLOOKUP('Données projet'!$B$16,Paramètres!$A$1:$I$89,5,0)</f>
        <v>-6.7984728957526396E-14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319.29539841078537</v>
      </c>
      <c r="FK98" s="59">
        <f t="shared" si="102"/>
        <v>327.26871144121412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69.14898745201738</v>
      </c>
      <c r="FR98" s="21">
        <f>EXP(-LN(2)/25)*FR97+(1-EXP(-LN(2)/25))/(LN(2)/25)*Calculateur!FM98*Calculateur!FO98*VLOOKUP('Données projet'!$B$16,Paramètres!$A$1:$I$89,3,0)*0.475*44/12</f>
        <v>32.47246222749699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101.62144967951437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2.2737367544323206E-13</v>
      </c>
      <c r="GA98" s="17">
        <f>FZ98*VLOOKUP('Données projet'!$B$17,Paramètres!$A$1:$I$89,3,0)*VLOOKUP('Données projet'!$B$17,Paramètres!$A$1:$I$89,5,0)</f>
        <v>1.0049916454590858E-13</v>
      </c>
      <c r="GB98" s="13">
        <f t="shared" si="103"/>
        <v>1.5089081593838289E-12</v>
      </c>
      <c r="GC98" s="20">
        <f t="shared" si="79"/>
        <v>2.8030510891776262E-12</v>
      </c>
      <c r="GD98" s="59">
        <f t="shared" si="80"/>
        <v>274.95297315865548</v>
      </c>
      <c r="GE98" s="59">
        <f ca="1">AVERAGE(OFFSET($GD$3,0,0,'Données projet'!$E$17+1,1))-AVERAGE(OFFSET($H$3,0,0,'Données projet'!$E$17+1,1))</f>
        <v>342.89128067483233</v>
      </c>
      <c r="GF98" s="59">
        <f t="shared" si="104"/>
        <v>453.47615302202996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82.527069977532648</v>
      </c>
      <c r="GM98" s="21">
        <f>EXP(-LN(2)/25)*GM97+(1-EXP(-LN(2)/25))/(LN(2)/25)*Calculateur!GH98*Calculateur!GJ98*VLOOKUP('Données projet'!$B$17,Paramètres!$A$1:$I$89,3,0)*0.475*44/12</f>
        <v>44.48769470211095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127.0147646796436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64.987174497814365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>
        <f>GU98*VLOOKUP('Données projet'!$B$18,Paramètres!$A$1:$I$89,3,0)*VLOOKUP('Données projet'!$B$18,Paramètres!$A$1:$I$89,5,0)</f>
        <v>0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375.89365709113105</v>
      </c>
      <c r="HA98" s="59">
        <f t="shared" si="106"/>
        <v>279.39056561403834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123.71919142940364</v>
      </c>
      <c r="HH98" s="21">
        <f>EXP(-LN(2)/25)*HH97+(1-EXP(-LN(2)/25))/(LN(2)/25)*Calculateur!HC98*Calculateur!HE98*VLOOKUP('Données projet'!$B$18,Paramètres!$A$1:$I$89,3,0)*0.475*44/12</f>
        <v>54.703429360926314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178.42262079032994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178.09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272.37556320000027</v>
      </c>
      <c r="P99" s="13">
        <f t="shared" si="87"/>
        <v>65.35316643513535</v>
      </c>
      <c r="Q99" s="20">
        <f t="shared" ref="Q99:Q130" si="107">(O99+P99)*0.475*44/12</f>
        <v>588.21087078119456</v>
      </c>
      <c r="R99" s="59">
        <f t="shared" si="55"/>
        <v>863.48270209654879</v>
      </c>
      <c r="S99" s="59">
        <f ca="1">AVERAGE(OFFSET($R$3,0,0,'Données projet'!$E$9+1,1))-AVERAGE(OFFSET($H$3,0,0,'Données projet'!$E$9+1,1))</f>
        <v>631.31712308065664</v>
      </c>
      <c r="T99" s="59">
        <f t="shared" si="88"/>
        <v>290.92244624361285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49.361789158214798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49.361789158214798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7.7120000000000006</v>
      </c>
      <c r="AI99" s="13">
        <f>IF('Données projet'!$A$62&gt;35,AI98+AH99-AQ98,IF(A99&lt;'Données projet'!$A$62,$AF$205^A99,IF(A99='Données projet'!$A$62,'Données projet'!$B$62,AI98+AH99-AQ98)))</f>
        <v>268.20600000000013</v>
      </c>
      <c r="AJ99" s="13">
        <f>AI99*VLOOKUP('Données projet'!$B$10,Paramètres!$A$1:$I$89,3,0)*VLOOKUP('Données projet'!$B$10,Paramètres!$A$1:$I$89,5,0)</f>
        <v>225.93673440000015</v>
      </c>
      <c r="AK99" s="13">
        <f t="shared" si="89"/>
        <v>55.403199180664444</v>
      </c>
      <c r="AL99" s="20">
        <f t="shared" si="58"/>
        <v>490.00038431965748</v>
      </c>
      <c r="AM99" s="59">
        <f t="shared" si="59"/>
        <v>765.27221563501166</v>
      </c>
      <c r="AN99" s="59">
        <f ca="1">AVERAGE(OFFSET($AM$3,0,0,'Données projet'!$E$10+1,1))-AVERAGE(OFFSET($H$3,0,0,'Données projet'!$E$10+1,1))</f>
        <v>401.19166052471473</v>
      </c>
      <c r="AO99" s="59">
        <f t="shared" si="90"/>
        <v>271.10067497534271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38.937350416883731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38.937350416883731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305.24847600000032</v>
      </c>
      <c r="BF99" s="13">
        <f t="shared" si="91"/>
        <v>72.275632556335026</v>
      </c>
      <c r="BG99" s="20">
        <f t="shared" si="61"/>
        <v>657.52115573561741</v>
      </c>
      <c r="BH99" s="59">
        <f t="shared" si="62"/>
        <v>932.79298705097153</v>
      </c>
      <c r="BI99" s="59">
        <f ca="1">AVERAGE(OFFSET($BH$3,0,0,'Données projet'!$E$11+1,1))-AVERAGE(OFFSET($H$3,0,0,'Données projet'!$E$11+1,1))</f>
        <v>695.93700574708214</v>
      </c>
      <c r="BJ99" s="59">
        <f t="shared" si="92"/>
        <v>318.31690229208471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55.319246470413155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55.319246470413155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1.7053025658242404E-13</v>
      </c>
      <c r="BZ99" s="13">
        <f>BY99*VLOOKUP('Données projet'!$B$12,Paramètres!$A$1:$I$89,3,0)*VLOOKUP('Données projet'!$B$12,Paramètres!$A$1:$I$89,5,0)</f>
        <v>1.1173142411280423E-13</v>
      </c>
      <c r="CA99" s="13">
        <f t="shared" si="93"/>
        <v>1.6569896290553793E-12</v>
      </c>
      <c r="CB99" s="20">
        <f t="shared" si="64"/>
        <v>3.0805225009345862E-12</v>
      </c>
      <c r="CC99" s="59">
        <f t="shared" si="65"/>
        <v>275.27183131535725</v>
      </c>
      <c r="CD99" s="59">
        <f ca="1">AVERAGE(OFFSET($CC$3,0,0,'Données projet'!$E$12+1,1))-AVERAGE(OFFSET($H$3,0,0,'Données projet'!$E$12+1,1))</f>
        <v>260.25859566735949</v>
      </c>
      <c r="CE99" s="59">
        <f t="shared" si="94"/>
        <v>256.93649773468667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49.08258564693341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49.08258564693341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1.7053025658242404E-13</v>
      </c>
      <c r="CU99" s="17">
        <f>CT99*VLOOKUP('Données projet'!$B$13,Paramètres!$A$1:$I$89,3,0)*VLOOKUP('Données projet'!$B$13,Paramètres!$A$1:$I$89,5,0)</f>
        <v>1.1173142411280423E-13</v>
      </c>
      <c r="CV99" s="13">
        <f t="shared" si="95"/>
        <v>1.6569896290553793E-12</v>
      </c>
      <c r="CW99" s="20">
        <f t="shared" si="67"/>
        <v>3.0805225009345862E-12</v>
      </c>
      <c r="CX99" s="59">
        <f t="shared" si="68"/>
        <v>275.27183131535725</v>
      </c>
      <c r="CY99" s="59">
        <f ca="1">AVERAGE(OFFSET($CX$3,0,0,'Données projet'!$E$13+1,1))-AVERAGE(OFFSET($H$3,0,0,'Données projet'!$E$13+1,1))</f>
        <v>260.25859566735949</v>
      </c>
      <c r="CZ99" s="59">
        <f t="shared" si="96"/>
        <v>256.93649773468667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49.08258564693341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49.08258564693341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4.7720000000000002</v>
      </c>
      <c r="DO99" s="12">
        <f>IF('Données projet'!$A$166&gt;35,DO98+DN99-DW98,IF(A99&lt;'Données projet'!$A$166,$DL$205^A99,IF(A99='Données projet'!$A$166,'Données projet'!$B$166,DO98+DN99-DW98)))</f>
        <v>359.32599999999985</v>
      </c>
      <c r="DP99" s="17">
        <f>DO99*VLOOKUP('Données projet'!$B$14,Paramètres!$A$1:$I$89,3,0)*VLOOKUP('Données projet'!$B$14,Paramètres!$A$1:$I$89,5,0)</f>
        <v>205.53447199999994</v>
      </c>
      <c r="DQ99" s="13">
        <f t="shared" si="97"/>
        <v>50.958538136768993</v>
      </c>
      <c r="DR99" s="20">
        <f t="shared" si="70"/>
        <v>446.7253259882059</v>
      </c>
      <c r="DS99" s="59">
        <f t="shared" si="71"/>
        <v>721.99715730356002</v>
      </c>
      <c r="DT99" s="59">
        <f ca="1">AVERAGE(OFFSET($DS$3,0,0,'Données projet'!$E$14+1,1))-AVERAGE(OFFSET($H$3,0,0,'Données projet'!$E$14+1,1))</f>
        <v>349.56396446903</v>
      </c>
      <c r="DU99" s="59">
        <f t="shared" si="98"/>
        <v>270.64279448634522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29.876594616820473</v>
      </c>
      <c r="EB99" s="21">
        <f>EXP(-LN(2)/25)*EB98+(1-EXP(-LN(2)/25))/(LN(2)/25)*Calculateur!DW99*Calculateur!DY99*VLOOKUP('Données projet'!$B$14,Paramètres!$A$1:$I$89,3,0)*0.475*44/12</f>
        <v>21.770576014825124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51.647170631645594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375.89365709113105</v>
      </c>
      <c r="EP99" s="59">
        <f t="shared" si="100"/>
        <v>279.39056561403834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121.29313354672863</v>
      </c>
      <c r="EW99" s="21">
        <f>EXP(-LN(2)/25)*EW98+(1-EXP(-LN(2)/25))/(LN(2)/25)*Calculateur!ER99*Calculateur!ET99*VLOOKUP('Données projet'!$B$15,Paramètres!$A$1:$I$89,3,0)*0.475*44/12</f>
        <v>53.207561208323462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174.50069475505208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-1.1368683772161603E-13</v>
      </c>
      <c r="FF99" s="17">
        <f>FE99*VLOOKUP('Données projet'!$B$16,Paramètres!$A$1:$I$89,3,0)*VLOOKUP('Données projet'!$B$16,Paramètres!$A$1:$I$89,5,0)</f>
        <v>-6.7984728957526396E-14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319.29539841078537</v>
      </c>
      <c r="FK99" s="59">
        <f t="shared" si="102"/>
        <v>327.26871144121412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67.793017984801054</v>
      </c>
      <c r="FR99" s="21">
        <f>EXP(-LN(2)/25)*FR98+(1-EXP(-LN(2)/25))/(LN(2)/25)*Calculateur!FM99*Calculateur!FO99*VLOOKUP('Données projet'!$B$16,Paramètres!$A$1:$I$89,3,0)*0.475*44/12</f>
        <v>31.584501040233512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99.377519025034559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2.2737367544323206E-13</v>
      </c>
      <c r="GA99" s="17">
        <f>FZ99*VLOOKUP('Données projet'!$B$17,Paramètres!$A$1:$I$89,3,0)*VLOOKUP('Données projet'!$B$17,Paramètres!$A$1:$I$89,5,0)</f>
        <v>1.0049916454590858E-13</v>
      </c>
      <c r="GB99" s="13">
        <f t="shared" si="103"/>
        <v>1.5089081593838289E-12</v>
      </c>
      <c r="GC99" s="20">
        <f t="shared" si="79"/>
        <v>2.8030510891776262E-12</v>
      </c>
      <c r="GD99" s="59">
        <f t="shared" si="80"/>
        <v>275.27183131535696</v>
      </c>
      <c r="GE99" s="59">
        <f ca="1">AVERAGE(OFFSET($GD$3,0,0,'Données projet'!$E$17+1,1))-AVERAGE(OFFSET($H$3,0,0,'Données projet'!$E$17+1,1))</f>
        <v>342.89128067483233</v>
      </c>
      <c r="GF99" s="59">
        <f t="shared" si="104"/>
        <v>453.47615302202996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80.908764471815601</v>
      </c>
      <c r="GM99" s="21">
        <f>EXP(-LN(2)/25)*GM98+(1-EXP(-LN(2)/25))/(LN(2)/25)*Calculateur!GH99*Calculateur!GJ99*VLOOKUP('Données projet'!$B$17,Paramètres!$A$1:$I$89,3,0)*0.475*44/12</f>
        <v>43.271176350975537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124.17994082279114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65.074135813278403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>
        <f>GU99*VLOOKUP('Données projet'!$B$18,Paramètres!$A$1:$I$89,3,0)*VLOOKUP('Données projet'!$B$18,Paramètres!$A$1:$I$89,5,0)</f>
        <v>0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375.89365709113105</v>
      </c>
      <c r="HA99" s="59">
        <f t="shared" si="106"/>
        <v>279.39056561403834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121.29313354672863</v>
      </c>
      <c r="HH99" s="21">
        <f>EXP(-LN(2)/25)*HH98+(1-EXP(-LN(2)/25))/(LN(2)/25)*Calculateur!HC99*Calculateur!HE99*VLOOKUP('Données projet'!$B$18,Paramètres!$A$1:$I$89,3,0)*0.475*44/12</f>
        <v>53.207561208323462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174.50069475505208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178.09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279.65648880000026</v>
      </c>
      <c r="P100" s="13">
        <f t="shared" si="87"/>
        <v>66.894409904113928</v>
      </c>
      <c r="Q100" s="20">
        <f t="shared" si="107"/>
        <v>603.57614857633223</v>
      </c>
      <c r="R100" s="59">
        <f t="shared" si="55"/>
        <v>879.16130657222902</v>
      </c>
      <c r="S100" s="59">
        <f ca="1">AVERAGE(OFFSET($R$3,0,0,'Données projet'!$E$9+1,1))-AVERAGE(OFFSET($H$3,0,0,'Données projet'!$E$9+1,1))</f>
        <v>631.31712308065664</v>
      </c>
      <c r="T100" s="59">
        <f t="shared" si="88"/>
        <v>290.92244624361285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48.393834580540698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48.393834580540698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7.7120000000000006</v>
      </c>
      <c r="AI100" s="13">
        <f>IF('Données projet'!$A$62&gt;35,AI99+AH100-AQ99,IF(A100&lt;'Données projet'!$A$62,$AF$205^A100,IF(A100='Données projet'!$A$62,'Données projet'!$B$62,AI99+AH100-AQ99)))</f>
        <v>275.91800000000012</v>
      </c>
      <c r="AJ100" s="13">
        <f>AI100*VLOOKUP('Données projet'!$B$10,Paramètres!$A$1:$I$89,3,0)*VLOOKUP('Données projet'!$B$10,Paramètres!$A$1:$I$89,5,0)</f>
        <v>232.4333232000001</v>
      </c>
      <c r="AK100" s="13">
        <f t="shared" si="89"/>
        <v>56.808500201978752</v>
      </c>
      <c r="AL100" s="20">
        <f t="shared" si="58"/>
        <v>503.76284242511315</v>
      </c>
      <c r="AM100" s="59">
        <f t="shared" si="59"/>
        <v>779.34800042100994</v>
      </c>
      <c r="AN100" s="59">
        <f ca="1">AVERAGE(OFFSET($AM$3,0,0,'Données projet'!$E$10+1,1))-AVERAGE(OFFSET($H$3,0,0,'Données projet'!$E$10+1,1))</f>
        <v>401.19166052471473</v>
      </c>
      <c r="AO100" s="59">
        <f t="shared" si="90"/>
        <v>271.10067497534271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38.173812724647334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38.173812724647334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313.4081340000003</v>
      </c>
      <c r="BF100" s="13">
        <f t="shared" si="91"/>
        <v>73.980130635311994</v>
      </c>
      <c r="BG100" s="20">
        <f t="shared" si="61"/>
        <v>674.70122757316892</v>
      </c>
      <c r="BH100" s="59">
        <f t="shared" si="62"/>
        <v>950.28638556906571</v>
      </c>
      <c r="BI100" s="59">
        <f ca="1">AVERAGE(OFFSET($BH$3,0,0,'Données projet'!$E$11+1,1))-AVERAGE(OFFSET($H$3,0,0,'Données projet'!$E$11+1,1))</f>
        <v>695.93700574708214</v>
      </c>
      <c r="BJ100" s="59">
        <f t="shared" si="92"/>
        <v>318.31690229208471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54.234469788537012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54.234469788537012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1.7053025658242404E-13</v>
      </c>
      <c r="BZ100" s="13">
        <f>BY100*VLOOKUP('Données projet'!$B$12,Paramètres!$A$1:$I$89,3,0)*VLOOKUP('Données projet'!$B$12,Paramètres!$A$1:$I$89,5,0)</f>
        <v>1.1173142411280423E-13</v>
      </c>
      <c r="CA100" s="13">
        <f t="shared" si="93"/>
        <v>1.6569896290553793E-12</v>
      </c>
      <c r="CB100" s="20">
        <f t="shared" si="64"/>
        <v>3.0805225009345862E-12</v>
      </c>
      <c r="CC100" s="59">
        <f t="shared" si="65"/>
        <v>275.58515799589986</v>
      </c>
      <c r="CD100" s="59">
        <f ca="1">AVERAGE(OFFSET($CC$3,0,0,'Données projet'!$E$12+1,1))-AVERAGE(OFFSET($H$3,0,0,'Données projet'!$E$12+1,1))</f>
        <v>260.25859566735949</v>
      </c>
      <c r="CE100" s="59">
        <f t="shared" si="94"/>
        <v>256.93649773468667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48.120106079818214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48.120106079818214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1.7053025658242404E-13</v>
      </c>
      <c r="CU100" s="17">
        <f>CT100*VLOOKUP('Données projet'!$B$13,Paramètres!$A$1:$I$89,3,0)*VLOOKUP('Données projet'!$B$13,Paramètres!$A$1:$I$89,5,0)</f>
        <v>1.1173142411280423E-13</v>
      </c>
      <c r="CV100" s="13">
        <f t="shared" si="95"/>
        <v>1.6569896290553793E-12</v>
      </c>
      <c r="CW100" s="20">
        <f t="shared" si="67"/>
        <v>3.0805225009345862E-12</v>
      </c>
      <c r="CX100" s="59">
        <f t="shared" si="68"/>
        <v>275.58515799589986</v>
      </c>
      <c r="CY100" s="59">
        <f ca="1">AVERAGE(OFFSET($CX$3,0,0,'Données projet'!$E$13+1,1))-AVERAGE(OFFSET($H$3,0,0,'Données projet'!$E$13+1,1))</f>
        <v>260.25859566735949</v>
      </c>
      <c r="CZ100" s="59">
        <f t="shared" si="96"/>
        <v>256.93649773468667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48.120106079818214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48.120106079818214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4.7720000000000002</v>
      </c>
      <c r="DO100" s="12">
        <f>IF('Données projet'!$A$166&gt;35,DO99+DN100-DW99,IF(A100&lt;'Données projet'!$A$166,$DL$205^A100,IF(A100='Données projet'!$A$166,'Données projet'!$B$166,DO99+DN100-DW99)))</f>
        <v>364.09799999999984</v>
      </c>
      <c r="DP100" s="17">
        <f>DO100*VLOOKUP('Données projet'!$B$14,Paramètres!$A$1:$I$89,3,0)*VLOOKUP('Données projet'!$B$14,Paramètres!$A$1:$I$89,5,0)</f>
        <v>208.26405599999993</v>
      </c>
      <c r="DQ100" s="13">
        <f t="shared" si="97"/>
        <v>51.556055188940526</v>
      </c>
      <c r="DR100" s="20">
        <f t="shared" si="70"/>
        <v>452.52002698740461</v>
      </c>
      <c r="DS100" s="59">
        <f t="shared" si="71"/>
        <v>728.10518498330134</v>
      </c>
      <c r="DT100" s="59">
        <f ca="1">AVERAGE(OFFSET($DS$3,0,0,'Données projet'!$E$14+1,1))-AVERAGE(OFFSET($H$3,0,0,'Données projet'!$E$14+1,1))</f>
        <v>349.56396446903</v>
      </c>
      <c r="DU100" s="59">
        <f t="shared" si="98"/>
        <v>270.64279448634522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29.290732819307976</v>
      </c>
      <c r="EB100" s="21">
        <f>EXP(-LN(2)/25)*EB99+(1-EXP(-LN(2)/25))/(LN(2)/25)*Calculateur!DW100*Calculateur!DY100*VLOOKUP('Données projet'!$B$14,Paramètres!$A$1:$I$89,3,0)*0.475*44/12</f>
        <v>21.175258468834897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50.465991288142874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375.89365709113105</v>
      </c>
      <c r="EP100" s="59">
        <f t="shared" si="100"/>
        <v>279.39056561403834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118.91464917938367</v>
      </c>
      <c r="EW100" s="21">
        <f>EXP(-LN(2)/25)*EW99+(1-EXP(-LN(2)/25))/(LN(2)/25)*Calculateur!ER100*Calculateur!ET100*VLOOKUP('Données projet'!$B$15,Paramètres!$A$1:$I$89,3,0)*0.475*44/12</f>
        <v>51.752597649017822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170.66724682840149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-1.1368683772161603E-13</v>
      </c>
      <c r="FF100" s="17">
        <f>FE100*VLOOKUP('Données projet'!$B$16,Paramètres!$A$1:$I$89,3,0)*VLOOKUP('Données projet'!$B$16,Paramètres!$A$1:$I$89,5,0)</f>
        <v>-6.7984728957526396E-14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319.29539841078537</v>
      </c>
      <c r="FK100" s="59">
        <f t="shared" si="102"/>
        <v>327.26871144121412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66.463638251777141</v>
      </c>
      <c r="FR100" s="21">
        <f>EXP(-LN(2)/25)*FR99+(1-EXP(-LN(2)/25))/(LN(2)/25)*Calculateur!FM100*Calculateur!FO100*VLOOKUP('Données projet'!$B$16,Paramètres!$A$1:$I$89,3,0)*0.475*44/12</f>
        <v>30.720821198331603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97.184459450108747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2.2737367544323206E-13</v>
      </c>
      <c r="GA100" s="17">
        <f>FZ100*VLOOKUP('Données projet'!$B$17,Paramètres!$A$1:$I$89,3,0)*VLOOKUP('Données projet'!$B$17,Paramètres!$A$1:$I$89,5,0)</f>
        <v>1.0049916454590858E-13</v>
      </c>
      <c r="GB100" s="13">
        <f t="shared" si="103"/>
        <v>1.5089081593838289E-12</v>
      </c>
      <c r="GC100" s="20">
        <f t="shared" si="79"/>
        <v>2.8030510891776262E-12</v>
      </c>
      <c r="GD100" s="59">
        <f t="shared" si="80"/>
        <v>275.58515799589958</v>
      </c>
      <c r="GE100" s="59">
        <f ca="1">AVERAGE(OFFSET($GD$3,0,0,'Données projet'!$E$17+1,1))-AVERAGE(OFFSET($H$3,0,0,'Données projet'!$E$17+1,1))</f>
        <v>342.89128067483233</v>
      </c>
      <c r="GF100" s="59">
        <f t="shared" si="104"/>
        <v>453.47615302202996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79.322192949996776</v>
      </c>
      <c r="GM100" s="21">
        <f>EXP(-LN(2)/25)*GM99+(1-EXP(-LN(2)/25))/(LN(2)/25)*Calculateur!GH100*Calculateur!GJ100*VLOOKUP('Données projet'!$B$17,Paramètres!$A$1:$I$89,3,0)*0.475*44/12</f>
        <v>42.087923758125847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121.41011670812262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65.159588544335492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>
        <f>GU100*VLOOKUP('Données projet'!$B$18,Paramètres!$A$1:$I$89,3,0)*VLOOKUP('Données projet'!$B$18,Paramètres!$A$1:$I$89,5,0)</f>
        <v>0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375.89365709113105</v>
      </c>
      <c r="HA100" s="59">
        <f t="shared" si="106"/>
        <v>279.39056561403834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118.91464917938367</v>
      </c>
      <c r="HH100" s="21">
        <f>EXP(-LN(2)/25)*HH99+(1-EXP(-LN(2)/25))/(LN(2)/25)*Calculateur!HC100*Calculateur!HE100*VLOOKUP('Données projet'!$B$18,Paramètres!$A$1:$I$89,3,0)*0.475*44/12</f>
        <v>51.752597649017822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170.66724682840149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178.09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286.93741440000031</v>
      </c>
      <c r="P101" s="13">
        <f t="shared" si="87"/>
        <v>68.430989143985158</v>
      </c>
      <c r="Q101" s="20">
        <f t="shared" si="107"/>
        <v>618.93330283910791</v>
      </c>
      <c r="R101" s="59">
        <f t="shared" si="55"/>
        <v>894.82635199813353</v>
      </c>
      <c r="S101" s="59">
        <f ca="1">AVERAGE(OFFSET($R$3,0,0,'Données projet'!$E$9+1,1))-AVERAGE(OFFSET($H$3,0,0,'Données projet'!$E$9+1,1))</f>
        <v>631.31712308065664</v>
      </c>
      <c r="T101" s="59">
        <f t="shared" si="88"/>
        <v>290.92244624361285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47.444861001740797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47.444861001740797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7.7120000000000006</v>
      </c>
      <c r="AI101" s="13">
        <f>IF('Données projet'!$A$62&gt;35,AI100+AH101-AQ100,IF(A101&lt;'Données projet'!$A$62,$AF$205^A101,IF(A101='Données projet'!$A$62,'Données projet'!$B$62,AI100+AH101-AQ100)))</f>
        <v>283.63000000000011</v>
      </c>
      <c r="AJ101" s="13">
        <f>AI101*VLOOKUP('Données projet'!$B$10,Paramètres!$A$1:$I$89,3,0)*VLOOKUP('Données projet'!$B$10,Paramètres!$A$1:$I$89,5,0)</f>
        <v>238.92991200000012</v>
      </c>
      <c r="AK101" s="13">
        <f t="shared" si="89"/>
        <v>58.209235991783075</v>
      </c>
      <c r="AL101" s="20">
        <f t="shared" si="58"/>
        <v>517.51734941902237</v>
      </c>
      <c r="AM101" s="59">
        <f t="shared" si="59"/>
        <v>793.41039857804799</v>
      </c>
      <c r="AN101" s="59">
        <f ca="1">AVERAGE(OFFSET($AM$3,0,0,'Données projet'!$E$10+1,1))-AVERAGE(OFFSET($H$3,0,0,'Données projet'!$E$10+1,1))</f>
        <v>401.19166052471473</v>
      </c>
      <c r="AO101" s="59">
        <f t="shared" si="90"/>
        <v>271.10067497534271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37.425247540843685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37.425247540843685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321.56779200000034</v>
      </c>
      <c r="BF101" s="13">
        <f t="shared" si="91"/>
        <v>75.679470431568902</v>
      </c>
      <c r="BG101" s="20">
        <f t="shared" si="61"/>
        <v>691.87231540164976</v>
      </c>
      <c r="BH101" s="59">
        <f t="shared" si="62"/>
        <v>967.76536456067538</v>
      </c>
      <c r="BI101" s="59">
        <f ca="1">AVERAGE(OFFSET($BH$3,0,0,'Données projet'!$E$11+1,1))-AVERAGE(OFFSET($H$3,0,0,'Données projet'!$E$11+1,1))</f>
        <v>695.93700574708214</v>
      </c>
      <c r="BJ101" s="59">
        <f t="shared" si="92"/>
        <v>318.31690229208471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53.170964915744015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53.170964915744015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1.7053025658242404E-13</v>
      </c>
      <c r="BZ101" s="13">
        <f>BY101*VLOOKUP('Données projet'!$B$12,Paramètres!$A$1:$I$89,3,0)*VLOOKUP('Données projet'!$B$12,Paramètres!$A$1:$I$89,5,0)</f>
        <v>1.1173142411280423E-13</v>
      </c>
      <c r="CA101" s="13">
        <f t="shared" si="93"/>
        <v>1.6569896290553793E-12</v>
      </c>
      <c r="CB101" s="20">
        <f t="shared" si="64"/>
        <v>3.0805225009345862E-12</v>
      </c>
      <c r="CC101" s="59">
        <f t="shared" si="65"/>
        <v>275.89304915902869</v>
      </c>
      <c r="CD101" s="59">
        <f ca="1">AVERAGE(OFFSET($CC$3,0,0,'Données projet'!$E$12+1,1))-AVERAGE(OFFSET($H$3,0,0,'Données projet'!$E$12+1,1))</f>
        <v>260.25859566735949</v>
      </c>
      <c r="CE101" s="59">
        <f t="shared" si="94"/>
        <v>256.93649773468667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47.17650014995958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47.17650014995958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1.7053025658242404E-13</v>
      </c>
      <c r="CU101" s="17">
        <f>CT101*VLOOKUP('Données projet'!$B$13,Paramètres!$A$1:$I$89,3,0)*VLOOKUP('Données projet'!$B$13,Paramètres!$A$1:$I$89,5,0)</f>
        <v>1.1173142411280423E-13</v>
      </c>
      <c r="CV101" s="13">
        <f t="shared" si="95"/>
        <v>1.6569896290553793E-12</v>
      </c>
      <c r="CW101" s="20">
        <f t="shared" si="67"/>
        <v>3.0805225009345862E-12</v>
      </c>
      <c r="CX101" s="59">
        <f t="shared" si="68"/>
        <v>275.89304915902869</v>
      </c>
      <c r="CY101" s="59">
        <f ca="1">AVERAGE(OFFSET($CX$3,0,0,'Données projet'!$E$13+1,1))-AVERAGE(OFFSET($H$3,0,0,'Données projet'!$E$13+1,1))</f>
        <v>260.25859566735949</v>
      </c>
      <c r="CZ101" s="59">
        <f t="shared" si="96"/>
        <v>256.93649773468667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47.17650014995958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47.17650014995958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4.7720000000000002</v>
      </c>
      <c r="DO101" s="12">
        <f>IF('Données projet'!$A$166&gt;35,DO100+DN101-DW100,IF(A101&lt;'Données projet'!$A$166,$DL$205^A101,IF(A101='Données projet'!$A$166,'Données projet'!$B$166,DO100+DN101-DW100)))</f>
        <v>368.86999999999983</v>
      </c>
      <c r="DP101" s="17">
        <f>DO101*VLOOKUP('Données projet'!$B$14,Paramètres!$A$1:$I$89,3,0)*VLOOKUP('Données projet'!$B$14,Paramètres!$A$1:$I$89,5,0)</f>
        <v>210.99363999999991</v>
      </c>
      <c r="DQ101" s="13">
        <f t="shared" si="97"/>
        <v>52.152661348163072</v>
      </c>
      <c r="DR101" s="20">
        <f t="shared" si="70"/>
        <v>458.31314151471719</v>
      </c>
      <c r="DS101" s="59">
        <f t="shared" si="71"/>
        <v>734.20619067374287</v>
      </c>
      <c r="DT101" s="59">
        <f ca="1">AVERAGE(OFFSET($DS$3,0,0,'Données projet'!$E$14+1,1))-AVERAGE(OFFSET($H$3,0,0,'Données projet'!$E$14+1,1))</f>
        <v>349.56396446903</v>
      </c>
      <c r="DU101" s="59">
        <f t="shared" si="98"/>
        <v>270.64279448634522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28.716359414304286</v>
      </c>
      <c r="EB101" s="21">
        <f>EXP(-LN(2)/25)*EB100+(1-EXP(-LN(2)/25))/(LN(2)/25)*Calculateur!DW101*Calculateur!DY101*VLOOKUP('Données projet'!$B$14,Paramètres!$A$1:$I$89,3,0)*0.475*44/12</f>
        <v>20.596219912446163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49.312579326750452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375.89365709113105</v>
      </c>
      <c r="EP101" s="59">
        <f t="shared" si="100"/>
        <v>279.39056561403834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116.58280543975015</v>
      </c>
      <c r="EW101" s="21">
        <f>EXP(-LN(2)/25)*EW100+(1-EXP(-LN(2)/25))/(LN(2)/25)*Calculateur!ER101*Calculateur!ET101*VLOOKUP('Données projet'!$B$15,Paramètres!$A$1:$I$89,3,0)*0.475*44/12</f>
        <v>50.337420144754603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166.92022558450475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-1.1368683772161603E-13</v>
      </c>
      <c r="FF101" s="17">
        <f>FE101*VLOOKUP('Données projet'!$B$16,Paramètres!$A$1:$I$89,3,0)*VLOOKUP('Données projet'!$B$16,Paramètres!$A$1:$I$89,5,0)</f>
        <v>-6.7984728957526396E-14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319.29539841078537</v>
      </c>
      <c r="FK101" s="59">
        <f t="shared" si="102"/>
        <v>327.26871144121412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65.160326844476245</v>
      </c>
      <c r="FR101" s="21">
        <f>EXP(-LN(2)/25)*FR100+(1-EXP(-LN(2)/25))/(LN(2)/25)*Calculateur!FM101*Calculateur!FO101*VLOOKUP('Données projet'!$B$16,Paramètres!$A$1:$I$89,3,0)*0.475*44/12</f>
        <v>29.88075872712545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95.041085571601698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2.2737367544323206E-13</v>
      </c>
      <c r="GA101" s="17">
        <f>FZ101*VLOOKUP('Données projet'!$B$17,Paramètres!$A$1:$I$89,3,0)*VLOOKUP('Données projet'!$B$17,Paramètres!$A$1:$I$89,5,0)</f>
        <v>1.0049916454590858E-13</v>
      </c>
      <c r="GB101" s="13">
        <f t="shared" si="103"/>
        <v>1.5089081593838289E-12</v>
      </c>
      <c r="GC101" s="20">
        <f t="shared" si="79"/>
        <v>2.8030510891776262E-12</v>
      </c>
      <c r="GD101" s="59">
        <f t="shared" si="80"/>
        <v>275.89304915902841</v>
      </c>
      <c r="GE101" s="59">
        <f ca="1">AVERAGE(OFFSET($GD$3,0,0,'Données projet'!$E$17+1,1))-AVERAGE(OFFSET($H$3,0,0,'Données projet'!$E$17+1,1))</f>
        <v>342.89128067483233</v>
      </c>
      <c r="GF101" s="59">
        <f t="shared" si="104"/>
        <v>453.47615302202996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77.766733128007743</v>
      </c>
      <c r="GM101" s="21">
        <f>EXP(-LN(2)/25)*GM100+(1-EXP(-LN(2)/25))/(LN(2)/25)*Calculateur!GH101*Calculateur!GJ101*VLOOKUP('Données projet'!$B$17,Paramètres!$A$1:$I$89,3,0)*0.475*44/12</f>
        <v>40.937027269652177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118.70376039765992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65.243558861552444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>
        <f>GU101*VLOOKUP('Données projet'!$B$18,Paramètres!$A$1:$I$89,3,0)*VLOOKUP('Données projet'!$B$18,Paramètres!$A$1:$I$89,5,0)</f>
        <v>0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375.89365709113105</v>
      </c>
      <c r="HA101" s="59">
        <f t="shared" si="106"/>
        <v>279.39056561403834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116.58280543975015</v>
      </c>
      <c r="HH101" s="21">
        <f>EXP(-LN(2)/25)*HH100+(1-EXP(-LN(2)/25))/(LN(2)/25)*Calculateur!HC101*Calculateur!HE101*VLOOKUP('Données projet'!$B$18,Paramètres!$A$1:$I$89,3,0)*0.475*44/12</f>
        <v>50.337420144754603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166.92022558450475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178.09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294.2183400000003</v>
      </c>
      <c r="P102" s="13">
        <f t="shared" si="87"/>
        <v>69.963036117759913</v>
      </c>
      <c r="Q102" s="20">
        <f t="shared" si="107"/>
        <v>634.28256340509904</v>
      </c>
      <c r="R102" s="59">
        <f t="shared" si="55"/>
        <v>910.47816250391475</v>
      </c>
      <c r="S102" s="59">
        <f ca="1">AVERAGE(OFFSET($R$3,0,0,'Données projet'!$E$9+1,1))-AVERAGE(OFFSET($H$3,0,0,'Données projet'!$E$9+1,1))</f>
        <v>631.31712308065664</v>
      </c>
      <c r="T102" s="59">
        <f t="shared" si="88"/>
        <v>290.92244624361285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46.514496216004432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46.514496216004432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7.7120000000000006</v>
      </c>
      <c r="AI102" s="13">
        <f>IF('Données projet'!$A$62&gt;35,AI101+AH102-AQ101,IF(A102&lt;'Données projet'!$A$62,$AF$205^A102,IF(A102='Données projet'!$A$62,'Données projet'!$B$62,AI101+AH102-AQ101)))</f>
        <v>291.3420000000001</v>
      </c>
      <c r="AJ102" s="13">
        <f>AI102*VLOOKUP('Données projet'!$B$10,Paramètres!$A$1:$I$89,3,0)*VLOOKUP('Données projet'!$B$10,Paramètres!$A$1:$I$89,5,0)</f>
        <v>245.4265008000001</v>
      </c>
      <c r="AK102" s="13">
        <f t="shared" si="89"/>
        <v>59.605544944565871</v>
      </c>
      <c r="AL102" s="20">
        <f t="shared" si="58"/>
        <v>531.26414633845241</v>
      </c>
      <c r="AM102" s="59">
        <f t="shared" si="59"/>
        <v>807.45974543726811</v>
      </c>
      <c r="AN102" s="59">
        <f ca="1">AVERAGE(OFFSET($AM$3,0,0,'Données projet'!$E$10+1,1))-AVERAGE(OFFSET($H$3,0,0,'Données projet'!$E$10+1,1))</f>
        <v>401.19166052471473</v>
      </c>
      <c r="AO102" s="59">
        <f t="shared" si="90"/>
        <v>271.10067497534271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36.691361263714747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36.691361263714747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329.72745000000037</v>
      </c>
      <c r="BF102" s="13">
        <f t="shared" si="91"/>
        <v>77.373797886161128</v>
      </c>
      <c r="BG102" s="20">
        <f t="shared" si="61"/>
        <v>709.0346734017312</v>
      </c>
      <c r="BH102" s="59">
        <f t="shared" si="62"/>
        <v>985.2302725005469</v>
      </c>
      <c r="BI102" s="59">
        <f ca="1">AVERAGE(OFFSET($BH$3,0,0,'Données projet'!$E$11+1,1))-AVERAGE(OFFSET($H$3,0,0,'Données projet'!$E$11+1,1))</f>
        <v>695.93700574708214</v>
      </c>
      <c r="BJ102" s="59">
        <f t="shared" si="92"/>
        <v>318.31690229208471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52.12831472483257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52.12831472483257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1.7053025658242404E-13</v>
      </c>
      <c r="BZ102" s="13">
        <f>BY102*VLOOKUP('Données projet'!$B$12,Paramètres!$A$1:$I$89,3,0)*VLOOKUP('Données projet'!$B$12,Paramètres!$A$1:$I$89,5,0)</f>
        <v>1.1173142411280423E-13</v>
      </c>
      <c r="CA102" s="13">
        <f t="shared" si="93"/>
        <v>1.6569896290553793E-12</v>
      </c>
      <c r="CB102" s="20">
        <f t="shared" si="64"/>
        <v>3.0805225009345862E-12</v>
      </c>
      <c r="CC102" s="59">
        <f t="shared" si="65"/>
        <v>276.19559909881878</v>
      </c>
      <c r="CD102" s="59">
        <f ca="1">AVERAGE(OFFSET($CC$3,0,0,'Données projet'!$E$12+1,1))-AVERAGE(OFFSET($H$3,0,0,'Données projet'!$E$12+1,1))</f>
        <v>260.25859566735949</v>
      </c>
      <c r="CE102" s="59">
        <f t="shared" si="94"/>
        <v>256.93649773468667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46.251397756842685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46.251397756842685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1.7053025658242404E-13</v>
      </c>
      <c r="CU102" s="17">
        <f>CT102*VLOOKUP('Données projet'!$B$13,Paramètres!$A$1:$I$89,3,0)*VLOOKUP('Données projet'!$B$13,Paramètres!$A$1:$I$89,5,0)</f>
        <v>1.1173142411280423E-13</v>
      </c>
      <c r="CV102" s="13">
        <f t="shared" si="95"/>
        <v>1.6569896290553793E-12</v>
      </c>
      <c r="CW102" s="20">
        <f t="shared" si="67"/>
        <v>3.0805225009345862E-12</v>
      </c>
      <c r="CX102" s="59">
        <f t="shared" si="68"/>
        <v>276.19559909881878</v>
      </c>
      <c r="CY102" s="59">
        <f ca="1">AVERAGE(OFFSET($CX$3,0,0,'Données projet'!$E$13+1,1))-AVERAGE(OFFSET($H$3,0,0,'Données projet'!$E$13+1,1))</f>
        <v>260.25859566735949</v>
      </c>
      <c r="CZ102" s="59">
        <f t="shared" si="96"/>
        <v>256.93649773468667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46.251397756842685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46.251397756842685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4.7720000000000002</v>
      </c>
      <c r="DO102" s="12">
        <f>IF('Données projet'!$A$166&gt;35,DO101+DN102-DW101,IF(A102&lt;'Données projet'!$A$166,$DL$205^A102,IF(A102='Données projet'!$A$166,'Données projet'!$B$166,DO101+DN102-DW101)))</f>
        <v>373.64199999999983</v>
      </c>
      <c r="DP102" s="17">
        <f>DO102*VLOOKUP('Données projet'!$B$14,Paramètres!$A$1:$I$89,3,0)*VLOOKUP('Données projet'!$B$14,Paramètres!$A$1:$I$89,5,0)</f>
        <v>213.7232239999999</v>
      </c>
      <c r="DQ102" s="13">
        <f t="shared" si="97"/>
        <v>52.748369760983294</v>
      </c>
      <c r="DR102" s="20">
        <f t="shared" si="70"/>
        <v>464.10469246704571</v>
      </c>
      <c r="DS102" s="59">
        <f t="shared" si="71"/>
        <v>740.30029156586147</v>
      </c>
      <c r="DT102" s="59">
        <f ca="1">AVERAGE(OFFSET($DS$3,0,0,'Données projet'!$E$14+1,1))-AVERAGE(OFFSET($H$3,0,0,'Données projet'!$E$14+1,1))</f>
        <v>349.56396446903</v>
      </c>
      <c r="DU102" s="59">
        <f t="shared" si="98"/>
        <v>270.64279448634522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28.153249121439533</v>
      </c>
      <c r="EB102" s="21">
        <f>EXP(-LN(2)/25)*EB101+(1-EXP(-LN(2)/25))/(LN(2)/25)*Calculateur!DW102*Calculateur!DY102*VLOOKUP('Données projet'!$B$14,Paramètres!$A$1:$I$89,3,0)*0.475*44/12</f>
        <v>20.033015195832192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48.186264317271721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375.89365709113105</v>
      </c>
      <c r="EP102" s="59">
        <f t="shared" si="100"/>
        <v>279.39056561403834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114.29668773356659</v>
      </c>
      <c r="EW102" s="21">
        <f>EXP(-LN(2)/25)*EW101+(1-EXP(-LN(2)/25))/(LN(2)/25)*Calculateur!ER102*Calculateur!ET102*VLOOKUP('Données projet'!$B$15,Paramètres!$A$1:$I$89,3,0)*0.475*44/12</f>
        <v>48.960940743766407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163.25762847733299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-1.1368683772161603E-13</v>
      </c>
      <c r="FF102" s="17">
        <f>FE102*VLOOKUP('Données projet'!$B$16,Paramètres!$A$1:$I$89,3,0)*VLOOKUP('Données projet'!$B$16,Paramètres!$A$1:$I$89,5,0)</f>
        <v>-6.7984728957526396E-14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319.29539841078537</v>
      </c>
      <c r="FK102" s="59">
        <f t="shared" si="102"/>
        <v>327.26871144121412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63.882572578931061</v>
      </c>
      <c r="FR102" s="21">
        <f>EXP(-LN(2)/25)*FR101+(1-EXP(-LN(2)/25))/(LN(2)/25)*Calculateur!FM102*Calculateur!FO102*VLOOKUP('Données projet'!$B$16,Paramètres!$A$1:$I$89,3,0)*0.475*44/12</f>
        <v>29.063667808371395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92.946240387302453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2.2737367544323206E-13</v>
      </c>
      <c r="GA102" s="17">
        <f>FZ102*VLOOKUP('Données projet'!$B$17,Paramètres!$A$1:$I$89,3,0)*VLOOKUP('Données projet'!$B$17,Paramètres!$A$1:$I$89,5,0)</f>
        <v>1.0049916454590858E-13</v>
      </c>
      <c r="GB102" s="13">
        <f t="shared" si="103"/>
        <v>1.5089081593838289E-12</v>
      </c>
      <c r="GC102" s="20">
        <f t="shared" si="79"/>
        <v>2.8030510891776262E-12</v>
      </c>
      <c r="GD102" s="59">
        <f t="shared" si="80"/>
        <v>276.19559909881849</v>
      </c>
      <c r="GE102" s="59">
        <f ca="1">AVERAGE(OFFSET($GD$3,0,0,'Données projet'!$E$17+1,1))-AVERAGE(OFFSET($H$3,0,0,'Données projet'!$E$17+1,1))</f>
        <v>342.89128067483233</v>
      </c>
      <c r="GF102" s="59">
        <f t="shared" si="104"/>
        <v>453.47615302202996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76.241774924391095</v>
      </c>
      <c r="GM102" s="21">
        <f>EXP(-LN(2)/25)*GM101+(1-EXP(-LN(2)/25))/(LN(2)/25)*Calculateur!GH102*Calculateur!GJ102*VLOOKUP('Données projet'!$B$17,Paramètres!$A$1:$I$89,3,0)*0.475*44/12</f>
        <v>39.817602106178839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116.05937703056993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65.326072481495189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>
        <f>GU102*VLOOKUP('Données projet'!$B$18,Paramètres!$A$1:$I$89,3,0)*VLOOKUP('Données projet'!$B$18,Paramètres!$A$1:$I$89,5,0)</f>
        <v>0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375.89365709113105</v>
      </c>
      <c r="HA102" s="59">
        <f t="shared" si="106"/>
        <v>279.39056561403834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114.29668773356659</v>
      </c>
      <c r="HH102" s="21">
        <f>EXP(-LN(2)/25)*HH101+(1-EXP(-LN(2)/25))/(LN(2)/25)*Calculateur!HC102*Calculateur!HE102*VLOOKUP('Données projet'!$B$18,Paramètres!$A$1:$I$89,3,0)*0.475*44/12</f>
        <v>48.960940743766407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163.25762847733299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178.09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301.49926560000034</v>
      </c>
      <c r="P103" s="13">
        <f t="shared" si="87"/>
        <v>71.490675884857296</v>
      </c>
      <c r="Q103" s="20">
        <f t="shared" si="107"/>
        <v>649.62414808612709</v>
      </c>
      <c r="R103" s="59">
        <f t="shared" si="55"/>
        <v>926.11704855967776</v>
      </c>
      <c r="S103" s="59">
        <f ca="1">AVERAGE(OFFSET($R$3,0,0,'Données projet'!$E$9+1,1))-AVERAGE(OFFSET($H$3,0,0,'Données projet'!$E$9+1,1))</f>
        <v>631.31712308065664</v>
      </c>
      <c r="T103" s="59">
        <f t="shared" si="88"/>
        <v>290.92244624361285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45.602375316249869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45.602375316249869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7.7120000000000006</v>
      </c>
      <c r="AI103" s="13">
        <f>IF('Données projet'!$A$62&gt;35,AI102+AH103-AQ102,IF(A103&lt;'Données projet'!$A$62,$AF$205^A103,IF(A103='Données projet'!$A$62,'Données projet'!$B$62,AI102+AH103-AQ102)))</f>
        <v>299.05400000000009</v>
      </c>
      <c r="AJ103" s="13">
        <f>AI103*VLOOKUP('Données projet'!$B$10,Paramètres!$A$1:$I$89,3,0)*VLOOKUP('Données projet'!$B$10,Paramètres!$A$1:$I$89,5,0)</f>
        <v>251.92308960000008</v>
      </c>
      <c r="AK103" s="13">
        <f t="shared" si="89"/>
        <v>60.997557710826641</v>
      </c>
      <c r="AL103" s="20">
        <f t="shared" si="58"/>
        <v>545.00346073302319</v>
      </c>
      <c r="AM103" s="59">
        <f t="shared" si="59"/>
        <v>821.49636120657385</v>
      </c>
      <c r="AN103" s="59">
        <f ca="1">AVERAGE(OFFSET($AM$3,0,0,'Données projet'!$E$10+1,1))-AVERAGE(OFFSET($H$3,0,0,'Données projet'!$E$10+1,1))</f>
        <v>401.19166052471473</v>
      </c>
      <c r="AO103" s="59">
        <f t="shared" si="90"/>
        <v>271.10067497534271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35.971866048853876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35.971866048853876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337.88710800000041</v>
      </c>
      <c r="BF103" s="13">
        <f t="shared" si="91"/>
        <v>79.063251305296689</v>
      </c>
      <c r="BG103" s="20">
        <f t="shared" si="61"/>
        <v>726.18854245672571</v>
      </c>
      <c r="BH103" s="59">
        <f t="shared" si="62"/>
        <v>1002.6814429302764</v>
      </c>
      <c r="BI103" s="59">
        <f ca="1">AVERAGE(OFFSET($BH$3,0,0,'Données projet'!$E$11+1,1))-AVERAGE(OFFSET($H$3,0,0,'Données projet'!$E$11+1,1))</f>
        <v>695.93700574708214</v>
      </c>
      <c r="BJ103" s="59">
        <f t="shared" si="92"/>
        <v>318.31690229208471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51.106110268211076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51.106110268211076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1.7053025658242404E-13</v>
      </c>
      <c r="BZ103" s="13">
        <f>BY103*VLOOKUP('Données projet'!$B$12,Paramètres!$A$1:$I$89,3,0)*VLOOKUP('Données projet'!$B$12,Paramètres!$A$1:$I$89,5,0)</f>
        <v>1.1173142411280423E-13</v>
      </c>
      <c r="CA103" s="13">
        <f t="shared" si="93"/>
        <v>1.6569896290553793E-12</v>
      </c>
      <c r="CB103" s="20">
        <f t="shared" si="64"/>
        <v>3.0805225009345862E-12</v>
      </c>
      <c r="CC103" s="59">
        <f t="shared" si="65"/>
        <v>276.49290047355373</v>
      </c>
      <c r="CD103" s="59">
        <f ca="1">AVERAGE(OFFSET($CC$3,0,0,'Données projet'!$E$12+1,1))-AVERAGE(OFFSET($H$3,0,0,'Données projet'!$E$12+1,1))</f>
        <v>260.25859566735949</v>
      </c>
      <c r="CE103" s="59">
        <f t="shared" si="94"/>
        <v>256.93649773468667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45.34443605739807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45.34443605739807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1.7053025658242404E-13</v>
      </c>
      <c r="CU103" s="17">
        <f>CT103*VLOOKUP('Données projet'!$B$13,Paramètres!$A$1:$I$89,3,0)*VLOOKUP('Données projet'!$B$13,Paramètres!$A$1:$I$89,5,0)</f>
        <v>1.1173142411280423E-13</v>
      </c>
      <c r="CV103" s="13">
        <f t="shared" si="95"/>
        <v>1.6569896290553793E-12</v>
      </c>
      <c r="CW103" s="20">
        <f t="shared" si="67"/>
        <v>3.0805225009345862E-12</v>
      </c>
      <c r="CX103" s="59">
        <f t="shared" si="68"/>
        <v>276.49290047355373</v>
      </c>
      <c r="CY103" s="59">
        <f ca="1">AVERAGE(OFFSET($CX$3,0,0,'Données projet'!$E$13+1,1))-AVERAGE(OFFSET($H$3,0,0,'Données projet'!$E$13+1,1))</f>
        <v>260.25859566735949</v>
      </c>
      <c r="CZ103" s="59">
        <f t="shared" si="96"/>
        <v>256.93649773468667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45.34443605739807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45.34443605739807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4.7720000000000002</v>
      </c>
      <c r="DO103" s="12">
        <f>IF('Données projet'!$A$166&gt;35,DO102+DN103-DW102,IF(A103&lt;'Données projet'!$A$166,$DL$205^A103,IF(A103='Données projet'!$A$166,'Données projet'!$B$166,DO102+DN103-DW102)))</f>
        <v>378.41399999999982</v>
      </c>
      <c r="DP103" s="17">
        <f>DO103*VLOOKUP('Données projet'!$B$14,Paramètres!$A$1:$I$89,3,0)*VLOOKUP('Données projet'!$B$14,Paramètres!$A$1:$I$89,5,0)</f>
        <v>216.45280799999989</v>
      </c>
      <c r="DQ103" s="13">
        <f t="shared" si="97"/>
        <v>53.343193218834934</v>
      </c>
      <c r="DR103" s="20">
        <f t="shared" si="70"/>
        <v>469.89470212280389</v>
      </c>
      <c r="DS103" s="59">
        <f t="shared" si="71"/>
        <v>746.38760259635455</v>
      </c>
      <c r="DT103" s="59">
        <f ca="1">AVERAGE(OFFSET($DS$3,0,0,'Données projet'!$E$14+1,1))-AVERAGE(OFFSET($H$3,0,0,'Données projet'!$E$14+1,1))</f>
        <v>349.56396446903</v>
      </c>
      <c r="DU103" s="59">
        <f t="shared" si="98"/>
        <v>270.64279448634522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27.601181077954493</v>
      </c>
      <c r="EB103" s="21">
        <f>EXP(-LN(2)/25)*EB102+(1-EXP(-LN(2)/25))/(LN(2)/25)*Calculateur!DW103*Calculateur!DY103*VLOOKUP('Données projet'!$B$14,Paramètres!$A$1:$I$89,3,0)*0.475*44/12</f>
        <v>19.485211341811677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47.08639241976617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375.89365709113105</v>
      </c>
      <c r="EP103" s="59">
        <f t="shared" si="100"/>
        <v>279.39056561403834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112.05539940120717</v>
      </c>
      <c r="EW103" s="21">
        <f>EXP(-LN(2)/25)*EW102+(1-EXP(-LN(2)/25))/(LN(2)/25)*Calculateur!ER103*Calculateur!ET103*VLOOKUP('Données projet'!$B$15,Paramètres!$A$1:$I$89,3,0)*0.475*44/12</f>
        <v>47.62210124438414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159.67750064559129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-1.1368683772161603E-13</v>
      </c>
      <c r="FF103" s="17">
        <f>FE103*VLOOKUP('Données projet'!$B$16,Paramètres!$A$1:$I$89,3,0)*VLOOKUP('Données projet'!$B$16,Paramètres!$A$1:$I$89,5,0)</f>
        <v>-6.7984728957526396E-14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319.29539841078537</v>
      </c>
      <c r="FK103" s="59">
        <f t="shared" si="102"/>
        <v>327.26871144121412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62.629874295180066</v>
      </c>
      <c r="FR103" s="21">
        <f>EXP(-LN(2)/25)*FR102+(1-EXP(-LN(2)/25))/(LN(2)/25)*Calculateur!FM103*Calculateur!FO103*VLOOKUP('Données projet'!$B$16,Paramètres!$A$1:$I$89,3,0)*0.475*44/12</f>
        <v>28.268920283759616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90.898794578939686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2.2737367544323206E-13</v>
      </c>
      <c r="GA103" s="17">
        <f>FZ103*VLOOKUP('Données projet'!$B$17,Paramètres!$A$1:$I$89,3,0)*VLOOKUP('Données projet'!$B$17,Paramètres!$A$1:$I$89,5,0)</f>
        <v>1.0049916454590858E-13</v>
      </c>
      <c r="GB103" s="13">
        <f t="shared" si="103"/>
        <v>1.5089081593838289E-12</v>
      </c>
      <c r="GC103" s="20">
        <f t="shared" si="79"/>
        <v>2.8030510891776262E-12</v>
      </c>
      <c r="GD103" s="59">
        <f t="shared" si="80"/>
        <v>276.49290047355345</v>
      </c>
      <c r="GE103" s="59">
        <f ca="1">AVERAGE(OFFSET($GD$3,0,0,'Données projet'!$E$17+1,1))-AVERAGE(OFFSET($H$3,0,0,'Données projet'!$E$17+1,1))</f>
        <v>342.89128067483233</v>
      </c>
      <c r="GF103" s="59">
        <f t="shared" si="104"/>
        <v>453.47615302202996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74.746720221014712</v>
      </c>
      <c r="GM103" s="21">
        <f>EXP(-LN(2)/25)*GM102+(1-EXP(-LN(2)/25))/(LN(2)/25)*Calculateur!GH103*Calculateur!GJ103*VLOOKUP('Données projet'!$B$17,Paramètres!$A$1:$I$89,3,0)*0.475*44/12</f>
        <v>38.728787682668688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113.47550790368339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65.407154674604726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>
        <f>GU103*VLOOKUP('Données projet'!$B$18,Paramètres!$A$1:$I$89,3,0)*VLOOKUP('Données projet'!$B$18,Paramètres!$A$1:$I$89,5,0)</f>
        <v>0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375.89365709113105</v>
      </c>
      <c r="HA103" s="59">
        <f t="shared" si="106"/>
        <v>279.39056561403834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112.05539940120717</v>
      </c>
      <c r="HH103" s="21">
        <f>EXP(-LN(2)/25)*HH102+(1-EXP(-LN(2)/25))/(LN(2)/25)*Calculateur!HC103*Calculateur!HE103*VLOOKUP('Données projet'!$B$18,Paramètres!$A$1:$I$89,3,0)*0.475*44/12</f>
        <v>47.62210124438414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159.67750064559129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178.09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308.78019120000033</v>
      </c>
      <c r="P104" s="13">
        <f t="shared" si="87"/>
        <v>73.014027120130123</v>
      </c>
      <c r="Q104" s="20">
        <f t="shared" si="107"/>
        <v>664.95826357422709</v>
      </c>
      <c r="R104" s="59">
        <f t="shared" si="55"/>
        <v>941.74330790832744</v>
      </c>
      <c r="S104" s="59">
        <f ca="1">AVERAGE(OFFSET($R$3,0,0,'Données projet'!$E$9+1,1))-AVERAGE(OFFSET($H$3,0,0,'Données projet'!$E$9+1,1))</f>
        <v>631.31712308065664</v>
      </c>
      <c r="T104" s="59">
        <f t="shared" si="88"/>
        <v>290.92244624361285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44.708140551000682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44.708140551000682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7.7120000000000006</v>
      </c>
      <c r="AI104" s="13">
        <f>IF('Données projet'!$A$62&gt;35,AI103+AH104-AQ103,IF(A104&lt;'Données projet'!$A$62,$AF$205^A104,IF(A104='Données projet'!$A$62,'Données projet'!$B$62,AI103+AH104-AQ103)))</f>
        <v>306.76600000000008</v>
      </c>
      <c r="AJ104" s="13">
        <f>AI104*VLOOKUP('Données projet'!$B$10,Paramètres!$A$1:$I$89,3,0)*VLOOKUP('Données projet'!$B$10,Paramètres!$A$1:$I$89,5,0)</f>
        <v>258.41967840000007</v>
      </c>
      <c r="AK104" s="13">
        <f t="shared" si="89"/>
        <v>62.385397818771914</v>
      </c>
      <c r="AL104" s="20">
        <f t="shared" si="58"/>
        <v>558.73550774769456</v>
      </c>
      <c r="AM104" s="59">
        <f t="shared" si="59"/>
        <v>835.5205520817949</v>
      </c>
      <c r="AN104" s="59">
        <f ca="1">AVERAGE(OFFSET($AM$3,0,0,'Données projet'!$E$10+1,1))-AVERAGE(OFFSET($H$3,0,0,'Données projet'!$E$10+1,1))</f>
        <v>401.19166052471473</v>
      </c>
      <c r="AO104" s="59">
        <f t="shared" si="90"/>
        <v>271.10067497534271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35.266479696307677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35.266479696307677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346.04676600000045</v>
      </c>
      <c r="BF104" s="13">
        <f t="shared" si="91"/>
        <v>80.747961934338676</v>
      </c>
      <c r="BG104" s="20">
        <f t="shared" si="61"/>
        <v>743.33415115230719</v>
      </c>
      <c r="BH104" s="59">
        <f t="shared" si="62"/>
        <v>1020.1191954864075</v>
      </c>
      <c r="BI104" s="59">
        <f ca="1">AVERAGE(OFFSET($BH$3,0,0,'Données projet'!$E$11+1,1))-AVERAGE(OFFSET($H$3,0,0,'Données projet'!$E$11+1,1))</f>
        <v>695.93700574708214</v>
      </c>
      <c r="BJ104" s="59">
        <f t="shared" si="92"/>
        <v>318.31690229208471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50.103950617500779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50.103950617500779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1.7053025658242404E-13</v>
      </c>
      <c r="BZ104" s="13">
        <f>BY104*VLOOKUP('Données projet'!$B$12,Paramètres!$A$1:$I$89,3,0)*VLOOKUP('Données projet'!$B$12,Paramètres!$A$1:$I$89,5,0)</f>
        <v>1.1173142411280423E-13</v>
      </c>
      <c r="CA104" s="13">
        <f t="shared" si="93"/>
        <v>1.6569896290553793E-12</v>
      </c>
      <c r="CB104" s="20">
        <f t="shared" si="64"/>
        <v>3.0805225009345862E-12</v>
      </c>
      <c r="CC104" s="59">
        <f t="shared" si="65"/>
        <v>276.78504433410342</v>
      </c>
      <c r="CD104" s="59">
        <f ca="1">AVERAGE(OFFSET($CC$3,0,0,'Données projet'!$E$12+1,1))-AVERAGE(OFFSET($H$3,0,0,'Données projet'!$E$12+1,1))</f>
        <v>260.25859566735949</v>
      </c>
      <c r="CE104" s="59">
        <f t="shared" si="94"/>
        <v>256.93649773468667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44.45525932368755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44.45525932368755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1.7053025658242404E-13</v>
      </c>
      <c r="CU104" s="17">
        <f>CT104*VLOOKUP('Données projet'!$B$13,Paramètres!$A$1:$I$89,3,0)*VLOOKUP('Données projet'!$B$13,Paramètres!$A$1:$I$89,5,0)</f>
        <v>1.1173142411280423E-13</v>
      </c>
      <c r="CV104" s="13">
        <f t="shared" si="95"/>
        <v>1.6569896290553793E-12</v>
      </c>
      <c r="CW104" s="20">
        <f t="shared" si="67"/>
        <v>3.0805225009345862E-12</v>
      </c>
      <c r="CX104" s="59">
        <f t="shared" si="68"/>
        <v>276.78504433410342</v>
      </c>
      <c r="CY104" s="59">
        <f ca="1">AVERAGE(OFFSET($CX$3,0,0,'Données projet'!$E$13+1,1))-AVERAGE(OFFSET($H$3,0,0,'Données projet'!$E$13+1,1))</f>
        <v>260.25859566735949</v>
      </c>
      <c r="CZ104" s="59">
        <f t="shared" si="96"/>
        <v>256.93649773468667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44.45525932368755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44.45525932368755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4.7720000000000002</v>
      </c>
      <c r="DO104" s="12">
        <f>IF('Données projet'!$A$166&gt;35,DO103+DN104-DW103,IF(A104&lt;'Données projet'!$A$166,$DL$205^A104,IF(A104='Données projet'!$A$166,'Données projet'!$B$166,DO103+DN104-DW103)))</f>
        <v>383.18599999999981</v>
      </c>
      <c r="DP104" s="17">
        <f>DO104*VLOOKUP('Données projet'!$B$14,Paramètres!$A$1:$I$89,3,0)*VLOOKUP('Données projet'!$B$14,Paramètres!$A$1:$I$89,5,0)</f>
        <v>219.18239199999991</v>
      </c>
      <c r="DQ104" s="13">
        <f t="shared" si="97"/>
        <v>53.9371441719857</v>
      </c>
      <c r="DR104" s="20">
        <f t="shared" si="70"/>
        <v>475.68319216620824</v>
      </c>
      <c r="DS104" s="59">
        <f t="shared" si="71"/>
        <v>752.46823650030865</v>
      </c>
      <c r="DT104" s="59">
        <f ca="1">AVERAGE(OFFSET($DS$3,0,0,'Données projet'!$E$14+1,1))-AVERAGE(OFFSET($H$3,0,0,'Données projet'!$E$14+1,1))</f>
        <v>349.56396446903</v>
      </c>
      <c r="DU104" s="59">
        <f t="shared" si="98"/>
        <v>270.64279448634522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27.05993875207394</v>
      </c>
      <c r="EB104" s="21">
        <f>EXP(-LN(2)/25)*EB103+(1-EXP(-LN(2)/25))/(LN(2)/25)*Calculateur!DW104*Calculateur!DY104*VLOOKUP('Données projet'!$B$14,Paramètres!$A$1:$I$89,3,0)*0.475*44/12</f>
        <v>18.952387212987105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46.012325965061045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375.89365709113105</v>
      </c>
      <c r="EP104" s="59">
        <f t="shared" si="100"/>
        <v>279.39056561403834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109.85806136599442</v>
      </c>
      <c r="EW104" s="21">
        <f>EXP(-LN(2)/25)*EW103+(1-EXP(-LN(2)/25))/(LN(2)/25)*Calculateur!ER104*Calculateur!ET104*VLOOKUP('Données projet'!$B$15,Paramètres!$A$1:$I$89,3,0)*0.475*44/12</f>
        <v>46.319872381518991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156.17793374751341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-1.1368683772161603E-13</v>
      </c>
      <c r="FF104" s="17">
        <f>FE104*VLOOKUP('Données projet'!$B$16,Paramètres!$A$1:$I$89,3,0)*VLOOKUP('Données projet'!$B$16,Paramètres!$A$1:$I$89,5,0)</f>
        <v>-6.7984728957526396E-14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319.29539841078537</v>
      </c>
      <c r="FK104" s="59">
        <f t="shared" si="102"/>
        <v>327.26871144121412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61.401740660702927</v>
      </c>
      <c r="FR104" s="21">
        <f>EXP(-LN(2)/25)*FR103+(1-EXP(-LN(2)/25))/(LN(2)/25)*Calculateur!FM104*Calculateur!FO104*VLOOKUP('Données projet'!$B$16,Paramètres!$A$1:$I$89,3,0)*0.475*44/12</f>
        <v>27.495905172002303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88.897645832705223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2.2737367544323206E-13</v>
      </c>
      <c r="GA104" s="17">
        <f>FZ104*VLOOKUP('Données projet'!$B$17,Paramètres!$A$1:$I$89,3,0)*VLOOKUP('Données projet'!$B$17,Paramètres!$A$1:$I$89,5,0)</f>
        <v>1.0049916454590858E-13</v>
      </c>
      <c r="GB104" s="13">
        <f t="shared" si="103"/>
        <v>1.5089081593838289E-12</v>
      </c>
      <c r="GC104" s="20">
        <f t="shared" si="79"/>
        <v>2.8030510891776262E-12</v>
      </c>
      <c r="GD104" s="59">
        <f t="shared" si="80"/>
        <v>276.78504433410313</v>
      </c>
      <c r="GE104" s="59">
        <f ca="1">AVERAGE(OFFSET($GD$3,0,0,'Données projet'!$E$17+1,1))-AVERAGE(OFFSET($H$3,0,0,'Données projet'!$E$17+1,1))</f>
        <v>342.89128067483233</v>
      </c>
      <c r="GF104" s="59">
        <f t="shared" si="104"/>
        <v>453.47615302202996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73.280982628478213</v>
      </c>
      <c r="GM104" s="21">
        <f>EXP(-LN(2)/25)*GM103+(1-EXP(-LN(2)/25))/(LN(2)/25)*Calculateur!GH104*Calculateur!GJ104*VLOOKUP('Données projet'!$B$17,Paramètres!$A$1:$I$89,3,0)*0.475*44/12</f>
        <v>37.669746946827686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110.9507295753059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65.486830272936459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>
        <f>GU104*VLOOKUP('Données projet'!$B$18,Paramètres!$A$1:$I$89,3,0)*VLOOKUP('Données projet'!$B$18,Paramètres!$A$1:$I$89,5,0)</f>
        <v>0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375.89365709113105</v>
      </c>
      <c r="HA104" s="59">
        <f t="shared" si="106"/>
        <v>279.39056561403834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109.85806136599442</v>
      </c>
      <c r="HH104" s="21">
        <f>EXP(-LN(2)/25)*HH103+(1-EXP(-LN(2)/25))/(LN(2)/25)*Calculateur!HC104*Calculateur!HE104*VLOOKUP('Données projet'!$B$18,Paramètres!$A$1:$I$89,3,0)*0.475*44/12</f>
        <v>46.319872381518991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156.17793374751341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178.09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316.06111680000038</v>
      </c>
      <c r="P105" s="13">
        <f t="shared" si="87"/>
        <v>74.533202582557081</v>
      </c>
      <c r="Q105" s="20">
        <f t="shared" si="107"/>
        <v>680.28510625795423</v>
      </c>
      <c r="R105" s="59">
        <f t="shared" si="55"/>
        <v>957.35722640975951</v>
      </c>
      <c r="S105" s="59">
        <f ca="1">AVERAGE(OFFSET($R$3,0,0,'Données projet'!$E$9+1,1))-AVERAGE(OFFSET($H$3,0,0,'Données projet'!$E$9+1,1))</f>
        <v>631.31712308065664</v>
      </c>
      <c r="T105" s="59">
        <f t="shared" si="88"/>
        <v>290.92244624361285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43.83144118406868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43.83144118406868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7.7120000000000006</v>
      </c>
      <c r="AI105" s="13">
        <f>IF('Données projet'!$A$62&gt;35,AI104+AH105-AQ104,IF(A105&lt;'Données projet'!$A$62,$AF$205^A105,IF(A105='Données projet'!$A$62,'Données projet'!$B$62,AI104+AH105-AQ104)))</f>
        <v>314.47800000000007</v>
      </c>
      <c r="AJ105" s="13">
        <f>AI105*VLOOKUP('Données projet'!$B$10,Paramètres!$A$1:$I$89,3,0)*VLOOKUP('Données projet'!$B$10,Paramètres!$A$1:$I$89,5,0)</f>
        <v>264.91626720000011</v>
      </c>
      <c r="AK105" s="13">
        <f t="shared" si="89"/>
        <v>63.769182231734497</v>
      </c>
      <c r="AL105" s="20">
        <f t="shared" si="58"/>
        <v>572.46049109360445</v>
      </c>
      <c r="AM105" s="59">
        <f t="shared" si="59"/>
        <v>849.53261124540973</v>
      </c>
      <c r="AN105" s="59">
        <f ca="1">AVERAGE(OFFSET($AM$3,0,0,'Données projet'!$E$10+1,1))-AVERAGE(OFFSET($H$3,0,0,'Données projet'!$E$10+1,1))</f>
        <v>401.19166052471473</v>
      </c>
      <c r="AO105" s="59">
        <f t="shared" si="90"/>
        <v>271.10067497534271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34.574925539891723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34.574925539891723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354.20642400000042</v>
      </c>
      <c r="BF105" s="13">
        <f t="shared" si="91"/>
        <v>82.42805447614306</v>
      </c>
      <c r="BG105" s="20">
        <f t="shared" si="61"/>
        <v>760.4717166792833</v>
      </c>
      <c r="BH105" s="59">
        <f t="shared" si="62"/>
        <v>1037.5438368310886</v>
      </c>
      <c r="BI105" s="59">
        <f ca="1">AVERAGE(OFFSET($BH$3,0,0,'Données projet'!$E$11+1,1))-AVERAGE(OFFSET($H$3,0,0,'Données projet'!$E$11+1,1))</f>
        <v>695.93700574708214</v>
      </c>
      <c r="BJ105" s="59">
        <f t="shared" si="92"/>
        <v>318.31690229208471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49.121442706283879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49.121442706283879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1.7053025658242404E-13</v>
      </c>
      <c r="BZ105" s="13">
        <f>BY105*VLOOKUP('Données projet'!$B$12,Paramètres!$A$1:$I$89,3,0)*VLOOKUP('Données projet'!$B$12,Paramètres!$A$1:$I$89,5,0)</f>
        <v>1.1173142411280423E-13</v>
      </c>
      <c r="CA105" s="13">
        <f t="shared" si="93"/>
        <v>1.6569896290553793E-12</v>
      </c>
      <c r="CB105" s="20">
        <f t="shared" si="64"/>
        <v>3.0805225009345862E-12</v>
      </c>
      <c r="CC105" s="59">
        <f t="shared" si="65"/>
        <v>277.07212015180841</v>
      </c>
      <c r="CD105" s="59">
        <f ca="1">AVERAGE(OFFSET($CC$3,0,0,'Données projet'!$E$12+1,1))-AVERAGE(OFFSET($H$3,0,0,'Données projet'!$E$12+1,1))</f>
        <v>260.25859566735949</v>
      </c>
      <c r="CE105" s="59">
        <f t="shared" si="94"/>
        <v>256.93649773468667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43.583518803380841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43.583518803380841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1.7053025658242404E-13</v>
      </c>
      <c r="CU105" s="17">
        <f>CT105*VLOOKUP('Données projet'!$B$13,Paramètres!$A$1:$I$89,3,0)*VLOOKUP('Données projet'!$B$13,Paramètres!$A$1:$I$89,5,0)</f>
        <v>1.1173142411280423E-13</v>
      </c>
      <c r="CV105" s="13">
        <f t="shared" si="95"/>
        <v>1.6569896290553793E-12</v>
      </c>
      <c r="CW105" s="20">
        <f t="shared" si="67"/>
        <v>3.0805225009345862E-12</v>
      </c>
      <c r="CX105" s="59">
        <f t="shared" si="68"/>
        <v>277.07212015180841</v>
      </c>
      <c r="CY105" s="59">
        <f ca="1">AVERAGE(OFFSET($CX$3,0,0,'Données projet'!$E$13+1,1))-AVERAGE(OFFSET($H$3,0,0,'Données projet'!$E$13+1,1))</f>
        <v>260.25859566735949</v>
      </c>
      <c r="CZ105" s="59">
        <f t="shared" si="96"/>
        <v>256.93649773468667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43.583518803380841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43.583518803380841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4.7720000000000002</v>
      </c>
      <c r="DO105" s="12">
        <f>IF('Données projet'!$A$166&gt;35,DO104+DN105-DW104,IF(A105&lt;'Données projet'!$A$166,$DL$205^A105,IF(A105='Données projet'!$A$166,'Données projet'!$B$166,DO104+DN105-DW104)))</f>
        <v>387.9579999999998</v>
      </c>
      <c r="DP105" s="17">
        <f>DO105*VLOOKUP('Données projet'!$B$14,Paramètres!$A$1:$I$89,3,0)*VLOOKUP('Données projet'!$B$14,Paramètres!$A$1:$I$89,5,0)</f>
        <v>221.91197599999987</v>
      </c>
      <c r="DQ105" s="13">
        <f t="shared" si="97"/>
        <v>54.530234742769537</v>
      </c>
      <c r="DR105" s="20">
        <f t="shared" si="70"/>
        <v>481.4701837103234</v>
      </c>
      <c r="DS105" s="59">
        <f t="shared" si="71"/>
        <v>758.54230386212873</v>
      </c>
      <c r="DT105" s="59">
        <f ca="1">AVERAGE(OFFSET($DS$3,0,0,'Données projet'!$E$14+1,1))-AVERAGE(OFFSET($H$3,0,0,'Données projet'!$E$14+1,1))</f>
        <v>349.56396446903</v>
      </c>
      <c r="DU105" s="59">
        <f t="shared" si="98"/>
        <v>270.64279448634522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26.529309858078683</v>
      </c>
      <c r="EB105" s="21">
        <f>EXP(-LN(2)/25)*EB104+(1-EXP(-LN(2)/25))/(LN(2)/25)*Calculateur!DW105*Calculateur!DY105*VLOOKUP('Données projet'!$B$14,Paramètres!$A$1:$I$89,3,0)*0.475*44/12</f>
        <v>18.434133187985246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44.963443046063929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375.89365709113105</v>
      </c>
      <c r="EP105" s="59">
        <f t="shared" si="100"/>
        <v>279.39056561403834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107.70381178940832</v>
      </c>
      <c r="EW105" s="21">
        <f>EXP(-LN(2)/25)*EW104+(1-EXP(-LN(2)/25))/(LN(2)/25)*Calculateur!ER105*Calculateur!ET105*VLOOKUP('Données projet'!$B$15,Paramètres!$A$1:$I$89,3,0)*0.475*44/12</f>
        <v>45.053253035390128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152.75706482479845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-1.1368683772161603E-13</v>
      </c>
      <c r="FF105" s="17">
        <f>FE105*VLOOKUP('Données projet'!$B$16,Paramètres!$A$1:$I$89,3,0)*VLOOKUP('Données projet'!$B$16,Paramètres!$A$1:$I$89,5,0)</f>
        <v>-6.7984728957526396E-14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319.29539841078537</v>
      </c>
      <c r="FK105" s="59">
        <f t="shared" si="102"/>
        <v>327.26871144121412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60.197689977710333</v>
      </c>
      <c r="FR105" s="21">
        <f>EXP(-LN(2)/25)*FR104+(1-EXP(-LN(2)/25))/(LN(2)/25)*Calculateur!FM105*Calculateur!FO105*VLOOKUP('Données projet'!$B$16,Paramètres!$A$1:$I$89,3,0)*0.475*44/12</f>
        <v>26.74402819912709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86.941718176837426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2.2737367544323206E-13</v>
      </c>
      <c r="GA105" s="17">
        <f>FZ105*VLOOKUP('Données projet'!$B$17,Paramètres!$A$1:$I$89,3,0)*VLOOKUP('Données projet'!$B$17,Paramètres!$A$1:$I$89,5,0)</f>
        <v>1.0049916454590858E-13</v>
      </c>
      <c r="GB105" s="13">
        <f t="shared" si="103"/>
        <v>1.5089081593838289E-12</v>
      </c>
      <c r="GC105" s="20">
        <f t="shared" si="79"/>
        <v>2.8030510891776262E-12</v>
      </c>
      <c r="GD105" s="59">
        <f t="shared" si="80"/>
        <v>277.07212015180812</v>
      </c>
      <c r="GE105" s="59">
        <f ca="1">AVERAGE(OFFSET($GD$3,0,0,'Données projet'!$E$17+1,1))-AVERAGE(OFFSET($H$3,0,0,'Données projet'!$E$17+1,1))</f>
        <v>342.89128067483233</v>
      </c>
      <c r="GF105" s="59">
        <f t="shared" si="104"/>
        <v>453.47615302202996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71.843987256119703</v>
      </c>
      <c r="GM105" s="21">
        <f>EXP(-LN(2)/25)*GM104+(1-EXP(-LN(2)/25))/(LN(2)/25)*Calculateur!GH105*Calculateur!GJ105*VLOOKUP('Données projet'!$B$17,Paramètres!$A$1:$I$89,3,0)*0.475*44/12</f>
        <v>36.639665735600786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108.48365299172049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65.565123677765087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>
        <f>GU105*VLOOKUP('Données projet'!$B$18,Paramètres!$A$1:$I$89,3,0)*VLOOKUP('Données projet'!$B$18,Paramètres!$A$1:$I$89,5,0)</f>
        <v>0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375.89365709113105</v>
      </c>
      <c r="HA105" s="59">
        <f t="shared" si="106"/>
        <v>279.39056561403834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107.70381178940832</v>
      </c>
      <c r="HH105" s="21">
        <f>EXP(-LN(2)/25)*HH104+(1-EXP(-LN(2)/25))/(LN(2)/25)*Calculateur!HC105*Calculateur!HE105*VLOOKUP('Données projet'!$B$18,Paramètres!$A$1:$I$89,3,0)*0.475*44/12</f>
        <v>45.053253035390128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152.75706482479845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178.09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323.34204240000037</v>
      </c>
      <c r="P106" s="13">
        <f t="shared" si="87"/>
        <v>76.048309539529996</v>
      </c>
      <c r="Q106" s="20">
        <f t="shared" si="107"/>
        <v>695.60486296134877</v>
      </c>
      <c r="R106" s="59">
        <f t="shared" si="55"/>
        <v>972.95907880722734</v>
      </c>
      <c r="S106" s="59">
        <f ca="1">AVERAGE(OFFSET($R$3,0,0,'Données projet'!$E$9+1,1))-AVERAGE(OFFSET($H$3,0,0,'Données projet'!$E$9+1,1))</f>
        <v>631.31712308065664</v>
      </c>
      <c r="T106" s="59">
        <f t="shared" si="88"/>
        <v>290.92244624361285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42.971933356988401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42.971933356988401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322.19</v>
      </c>
      <c r="AG106" s="12">
        <f>VLOOKUP(A106,'Données projet'!$A$61:$I$81,9,0)</f>
        <v>7.7120000000000006</v>
      </c>
      <c r="AH106" s="12">
        <f t="array" ref="AH106">INDEX(AG:AG,MIN(IF(ISNUMBER(AG106:AG302),ROW(AG106:AG302),"")))</f>
        <v>7.7120000000000006</v>
      </c>
      <c r="AI106" s="13">
        <f>IF('Données projet'!$A$62&gt;35,AI105+AH106-AQ105,IF(A106&lt;'Données projet'!$A$62,$AF$205^A106,IF(A106='Données projet'!$A$62,'Données projet'!$B$62,AI105+AH106-AQ105)))</f>
        <v>322.19000000000005</v>
      </c>
      <c r="AJ106" s="13">
        <f>AI106*VLOOKUP('Données projet'!$B$10,Paramètres!$A$1:$I$89,3,0)*VLOOKUP('Données projet'!$B$10,Paramètres!$A$1:$I$89,5,0)</f>
        <v>271.41285600000009</v>
      </c>
      <c r="AK106" s="13">
        <f t="shared" si="89"/>
        <v>65.149021849374975</v>
      </c>
      <c r="AL106" s="20">
        <f t="shared" si="58"/>
        <v>586.17860392099487</v>
      </c>
      <c r="AM106" s="59">
        <f t="shared" si="59"/>
        <v>863.53281976687344</v>
      </c>
      <c r="AN106" s="59">
        <f ca="1">AVERAGE(OFFSET($AM$3,0,0,'Données projet'!$E$10+1,1))-AVERAGE(OFFSET($H$3,0,0,'Données projet'!$E$10+1,1))</f>
        <v>401.19166052471473</v>
      </c>
      <c r="AO106" s="59">
        <f t="shared" si="90"/>
        <v>271.10067497534271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58.98</v>
      </c>
      <c r="AR106" s="16">
        <f>IF(ISNA(VLOOKUP(A106,'Données projet'!$A$61:$I$81,5,0)),0%,VLOOKUP(A106,'Données projet'!$A$61:$I$81,5,0)*VLOOKUP('Données projet'!$B$10,Paramètres!$A$1:$I$89,7,0))</f>
        <v>0.25800000000000001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48.067587924490347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48.067587924490347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362.36608200000046</v>
      </c>
      <c r="BF106" s="13">
        <f t="shared" si="91"/>
        <v>84.103647560288479</v>
      </c>
      <c r="BG106" s="20">
        <f t="shared" si="61"/>
        <v>777.60144565083658</v>
      </c>
      <c r="BH106" s="59">
        <f t="shared" si="62"/>
        <v>1054.955661496715</v>
      </c>
      <c r="BI106" s="59">
        <f ca="1">AVERAGE(OFFSET($BH$3,0,0,'Données projet'!$E$11+1,1))-AVERAGE(OFFSET($H$3,0,0,'Données projet'!$E$11+1,1))</f>
        <v>695.93700574708214</v>
      </c>
      <c r="BJ106" s="59">
        <f t="shared" si="92"/>
        <v>318.31690229208471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48.158201175935289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48.158201175935289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1.7053025658242404E-13</v>
      </c>
      <c r="BZ106" s="13">
        <f>BY106*VLOOKUP('Données projet'!$B$12,Paramètres!$A$1:$I$89,3,0)*VLOOKUP('Données projet'!$B$12,Paramètres!$A$1:$I$89,5,0)</f>
        <v>1.1173142411280423E-13</v>
      </c>
      <c r="CA106" s="13">
        <f t="shared" si="93"/>
        <v>1.6569896290553793E-12</v>
      </c>
      <c r="CB106" s="20">
        <f t="shared" si="64"/>
        <v>3.0805225009345862E-12</v>
      </c>
      <c r="CC106" s="59">
        <f t="shared" si="65"/>
        <v>277.35421584588158</v>
      </c>
      <c r="CD106" s="59">
        <f ca="1">AVERAGE(OFFSET($CC$3,0,0,'Données projet'!$E$12+1,1))-AVERAGE(OFFSET($H$3,0,0,'Données projet'!$E$12+1,1))</f>
        <v>260.25859566735949</v>
      </c>
      <c r="CE106" s="59">
        <f t="shared" si="94"/>
        <v>256.93649773468667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42.72887258296813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42.72887258296813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1.7053025658242404E-13</v>
      </c>
      <c r="CU106" s="17">
        <f>CT106*VLOOKUP('Données projet'!$B$13,Paramètres!$A$1:$I$89,3,0)*VLOOKUP('Données projet'!$B$13,Paramètres!$A$1:$I$89,5,0)</f>
        <v>1.1173142411280423E-13</v>
      </c>
      <c r="CV106" s="13">
        <f t="shared" si="95"/>
        <v>1.6569896290553793E-12</v>
      </c>
      <c r="CW106" s="20">
        <f t="shared" si="67"/>
        <v>3.0805225009345862E-12</v>
      </c>
      <c r="CX106" s="59">
        <f t="shared" si="68"/>
        <v>277.35421584588158</v>
      </c>
      <c r="CY106" s="59">
        <f ca="1">AVERAGE(OFFSET($CX$3,0,0,'Données projet'!$E$13+1,1))-AVERAGE(OFFSET($H$3,0,0,'Données projet'!$E$13+1,1))</f>
        <v>260.25859566735949</v>
      </c>
      <c r="CZ106" s="59">
        <f t="shared" si="96"/>
        <v>256.93649773468667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42.72887258296813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42.72887258296813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4.7720000000000002</v>
      </c>
      <c r="DO106" s="12">
        <f>IF('Données projet'!$A$166&gt;35,DO105+DN106-DW105,IF(A106&lt;'Données projet'!$A$166,$DL$205^A106,IF(A106='Données projet'!$A$166,'Données projet'!$B$166,DO105+DN106-DW105)))</f>
        <v>392.72999999999979</v>
      </c>
      <c r="DP106" s="17">
        <f>DO106*VLOOKUP('Données projet'!$B$14,Paramètres!$A$1:$I$89,3,0)*VLOOKUP('Données projet'!$B$14,Paramètres!$A$1:$I$89,5,0)</f>
        <v>224.64155999999988</v>
      </c>
      <c r="DQ106" s="13">
        <f t="shared" si="97"/>
        <v>55.122476738149778</v>
      </c>
      <c r="DR106" s="20">
        <f t="shared" si="70"/>
        <v>487.2556973189441</v>
      </c>
      <c r="DS106" s="59">
        <f t="shared" si="71"/>
        <v>764.60991316482261</v>
      </c>
      <c r="DT106" s="59">
        <f ca="1">AVERAGE(OFFSET($DS$3,0,0,'Données projet'!$E$14+1,1))-AVERAGE(OFFSET($H$3,0,0,'Données projet'!$E$14+1,1))</f>
        <v>349.56396446903</v>
      </c>
      <c r="DU106" s="59">
        <f t="shared" si="98"/>
        <v>270.64279448634522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26.009086273043003</v>
      </c>
      <c r="EB106" s="21">
        <f>EXP(-LN(2)/25)*EB105+(1-EXP(-LN(2)/25))/(LN(2)/25)*Calculateur!DW106*Calculateur!DY106*VLOOKUP('Données projet'!$B$14,Paramètres!$A$1:$I$89,3,0)*0.475*44/12</f>
        <v>17.930050846550856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43.939137119593859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375.89365709113105</v>
      </c>
      <c r="EP106" s="59">
        <f t="shared" si="100"/>
        <v>279.39056561403834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105.59180573305659</v>
      </c>
      <c r="EW106" s="21">
        <f>EXP(-LN(2)/25)*EW105+(1-EXP(-LN(2)/25))/(LN(2)/25)*Calculateur!ER106*Calculateur!ET106*VLOOKUP('Données projet'!$B$15,Paramètres!$A$1:$I$89,3,0)*0.475*44/12</f>
        <v>43.821269461889777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149.41307519494637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-1.1368683772161603E-13</v>
      </c>
      <c r="FF106" s="17">
        <f>FE106*VLOOKUP('Données projet'!$B$16,Paramètres!$A$1:$I$89,3,0)*VLOOKUP('Données projet'!$B$16,Paramètres!$A$1:$I$89,5,0)</f>
        <v>-6.7984728957526396E-14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319.29539841078537</v>
      </c>
      <c r="FK106" s="59">
        <f t="shared" si="102"/>
        <v>327.26871144121412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59.017249994212818</v>
      </c>
      <c r="FR106" s="21">
        <f>EXP(-LN(2)/25)*FR105+(1-EXP(-LN(2)/25))/(LN(2)/25)*Calculateur!FM106*Calculateur!FO106*VLOOKUP('Données projet'!$B$16,Paramètres!$A$1:$I$89,3,0)*0.475*44/12</f>
        <v>26.01271134161464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85.029961335827466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2.2737367544323206E-13</v>
      </c>
      <c r="GA106" s="17">
        <f>FZ106*VLOOKUP('Données projet'!$B$17,Paramètres!$A$1:$I$89,3,0)*VLOOKUP('Données projet'!$B$17,Paramètres!$A$1:$I$89,5,0)</f>
        <v>1.0049916454590858E-13</v>
      </c>
      <c r="GB106" s="13">
        <f t="shared" si="103"/>
        <v>1.5089081593838289E-12</v>
      </c>
      <c r="GC106" s="20">
        <f t="shared" si="79"/>
        <v>2.8030510891776262E-12</v>
      </c>
      <c r="GD106" s="59">
        <f t="shared" si="80"/>
        <v>277.3542158458813</v>
      </c>
      <c r="GE106" s="59">
        <f ca="1">AVERAGE(OFFSET($GD$3,0,0,'Données projet'!$E$17+1,1))-AVERAGE(OFFSET($H$3,0,0,'Données projet'!$E$17+1,1))</f>
        <v>342.89128067483233</v>
      </c>
      <c r="GF106" s="59">
        <f t="shared" si="104"/>
        <v>453.47615302202996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70.435170486532513</v>
      </c>
      <c r="GM106" s="21">
        <f>EXP(-LN(2)/25)*GM105+(1-EXP(-LN(2)/25))/(LN(2)/25)*Calculateur!GH106*Calculateur!GJ106*VLOOKUP('Données projet'!$B$17,Paramètres!$A$1:$I$89,3,0)*0.475*44/12</f>
        <v>35.6377521492645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106.07292263579701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65.64205886705777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>
        <f>GU106*VLOOKUP('Données projet'!$B$18,Paramètres!$A$1:$I$89,3,0)*VLOOKUP('Données projet'!$B$18,Paramètres!$A$1:$I$89,5,0)</f>
        <v>0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375.89365709113105</v>
      </c>
      <c r="HA106" s="59">
        <f t="shared" si="106"/>
        <v>279.39056561403834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105.59180573305659</v>
      </c>
      <c r="HH106" s="21">
        <f>EXP(-LN(2)/25)*HH105+(1-EXP(-LN(2)/25))/(LN(2)/25)*Calculateur!HC106*Calculateur!HE106*VLOOKUP('Données projet'!$B$18,Paramètres!$A$1:$I$89,3,0)*0.475*44/12</f>
        <v>43.821269461889777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149.41307519494637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178.09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330.62296800000041</v>
      </c>
      <c r="P107" s="13">
        <f t="shared" si="87"/>
        <v>77.559450151847827</v>
      </c>
      <c r="Q107" s="20">
        <f t="shared" si="107"/>
        <v>710.91771161446911</v>
      </c>
      <c r="R107" s="59">
        <f t="shared" si="55"/>
        <v>988.54912942480007</v>
      </c>
      <c r="S107" s="59">
        <f ca="1">AVERAGE(OFFSET($R$3,0,0,'Données projet'!$E$9+1,1))-AVERAGE(OFFSET($H$3,0,0,'Données projet'!$E$9+1,1))</f>
        <v>631.31712308065664</v>
      </c>
      <c r="T107" s="59">
        <f t="shared" si="88"/>
        <v>290.92244624361285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57.661865407845688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57.661865407845688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7.456999999999999</v>
      </c>
      <c r="AI107" s="13">
        <f>IF('Données projet'!$A$62&gt;35,AI106+AH107-AQ106,IF(A107&lt;'Données projet'!$A$62,$AF$205^A107,IF(A107='Données projet'!$A$62,'Données projet'!$B$62,AI106+AH107-AQ106)))</f>
        <v>270.66700000000003</v>
      </c>
      <c r="AJ107" s="13">
        <f>AI107*VLOOKUP('Données projet'!$B$10,Paramètres!$A$1:$I$89,3,0)*VLOOKUP('Données projet'!$B$10,Paramètres!$A$1:$I$89,5,0)</f>
        <v>228.00988080000005</v>
      </c>
      <c r="AK107" s="13">
        <f t="shared" si="89"/>
        <v>55.852153831597562</v>
      </c>
      <c r="AL107" s="20">
        <f t="shared" si="58"/>
        <v>494.39304365003255</v>
      </c>
      <c r="AM107" s="59">
        <f t="shared" si="59"/>
        <v>772.02446146036345</v>
      </c>
      <c r="AN107" s="59">
        <f ca="1">AVERAGE(OFFSET($AM$3,0,0,'Données projet'!$E$10+1,1))-AVERAGE(OFFSET($H$3,0,0,'Données projet'!$E$10+1,1))</f>
        <v>401.19166052471473</v>
      </c>
      <c r="AO107" s="59">
        <f t="shared" si="90"/>
        <v>271.10067497534271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47.125011843624783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47.125011843624783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370.5257400000005</v>
      </c>
      <c r="BF107" s="13">
        <f t="shared" si="91"/>
        <v>85.774854168850283</v>
      </c>
      <c r="BG107" s="20">
        <f t="shared" si="61"/>
        <v>794.72353484408177</v>
      </c>
      <c r="BH107" s="59">
        <f t="shared" si="62"/>
        <v>1072.3549526544127</v>
      </c>
      <c r="BI107" s="59">
        <f ca="1">AVERAGE(OFFSET($BH$3,0,0,'Données projet'!$E$11+1,1))-AVERAGE(OFFSET($H$3,0,0,'Données projet'!$E$11+1,1))</f>
        <v>695.93700574708214</v>
      </c>
      <c r="BJ107" s="59">
        <f t="shared" si="92"/>
        <v>318.31690229208471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64.621056060516736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64.621056060516736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1.7053025658242404E-13</v>
      </c>
      <c r="BZ107" s="13">
        <f>BY107*VLOOKUP('Données projet'!$B$12,Paramètres!$A$1:$I$89,3,0)*VLOOKUP('Données projet'!$B$12,Paramètres!$A$1:$I$89,5,0)</f>
        <v>1.1173142411280423E-13</v>
      </c>
      <c r="CA107" s="13">
        <f t="shared" si="93"/>
        <v>1.6569896290553793E-12</v>
      </c>
      <c r="CB107" s="20">
        <f t="shared" si="64"/>
        <v>3.0805225009345862E-12</v>
      </c>
      <c r="CC107" s="59">
        <f t="shared" si="65"/>
        <v>277.63141781033403</v>
      </c>
      <c r="CD107" s="59">
        <f ca="1">AVERAGE(OFFSET($CC$3,0,0,'Données projet'!$E$12+1,1))-AVERAGE(OFFSET($H$3,0,0,'Données projet'!$E$12+1,1))</f>
        <v>260.25859566735949</v>
      </c>
      <c r="CE107" s="59">
        <f t="shared" si="94"/>
        <v>256.93649773468667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41.890985453654984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41.890985453654984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1.7053025658242404E-13</v>
      </c>
      <c r="CU107" s="17">
        <f>CT107*VLOOKUP('Données projet'!$B$13,Paramètres!$A$1:$I$89,3,0)*VLOOKUP('Données projet'!$B$13,Paramètres!$A$1:$I$89,5,0)</f>
        <v>1.1173142411280423E-13</v>
      </c>
      <c r="CV107" s="13">
        <f t="shared" si="95"/>
        <v>1.6569896290553793E-12</v>
      </c>
      <c r="CW107" s="20">
        <f t="shared" si="67"/>
        <v>3.0805225009345862E-12</v>
      </c>
      <c r="CX107" s="59">
        <f t="shared" si="68"/>
        <v>277.63141781033403</v>
      </c>
      <c r="CY107" s="59">
        <f ca="1">AVERAGE(OFFSET($CX$3,0,0,'Données projet'!$E$13+1,1))-AVERAGE(OFFSET($H$3,0,0,'Données projet'!$E$13+1,1))</f>
        <v>260.25859566735949</v>
      </c>
      <c r="CZ107" s="59">
        <f t="shared" si="96"/>
        <v>256.93649773468667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41.890985453654984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41.890985453654984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4.7720000000000002</v>
      </c>
      <c r="DO107" s="12">
        <f>IF('Données projet'!$A$166&gt;35,DO106+DN107-DW106,IF(A107&lt;'Données projet'!$A$166,$DL$205^A107,IF(A107='Données projet'!$A$166,'Données projet'!$B$166,DO106+DN107-DW106)))</f>
        <v>397.50199999999978</v>
      </c>
      <c r="DP107" s="17">
        <f>DO107*VLOOKUP('Données projet'!$B$14,Paramètres!$A$1:$I$89,3,0)*VLOOKUP('Données projet'!$B$14,Paramètres!$A$1:$I$89,5,0)</f>
        <v>227.3711439999999</v>
      </c>
      <c r="DQ107" s="13">
        <f t="shared" si="97"/>
        <v>55.713881661653666</v>
      </c>
      <c r="DR107" s="20">
        <f t="shared" si="70"/>
        <v>493.0397530273799</v>
      </c>
      <c r="DS107" s="59">
        <f t="shared" si="71"/>
        <v>770.67117083771086</v>
      </c>
      <c r="DT107" s="59">
        <f ca="1">AVERAGE(OFFSET($DS$3,0,0,'Données projet'!$E$14+1,1))-AVERAGE(OFFSET($H$3,0,0,'Données projet'!$E$14+1,1))</f>
        <v>349.56396446903</v>
      </c>
      <c r="DU107" s="59">
        <f t="shared" si="98"/>
        <v>270.64279448634522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25.499063955204818</v>
      </c>
      <c r="EB107" s="21">
        <f>EXP(-LN(2)/25)*EB106+(1-EXP(-LN(2)/25))/(LN(2)/25)*Calculateur!DW107*Calculateur!DY107*VLOOKUP('Données projet'!$B$14,Paramètres!$A$1:$I$89,3,0)*0.475*44/12</f>
        <v>17.439752663251529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42.938816618456343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375.89365709113105</v>
      </c>
      <c r="EP107" s="59">
        <f t="shared" si="100"/>
        <v>279.39056561403834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103.52121482727341</v>
      </c>
      <c r="EW107" s="21">
        <f>EXP(-LN(2)/25)*EW106+(1-EXP(-LN(2)/25))/(LN(2)/25)*Calculateur!ER107*Calculateur!ET107*VLOOKUP('Données projet'!$B$15,Paramètres!$A$1:$I$89,3,0)*0.475*44/12</f>
        <v>42.622974543993998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146.1441893712674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-1.1368683772161603E-13</v>
      </c>
      <c r="FF107" s="17">
        <f>FE107*VLOOKUP('Données projet'!$B$16,Paramètres!$A$1:$I$89,3,0)*VLOOKUP('Données projet'!$B$16,Paramètres!$A$1:$I$89,5,0)</f>
        <v>-6.7984728957526396E-14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319.29539841078537</v>
      </c>
      <c r="FK107" s="59">
        <f t="shared" si="102"/>
        <v>327.26871144121412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57.859957718794398</v>
      </c>
      <c r="FR107" s="21">
        <f>EXP(-LN(2)/25)*FR106+(1-EXP(-LN(2)/25))/(LN(2)/25)*Calculateur!FM107*Calculateur!FO107*VLOOKUP('Données projet'!$B$16,Paramètres!$A$1:$I$89,3,0)*0.475*44/12</f>
        <v>25.30139238202915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83.16135010082354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2.2737367544323206E-13</v>
      </c>
      <c r="GA107" s="17">
        <f>FZ107*VLOOKUP('Données projet'!$B$17,Paramètres!$A$1:$I$89,3,0)*VLOOKUP('Données projet'!$B$17,Paramètres!$A$1:$I$89,5,0)</f>
        <v>1.0049916454590858E-13</v>
      </c>
      <c r="GB107" s="13">
        <f t="shared" si="103"/>
        <v>1.5089081593838289E-12</v>
      </c>
      <c r="GC107" s="20">
        <f t="shared" si="79"/>
        <v>2.8030510891776262E-12</v>
      </c>
      <c r="GD107" s="59">
        <f t="shared" si="80"/>
        <v>277.63141781033374</v>
      </c>
      <c r="GE107" s="59">
        <f ca="1">AVERAGE(OFFSET($GD$3,0,0,'Données projet'!$E$17+1,1))-AVERAGE(OFFSET($H$3,0,0,'Données projet'!$E$17+1,1))</f>
        <v>342.89128067483233</v>
      </c>
      <c r="GF107" s="59">
        <f t="shared" si="104"/>
        <v>453.47615302202996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69.053979754503544</v>
      </c>
      <c r="GM107" s="21">
        <f>EXP(-LN(2)/25)*GM106+(1-EXP(-LN(2)/25))/(LN(2)/25)*Calculateur!GH107*Calculateur!GJ107*VLOOKUP('Données projet'!$B$17,Paramètres!$A$1:$I$89,3,0)*0.475*44/12</f>
        <v>34.663235942634927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103.71721569713847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65.717659402817532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>
        <f>GU107*VLOOKUP('Données projet'!$B$18,Paramètres!$A$1:$I$89,3,0)*VLOOKUP('Données projet'!$B$18,Paramètres!$A$1:$I$89,5,0)</f>
        <v>0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375.89365709113105</v>
      </c>
      <c r="HA107" s="59">
        <f t="shared" si="106"/>
        <v>279.39056561403834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103.52121482727341</v>
      </c>
      <c r="HH107" s="21">
        <f>EXP(-LN(2)/25)*HH106+(1-EXP(-LN(2)/25))/(LN(2)/25)*Calculateur!HC107*Calculateur!HE107*VLOOKUP('Données projet'!$B$18,Paramètres!$A$1:$I$89,3,0)*0.475*44/12</f>
        <v>42.622974543993998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146.1441893712674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178.09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283.34264400000046</v>
      </c>
      <c r="P108" s="13">
        <f t="shared" si="87"/>
        <v>67.672917015543916</v>
      </c>
      <c r="Q108" s="20">
        <f t="shared" si="107"/>
        <v>611.3521021020731</v>
      </c>
      <c r="R108" s="59">
        <f t="shared" si="55"/>
        <v>889.25591304250406</v>
      </c>
      <c r="S108" s="59">
        <f ca="1">AVERAGE(OFFSET($R$3,0,0,'Données projet'!$E$9+1,1))-AVERAGE(OFFSET($H$3,0,0,'Données projet'!$E$9+1,1))</f>
        <v>631.31712308065664</v>
      </c>
      <c r="T108" s="59">
        <f t="shared" si="88"/>
        <v>290.92244624361285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56.531151397462956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56.531151397462956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7.456999999999999</v>
      </c>
      <c r="AI108" s="13">
        <f>IF('Données projet'!$A$62&gt;35,AI107+AH108-AQ107,IF(A108&lt;'Données projet'!$A$62,$AF$205^A108,IF(A108='Données projet'!$A$62,'Données projet'!$B$62,AI107+AH108-AQ107)))</f>
        <v>278.12400000000002</v>
      </c>
      <c r="AJ108" s="13">
        <f>AI108*VLOOKUP('Données projet'!$B$10,Paramètres!$A$1:$I$89,3,0)*VLOOKUP('Données projet'!$B$10,Paramètres!$A$1:$I$89,5,0)</f>
        <v>234.29165760000006</v>
      </c>
      <c r="AK108" s="13">
        <f t="shared" si="89"/>
        <v>57.209637433767824</v>
      </c>
      <c r="AL108" s="20">
        <f t="shared" si="58"/>
        <v>507.69808885047905</v>
      </c>
      <c r="AM108" s="59">
        <f t="shared" si="59"/>
        <v>785.60189979091001</v>
      </c>
      <c r="AN108" s="59">
        <f ca="1">AVERAGE(OFFSET($AM$3,0,0,'Données projet'!$E$10+1,1))-AVERAGE(OFFSET($H$3,0,0,'Données projet'!$E$10+1,1))</f>
        <v>401.19166052471473</v>
      </c>
      <c r="AO108" s="59">
        <f t="shared" si="90"/>
        <v>271.10067497534271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46.200919104790351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46.200919104790351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317.53917000000052</v>
      </c>
      <c r="BF108" s="13">
        <f t="shared" si="91"/>
        <v>74.841100302084755</v>
      </c>
      <c r="BG108" s="20">
        <f t="shared" si="61"/>
        <v>683.39563744279849</v>
      </c>
      <c r="BH108" s="59">
        <f t="shared" si="62"/>
        <v>961.29944838322945</v>
      </c>
      <c r="BI108" s="59">
        <f ca="1">AVERAGE(OFFSET($BH$3,0,0,'Données projet'!$E$11+1,1))-AVERAGE(OFFSET($H$3,0,0,'Données projet'!$E$11+1,1))</f>
        <v>695.93700574708214</v>
      </c>
      <c r="BJ108" s="59">
        <f t="shared" si="92"/>
        <v>318.31690229208471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63.353876566122295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63.353876566122295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1.7053025658242404E-13</v>
      </c>
      <c r="BZ108" s="13">
        <f>BY108*VLOOKUP('Données projet'!$B$12,Paramètres!$A$1:$I$89,3,0)*VLOOKUP('Données projet'!$B$12,Paramètres!$A$1:$I$89,5,0)</f>
        <v>1.1173142411280423E-13</v>
      </c>
      <c r="CA108" s="13">
        <f t="shared" si="93"/>
        <v>1.6569896290553793E-12</v>
      </c>
      <c r="CB108" s="20">
        <f t="shared" si="64"/>
        <v>3.0805225009345862E-12</v>
      </c>
      <c r="CC108" s="59">
        <f t="shared" si="65"/>
        <v>277.90381094043397</v>
      </c>
      <c r="CD108" s="59">
        <f ca="1">AVERAGE(OFFSET($CC$3,0,0,'Données projet'!$E$12+1,1))-AVERAGE(OFFSET($H$3,0,0,'Données projet'!$E$12+1,1))</f>
        <v>260.25859566735949</v>
      </c>
      <c r="CE108" s="59">
        <f t="shared" si="94"/>
        <v>256.93649773468667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41.069528779886987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41.069528779886987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1.7053025658242404E-13</v>
      </c>
      <c r="CU108" s="17">
        <f>CT108*VLOOKUP('Données projet'!$B$13,Paramètres!$A$1:$I$89,3,0)*VLOOKUP('Données projet'!$B$13,Paramètres!$A$1:$I$89,5,0)</f>
        <v>1.1173142411280423E-13</v>
      </c>
      <c r="CV108" s="13">
        <f t="shared" si="95"/>
        <v>1.6569896290553793E-12</v>
      </c>
      <c r="CW108" s="20">
        <f t="shared" si="67"/>
        <v>3.0805225009345862E-12</v>
      </c>
      <c r="CX108" s="59">
        <f t="shared" si="68"/>
        <v>277.90381094043397</v>
      </c>
      <c r="CY108" s="59">
        <f ca="1">AVERAGE(OFFSET($CX$3,0,0,'Données projet'!$E$13+1,1))-AVERAGE(OFFSET($H$3,0,0,'Données projet'!$E$13+1,1))</f>
        <v>260.25859566735949</v>
      </c>
      <c r="CZ108" s="59">
        <f t="shared" si="96"/>
        <v>256.93649773468667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41.069528779886987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41.069528779886987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4.7720000000000002</v>
      </c>
      <c r="DO108" s="12">
        <f>IF('Données projet'!$A$166&gt;35,DO107+DN108-DW107,IF(A108&lt;'Données projet'!$A$166,$DL$205^A108,IF(A108='Données projet'!$A$166,'Données projet'!$B$166,DO107+DN108-DW107)))</f>
        <v>402.27399999999977</v>
      </c>
      <c r="DP108" s="17">
        <f>DO108*VLOOKUP('Données projet'!$B$14,Paramètres!$A$1:$I$89,3,0)*VLOOKUP('Données projet'!$B$14,Paramètres!$A$1:$I$89,5,0)</f>
        <v>230.10072799999986</v>
      </c>
      <c r="DQ108" s="13">
        <f t="shared" si="97"/>
        <v>56.304460724717941</v>
      </c>
      <c r="DR108" s="20">
        <f t="shared" si="70"/>
        <v>498.82237036221676</v>
      </c>
      <c r="DS108" s="59">
        <f t="shared" si="71"/>
        <v>776.72618130264766</v>
      </c>
      <c r="DT108" s="59">
        <f ca="1">AVERAGE(OFFSET($DS$3,0,0,'Données projet'!$E$14+1,1))-AVERAGE(OFFSET($H$3,0,0,'Données projet'!$E$14+1,1))</f>
        <v>349.56396446903</v>
      </c>
      <c r="DU108" s="59">
        <f t="shared" si="98"/>
        <v>270.64279448634522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24.999042863936545</v>
      </c>
      <c r="EB108" s="21">
        <f>EXP(-LN(2)/25)*EB107+(1-EXP(-LN(2)/25))/(LN(2)/25)*Calculateur!DW108*Calculateur!DY108*VLOOKUP('Données projet'!$B$14,Paramètres!$A$1:$I$89,3,0)*0.475*44/12</f>
        <v>16.962861709558183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41.961904573494728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375.89365709113105</v>
      </c>
      <c r="EP108" s="59">
        <f t="shared" si="100"/>
        <v>279.39056561403834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101.4912269462169</v>
      </c>
      <c r="EW108" s="21">
        <f>EXP(-LN(2)/25)*EW107+(1-EXP(-LN(2)/25))/(LN(2)/25)*Calculateur!ER108*Calculateur!ET108*VLOOKUP('Données projet'!$B$15,Paramètres!$A$1:$I$89,3,0)*0.475*44/12</f>
        <v>41.45744706364367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142.94867400986055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-1.1368683772161603E-13</v>
      </c>
      <c r="FF108" s="17">
        <f>FE108*VLOOKUP('Données projet'!$B$16,Paramètres!$A$1:$I$89,3,0)*VLOOKUP('Données projet'!$B$16,Paramètres!$A$1:$I$89,5,0)</f>
        <v>-6.7984728957526396E-14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319.29539841078537</v>
      </c>
      <c r="FK108" s="59">
        <f t="shared" si="102"/>
        <v>327.26871144121412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56.725359239018346</v>
      </c>
      <c r="FR108" s="21">
        <f>EXP(-LN(2)/25)*FR107+(1-EXP(-LN(2)/25))/(LN(2)/25)*Calculateur!FM108*Calculateur!FO108*VLOOKUP('Données projet'!$B$16,Paramètres!$A$1:$I$89,3,0)*0.475*44/12</f>
        <v>24.609524476800164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81.334883715818506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2.2737367544323206E-13</v>
      </c>
      <c r="GA108" s="17">
        <f>FZ108*VLOOKUP('Données projet'!$B$17,Paramètres!$A$1:$I$89,3,0)*VLOOKUP('Données projet'!$B$17,Paramètres!$A$1:$I$89,5,0)</f>
        <v>1.0049916454590858E-13</v>
      </c>
      <c r="GB108" s="13">
        <f t="shared" si="103"/>
        <v>1.5089081593838289E-12</v>
      </c>
      <c r="GC108" s="20">
        <f t="shared" si="79"/>
        <v>2.8030510891776262E-12</v>
      </c>
      <c r="GD108" s="59">
        <f t="shared" si="80"/>
        <v>277.90381094043369</v>
      </c>
      <c r="GE108" s="59">
        <f ca="1">AVERAGE(OFFSET($GD$3,0,0,'Données projet'!$E$17+1,1))-AVERAGE(OFFSET($H$3,0,0,'Données projet'!$E$17+1,1))</f>
        <v>342.89128067483233</v>
      </c>
      <c r="GF108" s="59">
        <f t="shared" si="104"/>
        <v>453.47615302202996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67.699873330286493</v>
      </c>
      <c r="GM108" s="21">
        <f>EXP(-LN(2)/25)*GM107+(1-EXP(-LN(2)/25))/(LN(2)/25)*Calculateur!GH108*Calculateur!GJ108*VLOOKUP('Données projet'!$B$17,Paramètres!$A$1:$I$89,3,0)*0.475*44/12</f>
        <v>33.715367932923222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101.41524126320971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65.791948438299343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>
        <f>GU108*VLOOKUP('Données projet'!$B$18,Paramètres!$A$1:$I$89,3,0)*VLOOKUP('Données projet'!$B$18,Paramètres!$A$1:$I$89,5,0)</f>
        <v>0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375.89365709113105</v>
      </c>
      <c r="HA108" s="59">
        <f t="shared" si="106"/>
        <v>279.39056561403834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101.4912269462169</v>
      </c>
      <c r="HH108" s="21">
        <f>EXP(-LN(2)/25)*HH107+(1-EXP(-LN(2)/25))/(LN(2)/25)*Calculateur!HC108*Calculateur!HE108*VLOOKUP('Données projet'!$B$18,Paramètres!$A$1:$I$89,3,0)*0.475*44/12</f>
        <v>41.45744706364367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142.94867400986055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178.09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290.52223200000043</v>
      </c>
      <c r="P109" s="13">
        <f t="shared" si="87"/>
        <v>69.185862279978352</v>
      </c>
      <c r="Q109" s="20">
        <f t="shared" si="107"/>
        <v>626.49159753762979</v>
      </c>
      <c r="R109" s="59">
        <f t="shared" si="55"/>
        <v>904.66307619633324</v>
      </c>
      <c r="S109" s="59">
        <f ca="1">AVERAGE(OFFSET($R$3,0,0,'Données projet'!$E$9+1,1))-AVERAGE(OFFSET($H$3,0,0,'Données projet'!$E$9+1,1))</f>
        <v>631.31712308065664</v>
      </c>
      <c r="T109" s="59">
        <f t="shared" si="88"/>
        <v>290.92244624361285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55.422609999156386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55.422609999156386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7.456999999999999</v>
      </c>
      <c r="AI109" s="13">
        <f>IF('Données projet'!$A$62&gt;35,AI108+AH109-AQ108,IF(A109&lt;'Données projet'!$A$62,$AF$205^A109,IF(A109='Données projet'!$A$62,'Données projet'!$B$62,AI108+AH109-AQ108)))</f>
        <v>285.58100000000002</v>
      </c>
      <c r="AJ109" s="13">
        <f>AI109*VLOOKUP('Données projet'!$B$10,Paramètres!$A$1:$I$89,3,0)*VLOOKUP('Données projet'!$B$10,Paramètres!$A$1:$I$89,5,0)</f>
        <v>240.57343440000005</v>
      </c>
      <c r="AK109" s="13">
        <f t="shared" si="89"/>
        <v>58.562890545465834</v>
      </c>
      <c r="AL109" s="20">
        <f t="shared" si="58"/>
        <v>520.99576594668645</v>
      </c>
      <c r="AM109" s="59">
        <f t="shared" si="59"/>
        <v>799.1672446053899</v>
      </c>
      <c r="AN109" s="59">
        <f ca="1">AVERAGE(OFFSET($AM$3,0,0,'Données projet'!$E$10+1,1))-AVERAGE(OFFSET($H$3,0,0,'Données projet'!$E$10+1,1))</f>
        <v>401.19166052471473</v>
      </c>
      <c r="AO109" s="59">
        <f t="shared" si="90"/>
        <v>271.10067497534271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45.294947260923543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45.294947260923543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325.58526000000052</v>
      </c>
      <c r="BF109" s="13">
        <f t="shared" si="91"/>
        <v>76.514302718659977</v>
      </c>
      <c r="BG109" s="20">
        <f t="shared" si="61"/>
        <v>700.32340506833361</v>
      </c>
      <c r="BH109" s="59">
        <f t="shared" si="62"/>
        <v>978.49488372703706</v>
      </c>
      <c r="BI109" s="59">
        <f ca="1">AVERAGE(OFFSET($BH$3,0,0,'Données projet'!$E$11+1,1))-AVERAGE(OFFSET($H$3,0,0,'Données projet'!$E$11+1,1))</f>
        <v>695.93700574708214</v>
      </c>
      <c r="BJ109" s="59">
        <f t="shared" si="92"/>
        <v>318.31690229208471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62.111545688709754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62.111545688709754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1.7053025658242404E-13</v>
      </c>
      <c r="BZ109" s="13">
        <f>BY109*VLOOKUP('Données projet'!$B$12,Paramètres!$A$1:$I$89,3,0)*VLOOKUP('Données projet'!$B$12,Paramètres!$A$1:$I$89,5,0)</f>
        <v>1.1173142411280423E-13</v>
      </c>
      <c r="CA109" s="13">
        <f t="shared" si="93"/>
        <v>1.6569896290553793E-12</v>
      </c>
      <c r="CB109" s="20">
        <f t="shared" si="64"/>
        <v>3.0805225009345862E-12</v>
      </c>
      <c r="CC109" s="59">
        <f t="shared" si="65"/>
        <v>278.17147865870652</v>
      </c>
      <c r="CD109" s="59">
        <f ca="1">AVERAGE(OFFSET($CC$3,0,0,'Données projet'!$E$12+1,1))-AVERAGE(OFFSET($H$3,0,0,'Données projet'!$E$12+1,1))</f>
        <v>260.25859566735949</v>
      </c>
      <c r="CE109" s="59">
        <f t="shared" si="94"/>
        <v>256.93649773468667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40.264180370452486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40.264180370452486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1.7053025658242404E-13</v>
      </c>
      <c r="CU109" s="17">
        <f>CT109*VLOOKUP('Données projet'!$B$13,Paramètres!$A$1:$I$89,3,0)*VLOOKUP('Données projet'!$B$13,Paramètres!$A$1:$I$89,5,0)</f>
        <v>1.1173142411280423E-13</v>
      </c>
      <c r="CV109" s="13">
        <f t="shared" si="95"/>
        <v>1.6569896290553793E-12</v>
      </c>
      <c r="CW109" s="20">
        <f t="shared" si="67"/>
        <v>3.0805225009345862E-12</v>
      </c>
      <c r="CX109" s="59">
        <f t="shared" si="68"/>
        <v>278.17147865870652</v>
      </c>
      <c r="CY109" s="59">
        <f ca="1">AVERAGE(OFFSET($CX$3,0,0,'Données projet'!$E$13+1,1))-AVERAGE(OFFSET($H$3,0,0,'Données projet'!$E$13+1,1))</f>
        <v>260.25859566735949</v>
      </c>
      <c r="CZ109" s="59">
        <f t="shared" si="96"/>
        <v>256.93649773468667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40.264180370452486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40.264180370452486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4.7720000000000002</v>
      </c>
      <c r="DO109" s="12">
        <f>IF('Données projet'!$A$166&gt;35,DO108+DN109-DW108,IF(A109&lt;'Données projet'!$A$166,$DL$205^A109,IF(A109='Données projet'!$A$166,'Données projet'!$B$166,DO108+DN109-DW108)))</f>
        <v>407.04599999999976</v>
      </c>
      <c r="DP109" s="17">
        <f>DO109*VLOOKUP('Données projet'!$B$14,Paramètres!$A$1:$I$89,3,0)*VLOOKUP('Données projet'!$B$14,Paramètres!$A$1:$I$89,5,0)</f>
        <v>232.83031199999988</v>
      </c>
      <c r="DQ109" s="13">
        <f t="shared" si="97"/>
        <v>56.894224857480602</v>
      </c>
      <c r="DR109" s="20">
        <f t="shared" si="70"/>
        <v>504.60356836011186</v>
      </c>
      <c r="DS109" s="59">
        <f t="shared" si="71"/>
        <v>782.77504701881526</v>
      </c>
      <c r="DT109" s="59">
        <f ca="1">AVERAGE(OFFSET($DS$3,0,0,'Données projet'!$E$14+1,1))-AVERAGE(OFFSET($H$3,0,0,'Données projet'!$E$14+1,1))</f>
        <v>349.56396446903</v>
      </c>
      <c r="DU109" s="59">
        <f t="shared" si="98"/>
        <v>270.64279448634522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24.508826881285291</v>
      </c>
      <c r="EB109" s="21">
        <f>EXP(-LN(2)/25)*EB108+(1-EXP(-LN(2)/25))/(LN(2)/25)*Calculateur!DW109*Calculateur!DY109*VLOOKUP('Données projet'!$B$14,Paramètres!$A$1:$I$89,3,0)*0.475*44/12</f>
        <v>16.499011364072185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41.007838245357476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375.89365709113105</v>
      </c>
      <c r="EP109" s="59">
        <f t="shared" si="100"/>
        <v>279.39056561403834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99.501045889337561</v>
      </c>
      <c r="EW109" s="21">
        <f>EXP(-LN(2)/25)*EW108+(1-EXP(-LN(2)/25))/(LN(2)/25)*Calculateur!ER109*Calculateur!ET109*VLOOKUP('Données projet'!$B$15,Paramètres!$A$1:$I$89,3,0)*0.475*44/12</f>
        <v>40.323790993535944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139.82483688287351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-1.1368683772161603E-13</v>
      </c>
      <c r="FF109" s="17">
        <f>FE109*VLOOKUP('Données projet'!$B$16,Paramètres!$A$1:$I$89,3,0)*VLOOKUP('Données projet'!$B$16,Paramètres!$A$1:$I$89,5,0)</f>
        <v>-6.7984728957526396E-14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319.29539841078537</v>
      </c>
      <c r="FK109" s="59">
        <f t="shared" si="102"/>
        <v>327.26871144121412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55.613009543393957</v>
      </c>
      <c r="FR109" s="21">
        <f>EXP(-LN(2)/25)*FR108+(1-EXP(-LN(2)/25))/(LN(2)/25)*Calculateur!FM109*Calculateur!FO109*VLOOKUP('Données projet'!$B$16,Paramètres!$A$1:$I$89,3,0)*0.475*44/12</f>
        <v>23.936575735823418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79.549585279217382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2.2737367544323206E-13</v>
      </c>
      <c r="GA109" s="17">
        <f>FZ109*VLOOKUP('Données projet'!$B$17,Paramètres!$A$1:$I$89,3,0)*VLOOKUP('Données projet'!$B$17,Paramètres!$A$1:$I$89,5,0)</f>
        <v>1.0049916454590858E-13</v>
      </c>
      <c r="GB109" s="13">
        <f t="shared" si="103"/>
        <v>1.5089081593838289E-12</v>
      </c>
      <c r="GC109" s="20">
        <f t="shared" si="79"/>
        <v>2.8030510891776262E-12</v>
      </c>
      <c r="GD109" s="59">
        <f t="shared" si="80"/>
        <v>278.17147865870623</v>
      </c>
      <c r="GE109" s="59">
        <f ca="1">AVERAGE(OFFSET($GD$3,0,0,'Données projet'!$E$17+1,1))-AVERAGE(OFFSET($H$3,0,0,'Données projet'!$E$17+1,1))</f>
        <v>342.89128067483233</v>
      </c>
      <c r="GF109" s="59">
        <f t="shared" si="104"/>
        <v>453.47615302202996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66.372320107124978</v>
      </c>
      <c r="GM109" s="21">
        <f>EXP(-LN(2)/25)*GM108+(1-EXP(-LN(2)/25))/(LN(2)/25)*Calculateur!GH109*Calculateur!GJ109*VLOOKUP('Données projet'!$B$17,Paramètres!$A$1:$I$89,3,0)*0.475*44/12</f>
        <v>32.793419423783291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99.165739530908269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65.864948725100945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>
        <f>GU109*VLOOKUP('Données projet'!$B$18,Paramètres!$A$1:$I$89,3,0)*VLOOKUP('Données projet'!$B$18,Paramètres!$A$1:$I$89,5,0)</f>
        <v>0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375.89365709113105</v>
      </c>
      <c r="HA109" s="59">
        <f t="shared" si="106"/>
        <v>279.39056561403834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99.501045889337561</v>
      </c>
      <c r="HH109" s="21">
        <f>EXP(-LN(2)/25)*HH108+(1-EXP(-LN(2)/25))/(LN(2)/25)*Calculateur!HC109*Calculateur!HE109*VLOOKUP('Données projet'!$B$18,Paramètres!$A$1:$I$89,3,0)*0.475*44/12</f>
        <v>40.323790993535944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139.82483688287351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178.09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297.70182000000045</v>
      </c>
      <c r="P110" s="13">
        <f t="shared" si="87"/>
        <v>70.69446125561177</v>
      </c>
      <c r="Q110" s="20">
        <f t="shared" si="107"/>
        <v>641.62352318685794</v>
      </c>
      <c r="R110" s="59">
        <f t="shared" si="55"/>
        <v>920.05802612733737</v>
      </c>
      <c r="S110" s="59">
        <f ca="1">AVERAGE(OFFSET($R$3,0,0,'Données projet'!$E$9+1,1))-AVERAGE(OFFSET($H$3,0,0,'Données projet'!$E$9+1,1))</f>
        <v>631.31712308065664</v>
      </c>
      <c r="T110" s="59">
        <f t="shared" si="88"/>
        <v>290.92244624361285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54.335806421527117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54.335806421527117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7.456999999999999</v>
      </c>
      <c r="AI110" s="13">
        <f>IF('Données projet'!$A$62&gt;35,AI109+AH110-AQ109,IF(A110&lt;'Données projet'!$A$62,$AF$205^A110,IF(A110='Données projet'!$A$62,'Données projet'!$B$62,AI109+AH110-AQ109)))</f>
        <v>293.03800000000001</v>
      </c>
      <c r="AJ110" s="13">
        <f>AI110*VLOOKUP('Données projet'!$B$10,Paramètres!$A$1:$I$89,3,0)*VLOOKUP('Données projet'!$B$10,Paramètres!$A$1:$I$89,5,0)</f>
        <v>246.85521120000001</v>
      </c>
      <c r="AK110" s="13">
        <f t="shared" si="89"/>
        <v>59.912036331165396</v>
      </c>
      <c r="AL110" s="20">
        <f t="shared" si="58"/>
        <v>534.28628945011303</v>
      </c>
      <c r="AM110" s="59">
        <f t="shared" si="59"/>
        <v>812.72079239059235</v>
      </c>
      <c r="AN110" s="59">
        <f ca="1">AVERAGE(OFFSET($AM$3,0,0,'Données projet'!$E$10+1,1))-AVERAGE(OFFSET($H$3,0,0,'Données projet'!$E$10+1,1))</f>
        <v>401.19166052471473</v>
      </c>
      <c r="AO110" s="59">
        <f t="shared" si="90"/>
        <v>271.10067497534271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44.406740972326702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44.406740972326702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333.63135000000051</v>
      </c>
      <c r="BF110" s="13">
        <f t="shared" si="91"/>
        <v>78.182698470317533</v>
      </c>
      <c r="BG110" s="20">
        <f t="shared" si="61"/>
        <v>717.24280108580388</v>
      </c>
      <c r="BH110" s="59">
        <f t="shared" si="62"/>
        <v>995.67730402628331</v>
      </c>
      <c r="BI110" s="59">
        <f ca="1">AVERAGE(OFFSET($BH$3,0,0,'Données projet'!$E$11+1,1))-AVERAGE(OFFSET($H$3,0,0,'Données projet'!$E$11+1,1))</f>
        <v>695.93700574708214</v>
      </c>
      <c r="BJ110" s="59">
        <f t="shared" si="92"/>
        <v>318.31690229208471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60.893576162056263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60.893576162056263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1.7053025658242404E-13</v>
      </c>
      <c r="BZ110" s="13">
        <f>BY110*VLOOKUP('Données projet'!$B$12,Paramètres!$A$1:$I$89,3,0)*VLOOKUP('Données projet'!$B$12,Paramètres!$A$1:$I$89,5,0)</f>
        <v>1.1173142411280423E-13</v>
      </c>
      <c r="CA110" s="13">
        <f t="shared" si="93"/>
        <v>1.6569896290553793E-12</v>
      </c>
      <c r="CB110" s="20">
        <f t="shared" si="64"/>
        <v>3.0805225009345862E-12</v>
      </c>
      <c r="CC110" s="59">
        <f t="shared" si="65"/>
        <v>278.43450294048245</v>
      </c>
      <c r="CD110" s="59">
        <f ca="1">AVERAGE(OFFSET($CC$3,0,0,'Données projet'!$E$12+1,1))-AVERAGE(OFFSET($H$3,0,0,'Données projet'!$E$12+1,1))</f>
        <v>260.25859566735949</v>
      </c>
      <c r="CE110" s="59">
        <f t="shared" si="94"/>
        <v>256.93649773468667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39.474624352112968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39.474624352112968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1.7053025658242404E-13</v>
      </c>
      <c r="CU110" s="17">
        <f>CT110*VLOOKUP('Données projet'!$B$13,Paramètres!$A$1:$I$89,3,0)*VLOOKUP('Données projet'!$B$13,Paramètres!$A$1:$I$89,5,0)</f>
        <v>1.1173142411280423E-13</v>
      </c>
      <c r="CV110" s="13">
        <f t="shared" si="95"/>
        <v>1.6569896290553793E-12</v>
      </c>
      <c r="CW110" s="20">
        <f t="shared" si="67"/>
        <v>3.0805225009345862E-12</v>
      </c>
      <c r="CX110" s="59">
        <f t="shared" si="68"/>
        <v>278.43450294048245</v>
      </c>
      <c r="CY110" s="59">
        <f ca="1">AVERAGE(OFFSET($CX$3,0,0,'Données projet'!$E$13+1,1))-AVERAGE(OFFSET($H$3,0,0,'Données projet'!$E$13+1,1))</f>
        <v>260.25859566735949</v>
      </c>
      <c r="CZ110" s="59">
        <f t="shared" si="96"/>
        <v>256.93649773468667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39.474624352112968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39.474624352112968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4.7720000000000002</v>
      </c>
      <c r="DO110" s="12">
        <f>IF('Données projet'!$A$166&gt;35,DO109+DN110-DW109,IF(A110&lt;'Données projet'!$A$166,$DL$205^A110,IF(A110='Données projet'!$A$166,'Données projet'!$B$166,DO109+DN110-DW109)))</f>
        <v>411.81799999999976</v>
      </c>
      <c r="DP110" s="17">
        <f>DO110*VLOOKUP('Données projet'!$B$14,Paramètres!$A$1:$I$89,3,0)*VLOOKUP('Données projet'!$B$14,Paramètres!$A$1:$I$89,5,0)</f>
        <v>235.5598959999999</v>
      </c>
      <c r="DQ110" s="13">
        <f t="shared" si="97"/>
        <v>57.483184719051643</v>
      </c>
      <c r="DR110" s="20">
        <f t="shared" si="70"/>
        <v>510.38336558568136</v>
      </c>
      <c r="DS110" s="59">
        <f t="shared" si="71"/>
        <v>788.81786852616074</v>
      </c>
      <c r="DT110" s="59">
        <f ca="1">AVERAGE(OFFSET($DS$3,0,0,'Données projet'!$E$14+1,1))-AVERAGE(OFFSET($H$3,0,0,'Données projet'!$E$14+1,1))</f>
        <v>349.56396446903</v>
      </c>
      <c r="DU110" s="59">
        <f t="shared" si="98"/>
        <v>270.64279448634522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24.028223735051601</v>
      </c>
      <c r="EB110" s="21">
        <f>EXP(-LN(2)/25)*EB109+(1-EXP(-LN(2)/25))/(LN(2)/25)*Calculateur!DW110*Calculateur!DY110*VLOOKUP('Données projet'!$B$14,Paramètres!$A$1:$I$89,3,0)*0.475*44/12</f>
        <v>16.047845030676331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40.076068765727932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375.89365709113105</v>
      </c>
      <c r="EP110" s="59">
        <f t="shared" si="100"/>
        <v>279.39056561403834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97.549891069093036</v>
      </c>
      <c r="EW110" s="21">
        <f>EXP(-LN(2)/25)*EW109+(1-EXP(-LN(2)/25))/(LN(2)/25)*Calculateur!ER110*Calculateur!ET110*VLOOKUP('Données projet'!$B$15,Paramètres!$A$1:$I$89,3,0)*0.475*44/12</f>
        <v>39.221134808281697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136.77102587737474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-1.1368683772161603E-13</v>
      </c>
      <c r="FF110" s="17">
        <f>FE110*VLOOKUP('Données projet'!$B$16,Paramètres!$A$1:$I$89,3,0)*VLOOKUP('Données projet'!$B$16,Paramètres!$A$1:$I$89,5,0)</f>
        <v>-6.7984728957526396E-14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319.29539841078537</v>
      </c>
      <c r="FK110" s="59">
        <f t="shared" si="102"/>
        <v>327.26871144121412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54.522472346834441</v>
      </c>
      <c r="FR110" s="21">
        <f>EXP(-LN(2)/25)*FR109+(1-EXP(-LN(2)/25))/(LN(2)/25)*Calculateur!FM110*Calculateur!FO110*VLOOKUP('Données projet'!$B$16,Paramètres!$A$1:$I$89,3,0)*0.475*44/12</f>
        <v>23.282028813557517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77.804501160391965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2.2737367544323206E-13</v>
      </c>
      <c r="GA110" s="17">
        <f>FZ110*VLOOKUP('Données projet'!$B$17,Paramètres!$A$1:$I$89,3,0)*VLOOKUP('Données projet'!$B$17,Paramètres!$A$1:$I$89,5,0)</f>
        <v>1.0049916454590858E-13</v>
      </c>
      <c r="GB110" s="13">
        <f t="shared" si="103"/>
        <v>1.5089081593838289E-12</v>
      </c>
      <c r="GC110" s="20">
        <f t="shared" si="79"/>
        <v>2.8030510891776262E-12</v>
      </c>
      <c r="GD110" s="59">
        <f t="shared" si="80"/>
        <v>278.43450294048216</v>
      </c>
      <c r="GE110" s="59">
        <f ca="1">AVERAGE(OFFSET($GD$3,0,0,'Données projet'!$E$17+1,1))-AVERAGE(OFFSET($H$3,0,0,'Données projet'!$E$17+1,1))</f>
        <v>342.89128067483233</v>
      </c>
      <c r="GF110" s="59">
        <f t="shared" si="104"/>
        <v>453.47615302202996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65.070799392942149</v>
      </c>
      <c r="GM110" s="21">
        <f>EXP(-LN(2)/25)*GM109+(1-EXP(-LN(2)/25))/(LN(2)/25)*Calculateur!GH110*Calculateur!GJ110*VLOOKUP('Données projet'!$B$17,Paramètres!$A$1:$I$89,3,0)*0.475*44/12</f>
        <v>31.896681645108959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96.967481038051105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65.936682620130739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>
        <f>GU110*VLOOKUP('Données projet'!$B$18,Paramètres!$A$1:$I$89,3,0)*VLOOKUP('Données projet'!$B$18,Paramètres!$A$1:$I$89,5,0)</f>
        <v>0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375.89365709113105</v>
      </c>
      <c r="HA110" s="59">
        <f t="shared" si="106"/>
        <v>279.39056561403834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97.549891069093036</v>
      </c>
      <c r="HH110" s="21">
        <f>EXP(-LN(2)/25)*HH109+(1-EXP(-LN(2)/25))/(LN(2)/25)*Calculateur!HC110*Calculateur!HE110*VLOOKUP('Données projet'!$B$18,Paramètres!$A$1:$I$89,3,0)*0.475*44/12</f>
        <v>39.221134808281697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136.77102587737474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178.09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304.88140800000042</v>
      </c>
      <c r="P111" s="13">
        <f t="shared" si="87"/>
        <v>72.198830820277394</v>
      </c>
      <c r="Q111" s="20">
        <f t="shared" si="107"/>
        <v>656.74808261198393</v>
      </c>
      <c r="R111" s="59">
        <f t="shared" si="55"/>
        <v>935.44104695098463</v>
      </c>
      <c r="S111" s="59">
        <f ca="1">AVERAGE(OFFSET($R$3,0,0,'Données projet'!$E$9+1,1))-AVERAGE(OFFSET($H$3,0,0,'Données projet'!$E$9+1,1))</f>
        <v>631.31712308065664</v>
      </c>
      <c r="T111" s="59">
        <f t="shared" si="88"/>
        <v>290.92244624361285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53.270314399170431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53.270314399170431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7.456999999999999</v>
      </c>
      <c r="AI111" s="13">
        <f>IF('Données projet'!$A$62&gt;35,AI110+AH111-AQ110,IF(A111&lt;'Données projet'!$A$62,$AF$205^A111,IF(A111='Données projet'!$A$62,'Données projet'!$B$62,AI110+AH111-AQ110)))</f>
        <v>300.495</v>
      </c>
      <c r="AJ111" s="13">
        <f>AI111*VLOOKUP('Données projet'!$B$10,Paramètres!$A$1:$I$89,3,0)*VLOOKUP('Données projet'!$B$10,Paramètres!$A$1:$I$89,5,0)</f>
        <v>253.13698800000003</v>
      </c>
      <c r="AK111" s="13">
        <f t="shared" si="89"/>
        <v>61.257191329793066</v>
      </c>
      <c r="AL111" s="20">
        <f t="shared" si="58"/>
        <v>547.56986233272289</v>
      </c>
      <c r="AM111" s="59">
        <f t="shared" si="59"/>
        <v>826.26282667172359</v>
      </c>
      <c r="AN111" s="59">
        <f ca="1">AVERAGE(OFFSET($AM$3,0,0,'Données projet'!$E$10+1,1))-AVERAGE(OFFSET($H$3,0,0,'Données projet'!$E$10+1,1))</f>
        <v>401.19166052471473</v>
      </c>
      <c r="AO111" s="59">
        <f t="shared" si="90"/>
        <v>271.10067497534271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43.535951867296902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43.535951867296902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341.6774400000005</v>
      </c>
      <c r="BF111" s="13">
        <f t="shared" si="91"/>
        <v>79.846416815053246</v>
      </c>
      <c r="BG111" s="20">
        <f t="shared" si="61"/>
        <v>734.15405061955198</v>
      </c>
      <c r="BH111" s="59">
        <f t="shared" si="62"/>
        <v>1012.8470149585526</v>
      </c>
      <c r="BI111" s="59">
        <f ca="1">AVERAGE(OFFSET($BH$3,0,0,'Données projet'!$E$11+1,1))-AVERAGE(OFFSET($H$3,0,0,'Données projet'!$E$11+1,1))</f>
        <v>695.93700574708214</v>
      </c>
      <c r="BJ111" s="59">
        <f t="shared" si="92"/>
        <v>318.31690229208471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59.699490274932387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59.699490274932387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1.7053025658242404E-13</v>
      </c>
      <c r="BZ111" s="13">
        <f>BY111*VLOOKUP('Données projet'!$B$12,Paramètres!$A$1:$I$89,3,0)*VLOOKUP('Données projet'!$B$12,Paramètres!$A$1:$I$89,5,0)</f>
        <v>1.1173142411280423E-13</v>
      </c>
      <c r="CA111" s="13">
        <f t="shared" si="93"/>
        <v>1.6569896290553793E-12</v>
      </c>
      <c r="CB111" s="20">
        <f t="shared" si="64"/>
        <v>3.0805225009345862E-12</v>
      </c>
      <c r="CC111" s="59">
        <f t="shared" si="65"/>
        <v>278.69296433900371</v>
      </c>
      <c r="CD111" s="59">
        <f ca="1">AVERAGE(OFFSET($CC$3,0,0,'Données projet'!$E$12+1,1))-AVERAGE(OFFSET($H$3,0,0,'Données projet'!$E$12+1,1))</f>
        <v>260.25859566735949</v>
      </c>
      <c r="CE111" s="59">
        <f t="shared" si="94"/>
        <v>256.93649773468667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38.700551045711471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38.700551045711471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1.7053025658242404E-13</v>
      </c>
      <c r="CU111" s="17">
        <f>CT111*VLOOKUP('Données projet'!$B$13,Paramètres!$A$1:$I$89,3,0)*VLOOKUP('Données projet'!$B$13,Paramètres!$A$1:$I$89,5,0)</f>
        <v>1.1173142411280423E-13</v>
      </c>
      <c r="CV111" s="13">
        <f t="shared" si="95"/>
        <v>1.6569896290553793E-12</v>
      </c>
      <c r="CW111" s="20">
        <f t="shared" si="67"/>
        <v>3.0805225009345862E-12</v>
      </c>
      <c r="CX111" s="59">
        <f t="shared" si="68"/>
        <v>278.69296433900371</v>
      </c>
      <c r="CY111" s="59">
        <f ca="1">AVERAGE(OFFSET($CX$3,0,0,'Données projet'!$E$13+1,1))-AVERAGE(OFFSET($H$3,0,0,'Données projet'!$E$13+1,1))</f>
        <v>260.25859566735949</v>
      </c>
      <c r="CZ111" s="59">
        <f t="shared" si="96"/>
        <v>256.93649773468667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38.700551045711471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38.700551045711471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>
        <f>VLOOKUP(A111,'Données projet'!$A$165:$I$185,2,0)</f>
        <v>416.59</v>
      </c>
      <c r="DM111" s="12">
        <f>VLOOKUP(A111,'Données projet'!$A$165:$I$185,9,0)</f>
        <v>4.7720000000000002</v>
      </c>
      <c r="DN111" s="12">
        <f t="array" ref="DN111">INDEX(DM:DM,MIN(IF(ISNUMBER(DM111:DM307),ROW(DM111:DM307),"")))</f>
        <v>4.7720000000000002</v>
      </c>
      <c r="DO111" s="12">
        <f>IF('Données projet'!$A$166&gt;35,DO110+DN111-DW110,IF(A111&lt;'Données projet'!$A$166,$DL$205^A111,IF(A111='Données projet'!$A$166,'Données projet'!$B$166,DO110+DN111-DW110)))</f>
        <v>416.58999999999975</v>
      </c>
      <c r="DP111" s="17">
        <f>DO111*VLOOKUP('Données projet'!$B$14,Paramètres!$A$1:$I$89,3,0)*VLOOKUP('Données projet'!$B$14,Paramètres!$A$1:$I$89,5,0)</f>
        <v>238.28947999999986</v>
      </c>
      <c r="DQ111" s="13">
        <f t="shared" si="97"/>
        <v>58.071350707295146</v>
      </c>
      <c r="DR111" s="20">
        <f t="shared" si="70"/>
        <v>516.1617801485387</v>
      </c>
      <c r="DS111" s="59">
        <f t="shared" si="71"/>
        <v>794.85474448753939</v>
      </c>
      <c r="DT111" s="59">
        <f ca="1">AVERAGE(OFFSET($DS$3,0,0,'Données projet'!$E$14+1,1))-AVERAGE(OFFSET($H$3,0,0,'Données projet'!$E$14+1,1))</f>
        <v>349.56396446903</v>
      </c>
      <c r="DU111" s="59">
        <f t="shared" si="98"/>
        <v>270.64279448634522</v>
      </c>
      <c r="DV111" s="15">
        <f>IF(ISNA(VLOOKUP(A111,'Données projet'!$A$165:$I$185,3,0)),0,VLOOKUP(A111,'Données projet'!$A$165:$I$185,3,0))</f>
        <v>9</v>
      </c>
      <c r="DW111" s="15">
        <f>IF(ISNA(VLOOKUP(A111,'Données projet'!$A$165:$I$185,4,0)),0,VLOOKUP(A111,'Données projet'!$A$165:$I$185,4,0))</f>
        <v>250.53</v>
      </c>
      <c r="DX111" s="16">
        <f>IF(ISNA(VLOOKUP(A111,'Données projet'!$A$165:$I$185,5,0)),0%,VLOOKUP(A111,'Données projet'!$A$165:$I$185,5,0)*VLOOKUP('Données projet'!$B$14,Paramètres!$A$1:$I$89,7,0))</f>
        <v>0.315</v>
      </c>
      <c r="DY111" s="16">
        <f>IF(ISNA(VLOOKUP(A111,'Données projet'!$A$165:$I$185,6,0)),0%,VLOOKUP(A111,'Données projet'!$A$165:$I$185,6,0)*VLOOKUP('Données projet'!$B$14,Paramètres!$A$1:$I$89,7,0))</f>
        <v>0.13500000000000001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83.438821621948648</v>
      </c>
      <c r="EB111" s="21">
        <f>EXP(-LN(2)/25)*EB110+(1-EXP(-LN(2)/25))/(LN(2)/25)*Calculateur!DW111*Calculateur!DY111*VLOOKUP('Données projet'!$B$14,Paramètres!$A$1:$I$89,3,0)*0.475*44/12</f>
        <v>41.171587004520454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124.61040862646911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375.89365709113105</v>
      </c>
      <c r="EP111" s="59">
        <f t="shared" si="100"/>
        <v>279.39056561403834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95.636997204786582</v>
      </c>
      <c r="EW111" s="21">
        <f>EXP(-LN(2)/25)*EW110+(1-EXP(-LN(2)/25))/(LN(2)/25)*Calculateur!ER111*Calculateur!ET111*VLOOKUP('Données projet'!$B$15,Paramètres!$A$1:$I$89,3,0)*0.475*44/12</f>
        <v>38.148630814399397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133.78562801918599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-1.1368683772161603E-13</v>
      </c>
      <c r="FF111" s="17">
        <f>FE111*VLOOKUP('Données projet'!$B$16,Paramètres!$A$1:$I$89,3,0)*VLOOKUP('Données projet'!$B$16,Paramètres!$A$1:$I$89,5,0)</f>
        <v>-6.7984728957526396E-14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319.29539841078537</v>
      </c>
      <c r="FK111" s="59">
        <f t="shared" si="102"/>
        <v>327.26871144121412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53.453319919537449</v>
      </c>
      <c r="FR111" s="21">
        <f>EXP(-LN(2)/25)*FR110+(1-EXP(-LN(2)/25))/(LN(2)/25)*Calculateur!FM111*Calculateur!FO111*VLOOKUP('Données projet'!$B$16,Paramètres!$A$1:$I$89,3,0)*0.475*44/12</f>
        <v>22.645380511302104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76.098700430839557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2.2737367544323206E-13</v>
      </c>
      <c r="GA111" s="17">
        <f>FZ111*VLOOKUP('Données projet'!$B$17,Paramètres!$A$1:$I$89,3,0)*VLOOKUP('Données projet'!$B$17,Paramètres!$A$1:$I$89,5,0)</f>
        <v>1.0049916454590858E-13</v>
      </c>
      <c r="GB111" s="13">
        <f t="shared" si="103"/>
        <v>1.5089081593838289E-12</v>
      </c>
      <c r="GC111" s="20">
        <f t="shared" si="79"/>
        <v>2.8030510891776262E-12</v>
      </c>
      <c r="GD111" s="59">
        <f t="shared" si="80"/>
        <v>278.69296433900342</v>
      </c>
      <c r="GE111" s="59">
        <f ca="1">AVERAGE(OFFSET($GD$3,0,0,'Données projet'!$E$17+1,1))-AVERAGE(OFFSET($H$3,0,0,'Données projet'!$E$17+1,1))</f>
        <v>342.89128067483233</v>
      </c>
      <c r="GF111" s="59">
        <f t="shared" si="104"/>
        <v>453.47615302202996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63.794800706115197</v>
      </c>
      <c r="GM111" s="21">
        <f>EXP(-LN(2)/25)*GM110+(1-EXP(-LN(2)/25))/(LN(2)/25)*Calculateur!GH111*Calculateur!GJ111*VLOOKUP('Données projet'!$B$17,Paramètres!$A$1:$I$89,3,0)*0.475*44/12</f>
        <v>31.024465208149866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94.81926591426506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66.007172092454724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>
        <f>GU111*VLOOKUP('Données projet'!$B$18,Paramètres!$A$1:$I$89,3,0)*VLOOKUP('Données projet'!$B$18,Paramètres!$A$1:$I$89,5,0)</f>
        <v>0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375.89365709113105</v>
      </c>
      <c r="HA111" s="59">
        <f t="shared" si="106"/>
        <v>279.39056561403834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95.636997204786582</v>
      </c>
      <c r="HH111" s="21">
        <f>EXP(-LN(2)/25)*HH110+(1-EXP(-LN(2)/25))/(LN(2)/25)*Calculateur!HC111*Calculateur!HE111*VLOOKUP('Données projet'!$B$18,Paramètres!$A$1:$I$89,3,0)*0.475*44/12</f>
        <v>38.148630814399397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133.78562801918599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178.09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312.06099600000044</v>
      </c>
      <c r="P112" s="13">
        <f t="shared" si="87"/>
        <v>73.699082033131035</v>
      </c>
      <c r="Q112" s="20">
        <f t="shared" si="107"/>
        <v>671.86546924103743</v>
      </c>
      <c r="R112" s="59">
        <f t="shared" si="55"/>
        <v>950.8124112511282</v>
      </c>
      <c r="S112" s="59">
        <f ca="1">AVERAGE(OFFSET($R$3,0,0,'Données projet'!$E$9+1,1))-AVERAGE(OFFSET($H$3,0,0,'Données projet'!$E$9+1,1))</f>
        <v>631.31712308065664</v>
      </c>
      <c r="T112" s="59">
        <f t="shared" si="88"/>
        <v>290.92244624361285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52.225716025486193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52.225716025486193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7.456999999999999</v>
      </c>
      <c r="AI112" s="13">
        <f>IF('Données projet'!$A$62&gt;35,AI111+AH112-AQ111,IF(A112&lt;'Données projet'!$A$62,$AF$205^A112,IF(A112='Données projet'!$A$62,'Données projet'!$B$62,AI111+AH112-AQ111)))</f>
        <v>307.952</v>
      </c>
      <c r="AJ112" s="13">
        <f>AI112*VLOOKUP('Données projet'!$B$10,Paramètres!$A$1:$I$89,3,0)*VLOOKUP('Données projet'!$B$10,Paramètres!$A$1:$I$89,5,0)</f>
        <v>259.41876480000002</v>
      </c>
      <c r="AK112" s="13">
        <f t="shared" si="89"/>
        <v>62.59846596659208</v>
      </c>
      <c r="AL112" s="20">
        <f t="shared" si="58"/>
        <v>560.84667691848119</v>
      </c>
      <c r="AM112" s="59">
        <f t="shared" si="59"/>
        <v>839.79361892857196</v>
      </c>
      <c r="AN112" s="59">
        <f ca="1">AVERAGE(OFFSET($AM$3,0,0,'Données projet'!$E$10+1,1))-AVERAGE(OFFSET($H$3,0,0,'Données projet'!$E$10+1,1))</f>
        <v>401.19166052471473</v>
      </c>
      <c r="AO112" s="59">
        <f t="shared" si="90"/>
        <v>271.10067497534271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42.68223840548783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42.68223840548783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349.72353000000055</v>
      </c>
      <c r="BF112" s="13">
        <f t="shared" si="91"/>
        <v>81.505580575848711</v>
      </c>
      <c r="BG112" s="20">
        <f t="shared" si="61"/>
        <v>751.05736758627074</v>
      </c>
      <c r="BH112" s="59">
        <f t="shared" si="62"/>
        <v>1030.0043095963615</v>
      </c>
      <c r="BI112" s="59">
        <f ca="1">AVERAGE(OFFSET($BH$3,0,0,'Données projet'!$E$11+1,1))-AVERAGE(OFFSET($H$3,0,0,'Données projet'!$E$11+1,1))</f>
        <v>695.93700574708214</v>
      </c>
      <c r="BJ112" s="59">
        <f t="shared" si="92"/>
        <v>318.31690229208471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58.52881968373454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58.52881968373454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1.7053025658242404E-13</v>
      </c>
      <c r="BZ112" s="13">
        <f>BY112*VLOOKUP('Données projet'!$B$12,Paramètres!$A$1:$I$89,3,0)*VLOOKUP('Données projet'!$B$12,Paramètres!$A$1:$I$89,5,0)</f>
        <v>1.1173142411280423E-13</v>
      </c>
      <c r="CA112" s="13">
        <f t="shared" si="93"/>
        <v>1.6569896290553793E-12</v>
      </c>
      <c r="CB112" s="20">
        <f t="shared" si="64"/>
        <v>3.0805225009345862E-12</v>
      </c>
      <c r="CC112" s="59">
        <f t="shared" si="65"/>
        <v>278.94694201009378</v>
      </c>
      <c r="CD112" s="59">
        <f ca="1">AVERAGE(OFFSET($CC$3,0,0,'Données projet'!$E$12+1,1))-AVERAGE(OFFSET($H$3,0,0,'Données projet'!$E$12+1,1))</f>
        <v>260.25859566735949</v>
      </c>
      <c r="CE112" s="59">
        <f t="shared" si="94"/>
        <v>256.93649773468667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37.941656844710408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37.941656844710408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1.7053025658242404E-13</v>
      </c>
      <c r="CU112" s="17">
        <f>CT112*VLOOKUP('Données projet'!$B$13,Paramètres!$A$1:$I$89,3,0)*VLOOKUP('Données projet'!$B$13,Paramètres!$A$1:$I$89,5,0)</f>
        <v>1.1173142411280423E-13</v>
      </c>
      <c r="CV112" s="13">
        <f t="shared" si="95"/>
        <v>1.6569896290553793E-12</v>
      </c>
      <c r="CW112" s="20">
        <f t="shared" si="67"/>
        <v>3.0805225009345862E-12</v>
      </c>
      <c r="CX112" s="59">
        <f t="shared" si="68"/>
        <v>278.94694201009378</v>
      </c>
      <c r="CY112" s="59">
        <f ca="1">AVERAGE(OFFSET($CX$3,0,0,'Données projet'!$E$13+1,1))-AVERAGE(OFFSET($H$3,0,0,'Données projet'!$E$13+1,1))</f>
        <v>260.25859566735949</v>
      </c>
      <c r="CZ112" s="59">
        <f t="shared" si="96"/>
        <v>256.93649773468667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37.941656844710408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37.941656844710408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2.9550000000000054</v>
      </c>
      <c r="DO112" s="12">
        <f>IF('Données projet'!$A$166&gt;35,DO111+DN112-DW111,IF(A112&lt;'Données projet'!$A$166,$DL$205^A112,IF(A112='Données projet'!$A$166,'Données projet'!$B$166,DO111+DN112-DW111)))</f>
        <v>169.01499999999973</v>
      </c>
      <c r="DP112" s="17">
        <f>DO112*VLOOKUP('Données projet'!$B$14,Paramètres!$A$1:$I$89,3,0)*VLOOKUP('Données projet'!$B$14,Paramètres!$A$1:$I$89,5,0)</f>
        <v>96.676579999999845</v>
      </c>
      <c r="DQ112" s="13">
        <f t="shared" si="97"/>
        <v>26.168687837530957</v>
      </c>
      <c r="DR112" s="20">
        <f t="shared" si="70"/>
        <v>213.95550815036611</v>
      </c>
      <c r="DS112" s="59">
        <f t="shared" si="71"/>
        <v>492.90245016045685</v>
      </c>
      <c r="DT112" s="59">
        <f ca="1">AVERAGE(OFFSET($DS$3,0,0,'Données projet'!$E$14+1,1))-AVERAGE(OFFSET($H$3,0,0,'Données projet'!$E$14+1,1))</f>
        <v>349.56396446903</v>
      </c>
      <c r="DU112" s="59">
        <f t="shared" si="98"/>
        <v>270.64279448634522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81.802637222598193</v>
      </c>
      <c r="EB112" s="21">
        <f>EXP(-LN(2)/25)*EB111+(1-EXP(-LN(2)/25))/(LN(2)/25)*Calculateur!DW112*Calculateur!DY112*VLOOKUP('Données projet'!$B$14,Paramètres!$A$1:$I$89,3,0)*0.475*44/12</f>
        <v>40.045747792762178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121.84838501536038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375.89365709113105</v>
      </c>
      <c r="EP112" s="59">
        <f t="shared" si="100"/>
        <v>279.39056561403834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93.76161402240912</v>
      </c>
      <c r="EW112" s="21">
        <f>EXP(-LN(2)/25)*EW111+(1-EXP(-LN(2)/25))/(LN(2)/25)*Calculateur!ER112*Calculateur!ET112*VLOOKUP('Données projet'!$B$15,Paramètres!$A$1:$I$89,3,0)*0.475*44/12</f>
        <v>37.105454498630337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130.86706852103947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-1.1368683772161603E-13</v>
      </c>
      <c r="FF112" s="17">
        <f>FE112*VLOOKUP('Données projet'!$B$16,Paramètres!$A$1:$I$89,3,0)*VLOOKUP('Données projet'!$B$16,Paramètres!$A$1:$I$89,5,0)</f>
        <v>-6.7984728957526396E-14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319.29539841078537</v>
      </c>
      <c r="FK112" s="59">
        <f t="shared" si="102"/>
        <v>327.26871144121412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52.40513291922116</v>
      </c>
      <c r="FR112" s="21">
        <f>EXP(-LN(2)/25)*FR111+(1-EXP(-LN(2)/25))/(LN(2)/25)*Calculateur!FM112*Calculateur!FO112*VLOOKUP('Données projet'!$B$16,Paramètres!$A$1:$I$89,3,0)*0.475*44/12</f>
        <v>22.026141390351743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74.431274309572899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2.2737367544323206E-13</v>
      </c>
      <c r="GA112" s="17">
        <f>FZ112*VLOOKUP('Données projet'!$B$17,Paramètres!$A$1:$I$89,3,0)*VLOOKUP('Données projet'!$B$17,Paramètres!$A$1:$I$89,5,0)</f>
        <v>1.0049916454590858E-13</v>
      </c>
      <c r="GB112" s="13">
        <f t="shared" si="103"/>
        <v>1.5089081593838289E-12</v>
      </c>
      <c r="GC112" s="20">
        <f t="shared" si="79"/>
        <v>2.8030510891776262E-12</v>
      </c>
      <c r="GD112" s="59">
        <f t="shared" si="80"/>
        <v>278.94694201009349</v>
      </c>
      <c r="GE112" s="59">
        <f ca="1">AVERAGE(OFFSET($GD$3,0,0,'Données projet'!$E$17+1,1))-AVERAGE(OFFSET($H$3,0,0,'Données projet'!$E$17+1,1))</f>
        <v>342.89128067483233</v>
      </c>
      <c r="GF112" s="59">
        <f t="shared" si="104"/>
        <v>453.47615302202996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62.543823575254571</v>
      </c>
      <c r="GM112" s="21">
        <f>EXP(-LN(2)/25)*GM111+(1-EXP(-LN(2)/25))/(LN(2)/25)*Calculateur!GH112*Calculateur!GJ112*VLOOKUP('Données projet'!$B$17,Paramètres!$A$1:$I$89,3,0)*0.475*44/12</f>
        <v>30.176099575527289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92.719923150781852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66.076438730024734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>
        <f>GU112*VLOOKUP('Données projet'!$B$18,Paramètres!$A$1:$I$89,3,0)*VLOOKUP('Données projet'!$B$18,Paramètres!$A$1:$I$89,5,0)</f>
        <v>0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375.89365709113105</v>
      </c>
      <c r="HA112" s="59">
        <f t="shared" si="106"/>
        <v>279.39056561403834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93.76161402240912</v>
      </c>
      <c r="HH112" s="21">
        <f>EXP(-LN(2)/25)*HH111+(1-EXP(-LN(2)/25))/(LN(2)/25)*Calculateur!HC112*Calculateur!HE112*VLOOKUP('Données projet'!$B$18,Paramètres!$A$1:$I$89,3,0)*0.475*44/12</f>
        <v>37.105454498630337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130.86706852103947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178.09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319.24058400000041</v>
      </c>
      <c r="P113" s="13">
        <f t="shared" si="87"/>
        <v>75.195320551435159</v>
      </c>
      <c r="Q113" s="20">
        <f t="shared" si="107"/>
        <v>686.97586709375025</v>
      </c>
      <c r="R113" s="59">
        <f t="shared" si="55"/>
        <v>966.17238083014661</v>
      </c>
      <c r="S113" s="59">
        <f ca="1">AVERAGE(OFFSET($R$3,0,0,'Données projet'!$E$9+1,1))-AVERAGE(OFFSET($H$3,0,0,'Données projet'!$E$9+1,1))</f>
        <v>631.31712308065664</v>
      </c>
      <c r="T113" s="59">
        <f t="shared" si="88"/>
        <v>290.92244624361285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51.201601588767808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51.201601588767808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7.456999999999999</v>
      </c>
      <c r="AI113" s="13">
        <f>IF('Données projet'!$A$62&gt;35,AI112+AH113-AQ112,IF(A113&lt;'Données projet'!$A$62,$AF$205^A113,IF(A113='Données projet'!$A$62,'Données projet'!$B$62,AI112+AH113-AQ112)))</f>
        <v>315.40899999999999</v>
      </c>
      <c r="AJ113" s="13">
        <f>AI113*VLOOKUP('Données projet'!$B$10,Paramètres!$A$1:$I$89,3,0)*VLOOKUP('Données projet'!$B$10,Paramètres!$A$1:$I$89,5,0)</f>
        <v>265.70054160000001</v>
      </c>
      <c r="AK113" s="13">
        <f t="shared" si="89"/>
        <v>63.935965014011138</v>
      </c>
      <c r="AL113" s="20">
        <f t="shared" si="58"/>
        <v>574.11691568606932</v>
      </c>
      <c r="AM113" s="59">
        <f t="shared" si="59"/>
        <v>853.31342942246567</v>
      </c>
      <c r="AN113" s="59">
        <f ca="1">AVERAGE(OFFSET($AM$3,0,0,'Données projet'!$E$10+1,1))-AVERAGE(OFFSET($H$3,0,0,'Données projet'!$E$10+1,1))</f>
        <v>401.19166052471473</v>
      </c>
      <c r="AO113" s="59">
        <f t="shared" si="90"/>
        <v>271.10067497534271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41.845265743951039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41.845265743951039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357.76962000000054</v>
      </c>
      <c r="BF113" s="13">
        <f t="shared" si="91"/>
        <v>83.160306601601619</v>
      </c>
      <c r="BG113" s="20">
        <f t="shared" si="61"/>
        <v>767.95295549779041</v>
      </c>
      <c r="BH113" s="59">
        <f t="shared" si="62"/>
        <v>1047.1494692341867</v>
      </c>
      <c r="BI113" s="59">
        <f ca="1">AVERAGE(OFFSET($BH$3,0,0,'Données projet'!$E$11+1,1))-AVERAGE(OFFSET($H$3,0,0,'Données projet'!$E$11+1,1))</f>
        <v>695.93700574708214</v>
      </c>
      <c r="BJ113" s="59">
        <f t="shared" si="92"/>
        <v>318.31690229208471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57.381105228791526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57.381105228791526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1.7053025658242404E-13</v>
      </c>
      <c r="BZ113" s="13">
        <f>BY113*VLOOKUP('Données projet'!$B$12,Paramètres!$A$1:$I$89,3,0)*VLOOKUP('Données projet'!$B$12,Paramètres!$A$1:$I$89,5,0)</f>
        <v>1.1173142411280423E-13</v>
      </c>
      <c r="CA113" s="13">
        <f t="shared" si="93"/>
        <v>1.6569896290553793E-12</v>
      </c>
      <c r="CB113" s="20">
        <f t="shared" si="64"/>
        <v>3.0805225009345862E-12</v>
      </c>
      <c r="CC113" s="59">
        <f t="shared" si="65"/>
        <v>279.19651373639942</v>
      </c>
      <c r="CD113" s="59">
        <f ca="1">AVERAGE(OFFSET($CC$3,0,0,'Données projet'!$E$12+1,1))-AVERAGE(OFFSET($H$3,0,0,'Données projet'!$E$12+1,1))</f>
        <v>260.25859566735949</v>
      </c>
      <c r="CE113" s="59">
        <f t="shared" si="94"/>
        <v>256.93649773468667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37.197644096111219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37.197644096111219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1.7053025658242404E-13</v>
      </c>
      <c r="CU113" s="17">
        <f>CT113*VLOOKUP('Données projet'!$B$13,Paramètres!$A$1:$I$89,3,0)*VLOOKUP('Données projet'!$B$13,Paramètres!$A$1:$I$89,5,0)</f>
        <v>1.1173142411280423E-13</v>
      </c>
      <c r="CV113" s="13">
        <f t="shared" si="95"/>
        <v>1.6569896290553793E-12</v>
      </c>
      <c r="CW113" s="20">
        <f t="shared" si="67"/>
        <v>3.0805225009345862E-12</v>
      </c>
      <c r="CX113" s="59">
        <f t="shared" si="68"/>
        <v>279.19651373639942</v>
      </c>
      <c r="CY113" s="59">
        <f ca="1">AVERAGE(OFFSET($CX$3,0,0,'Données projet'!$E$13+1,1))-AVERAGE(OFFSET($H$3,0,0,'Données projet'!$E$13+1,1))</f>
        <v>260.25859566735949</v>
      </c>
      <c r="CZ113" s="59">
        <f t="shared" si="96"/>
        <v>256.93649773468667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37.197644096111219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37.197644096111219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2.9550000000000054</v>
      </c>
      <c r="DO113" s="12">
        <f>IF('Données projet'!$A$166&gt;35,DO112+DN113-DW112,IF(A113&lt;'Données projet'!$A$166,$DL$205^A113,IF(A113='Données projet'!$A$166,'Données projet'!$B$166,DO112+DN113-DW112)))</f>
        <v>171.96999999999974</v>
      </c>
      <c r="DP113" s="17">
        <f>DO113*VLOOKUP('Données projet'!$B$14,Paramètres!$A$1:$I$89,3,0)*VLOOKUP('Données projet'!$B$14,Paramètres!$A$1:$I$89,5,0)</f>
        <v>98.366839999999854</v>
      </c>
      <c r="DQ113" s="13">
        <f t="shared" si="97"/>
        <v>26.572547613719927</v>
      </c>
      <c r="DR113" s="20">
        <f t="shared" si="70"/>
        <v>217.60276676056196</v>
      </c>
      <c r="DS113" s="59">
        <f t="shared" si="71"/>
        <v>496.79928049695832</v>
      </c>
      <c r="DT113" s="59">
        <f ca="1">AVERAGE(OFFSET($DS$3,0,0,'Données projet'!$E$14+1,1))-AVERAGE(OFFSET($H$3,0,0,'Données projet'!$E$14+1,1))</f>
        <v>349.56396446903</v>
      </c>
      <c r="DU113" s="59">
        <f t="shared" si="98"/>
        <v>270.64279448634522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80.198537401345064</v>
      </c>
      <c r="EB113" s="21">
        <f>EXP(-LN(2)/25)*EB112+(1-EXP(-LN(2)/25))/(LN(2)/25)*Calculateur!DW113*Calculateur!DY113*VLOOKUP('Données projet'!$B$14,Paramètres!$A$1:$I$89,3,0)*0.475*44/12</f>
        <v>38.950694713454745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119.14923211479982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375.89365709113105</v>
      </c>
      <c r="EP113" s="59">
        <f t="shared" si="100"/>
        <v>279.39056561403834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91.923005960367291</v>
      </c>
      <c r="EW113" s="21">
        <f>EXP(-LN(2)/25)*EW112+(1-EXP(-LN(2)/25))/(LN(2)/25)*Calculateur!ER113*Calculateur!ET113*VLOOKUP('Données projet'!$B$15,Paramètres!$A$1:$I$89,3,0)*0.475*44/12</f>
        <v>36.090803894074241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128.01380985444155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-1.1368683772161603E-13</v>
      </c>
      <c r="FF113" s="17">
        <f>FE113*VLOOKUP('Données projet'!$B$16,Paramètres!$A$1:$I$89,3,0)*VLOOKUP('Données projet'!$B$16,Paramètres!$A$1:$I$89,5,0)</f>
        <v>-6.7984728957526396E-14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319.29539841078537</v>
      </c>
      <c r="FK113" s="59">
        <f t="shared" si="102"/>
        <v>327.26871144121412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51.377500226650135</v>
      </c>
      <c r="FR113" s="21">
        <f>EXP(-LN(2)/25)*FR112+(1-EXP(-LN(2)/25))/(LN(2)/25)*Calculateur!FM113*Calculateur!FO113*VLOOKUP('Données projet'!$B$16,Paramètres!$A$1:$I$89,3,0)*0.475*44/12</f>
        <v>21.42383539572814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72.801335622378275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2.2737367544323206E-13</v>
      </c>
      <c r="GA113" s="17">
        <f>FZ113*VLOOKUP('Données projet'!$B$17,Paramètres!$A$1:$I$89,3,0)*VLOOKUP('Données projet'!$B$17,Paramètres!$A$1:$I$89,5,0)</f>
        <v>1.0049916454590858E-13</v>
      </c>
      <c r="GB113" s="13">
        <f t="shared" si="103"/>
        <v>1.5089081593838289E-12</v>
      </c>
      <c r="GC113" s="20">
        <f t="shared" si="79"/>
        <v>2.8030510891776262E-12</v>
      </c>
      <c r="GD113" s="59">
        <f t="shared" si="80"/>
        <v>279.19651373639914</v>
      </c>
      <c r="GE113" s="59">
        <f ca="1">AVERAGE(OFFSET($GD$3,0,0,'Données projet'!$E$17+1,1))-AVERAGE(OFFSET($H$3,0,0,'Données projet'!$E$17+1,1))</f>
        <v>342.89128067483233</v>
      </c>
      <c r="GF113" s="59">
        <f t="shared" si="104"/>
        <v>453.47615302202996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61.31737734290941</v>
      </c>
      <c r="GM113" s="21">
        <f>EXP(-LN(2)/25)*GM112+(1-EXP(-LN(2)/25))/(LN(2)/25)*Calculateur!GH113*Calculateur!GJ113*VLOOKUP('Données projet'!$B$17,Paramètres!$A$1:$I$89,3,0)*0.475*44/12</f>
        <v>29.350932545742388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90.668309888651805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66.144503746289914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>
        <f>GU113*VLOOKUP('Données projet'!$B$18,Paramètres!$A$1:$I$89,3,0)*VLOOKUP('Données projet'!$B$18,Paramètres!$A$1:$I$89,5,0)</f>
        <v>0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375.89365709113105</v>
      </c>
      <c r="HA113" s="59">
        <f t="shared" si="106"/>
        <v>279.39056561403834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91.923005960367291</v>
      </c>
      <c r="HH113" s="21">
        <f>EXP(-LN(2)/25)*HH112+(1-EXP(-LN(2)/25))/(LN(2)/25)*Calculateur!HC113*Calculateur!HE113*VLOOKUP('Données projet'!$B$18,Paramètres!$A$1:$I$89,3,0)*0.475*44/12</f>
        <v>36.090803894074241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128.01380985444155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178.09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326.42017200000043</v>
      </c>
      <c r="P114" s="13">
        <f t="shared" si="87"/>
        <v>76.687647008791089</v>
      </c>
      <c r="Q114" s="20">
        <f t="shared" si="107"/>
        <v>702.07945144031191</v>
      </c>
      <c r="R114" s="59">
        <f t="shared" si="55"/>
        <v>981.52120739152133</v>
      </c>
      <c r="S114" s="59">
        <f ca="1">AVERAGE(OFFSET($R$3,0,0,'Données projet'!$E$9+1,1))-AVERAGE(OFFSET($H$3,0,0,'Données projet'!$E$9+1,1))</f>
        <v>631.31712308065664</v>
      </c>
      <c r="T114" s="59">
        <f t="shared" si="88"/>
        <v>290.92244624361285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50.197569411505341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50.197569411505341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7.456999999999999</v>
      </c>
      <c r="AI114" s="13">
        <f>IF('Données projet'!$A$62&gt;35,AI113+AH114-AQ113,IF(A114&lt;'Données projet'!$A$62,$AF$205^A114,IF(A114='Données projet'!$A$62,'Données projet'!$B$62,AI113+AH114-AQ113)))</f>
        <v>322.86599999999999</v>
      </c>
      <c r="AJ114" s="13">
        <f>AI114*VLOOKUP('Données projet'!$B$10,Paramètres!$A$1:$I$89,3,0)*VLOOKUP('Données projet'!$B$10,Paramètres!$A$1:$I$89,5,0)</f>
        <v>271.98231840000005</v>
      </c>
      <c r="AK114" s="13">
        <f t="shared" si="89"/>
        <v>65.269788007779979</v>
      </c>
      <c r="AL114" s="20">
        <f t="shared" si="58"/>
        <v>587.38075199355023</v>
      </c>
      <c r="AM114" s="59">
        <f t="shared" si="59"/>
        <v>866.82250794475954</v>
      </c>
      <c r="AN114" s="59">
        <f ca="1">AVERAGE(OFFSET($AM$3,0,0,'Données projet'!$E$10+1,1))-AVERAGE(OFFSET($H$3,0,0,'Données projet'!$E$10+1,1))</f>
        <v>401.19166052471473</v>
      </c>
      <c r="AO114" s="59">
        <f t="shared" si="90"/>
        <v>271.10067497534271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41.024705605804066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41.024705605804066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365.81571000000054</v>
      </c>
      <c r="BF114" s="13">
        <f t="shared" si="91"/>
        <v>84.810706185422944</v>
      </c>
      <c r="BG114" s="20">
        <f t="shared" si="61"/>
        <v>784.84100818961235</v>
      </c>
      <c r="BH114" s="59">
        <f t="shared" si="62"/>
        <v>1064.2827641408217</v>
      </c>
      <c r="BI114" s="59">
        <f ca="1">AVERAGE(OFFSET($BH$3,0,0,'Données projet'!$E$11+1,1))-AVERAGE(OFFSET($H$3,0,0,'Données projet'!$E$11+1,1))</f>
        <v>695.93700574708214</v>
      </c>
      <c r="BJ114" s="59">
        <f t="shared" si="92"/>
        <v>318.31690229208471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56.255896754273245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56.255896754273245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1.7053025658242404E-13</v>
      </c>
      <c r="BZ114" s="13">
        <f>BY114*VLOOKUP('Données projet'!$B$12,Paramètres!$A$1:$I$89,3,0)*VLOOKUP('Données projet'!$B$12,Paramètres!$A$1:$I$89,5,0)</f>
        <v>1.1173142411280423E-13</v>
      </c>
      <c r="CA114" s="13">
        <f t="shared" si="93"/>
        <v>1.6569896290553793E-12</v>
      </c>
      <c r="CB114" s="20">
        <f t="shared" si="64"/>
        <v>3.0805225009345862E-12</v>
      </c>
      <c r="CC114" s="59">
        <f t="shared" si="65"/>
        <v>279.44175595121243</v>
      </c>
      <c r="CD114" s="59">
        <f ca="1">AVERAGE(OFFSET($CC$3,0,0,'Données projet'!$E$12+1,1))-AVERAGE(OFFSET($H$3,0,0,'Données projet'!$E$12+1,1))</f>
        <v>260.25859566735949</v>
      </c>
      <c r="CE114" s="59">
        <f t="shared" si="94"/>
        <v>256.93649773468667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36.468220983709088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36.468220983709088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1.7053025658242404E-13</v>
      </c>
      <c r="CU114" s="17">
        <f>CT114*VLOOKUP('Données projet'!$B$13,Paramètres!$A$1:$I$89,3,0)*VLOOKUP('Données projet'!$B$13,Paramètres!$A$1:$I$89,5,0)</f>
        <v>1.1173142411280423E-13</v>
      </c>
      <c r="CV114" s="13">
        <f t="shared" si="95"/>
        <v>1.6569896290553793E-12</v>
      </c>
      <c r="CW114" s="20">
        <f t="shared" si="67"/>
        <v>3.0805225009345862E-12</v>
      </c>
      <c r="CX114" s="59">
        <f t="shared" si="68"/>
        <v>279.44175595121243</v>
      </c>
      <c r="CY114" s="59">
        <f ca="1">AVERAGE(OFFSET($CX$3,0,0,'Données projet'!$E$13+1,1))-AVERAGE(OFFSET($H$3,0,0,'Données projet'!$E$13+1,1))</f>
        <v>260.25859566735949</v>
      </c>
      <c r="CZ114" s="59">
        <f t="shared" si="96"/>
        <v>256.93649773468667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36.468220983709088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36.468220983709088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2.9550000000000054</v>
      </c>
      <c r="DO114" s="12">
        <f>IF('Données projet'!$A$166&gt;35,DO113+DN114-DW113,IF(A114&lt;'Données projet'!$A$166,$DL$205^A114,IF(A114='Données projet'!$A$166,'Données projet'!$B$166,DO113+DN114-DW113)))</f>
        <v>174.92499999999976</v>
      </c>
      <c r="DP114" s="17">
        <f>DO114*VLOOKUP('Données projet'!$B$14,Paramètres!$A$1:$I$89,3,0)*VLOOKUP('Données projet'!$B$14,Paramètres!$A$1:$I$89,5,0)</f>
        <v>100.05709999999988</v>
      </c>
      <c r="DQ114" s="13">
        <f t="shared" si="97"/>
        <v>26.975600383990063</v>
      </c>
      <c r="DR114" s="20">
        <f t="shared" si="70"/>
        <v>221.24861983544915</v>
      </c>
      <c r="DS114" s="59">
        <f t="shared" si="71"/>
        <v>500.69037578665848</v>
      </c>
      <c r="DT114" s="59">
        <f ca="1">AVERAGE(OFFSET($DS$3,0,0,'Données projet'!$E$14+1,1))-AVERAGE(OFFSET($H$3,0,0,'Données projet'!$E$14+1,1))</f>
        <v>349.56396446903</v>
      </c>
      <c r="DU114" s="59">
        <f t="shared" si="98"/>
        <v>270.64279448634522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78.625892999182426</v>
      </c>
      <c r="EB114" s="21">
        <f>EXP(-LN(2)/25)*EB113+(1-EXP(-LN(2)/25))/(LN(2)/25)*Calculateur!DW114*Calculateur!DY114*VLOOKUP('Données projet'!$B$14,Paramètres!$A$1:$I$89,3,0)*0.475*44/12</f>
        <v>37.88558591818731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116.51147891736974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375.89365709113105</v>
      </c>
      <c r="EP114" s="59">
        <f t="shared" si="100"/>
        <v>279.39056561403834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90.120451880981918</v>
      </c>
      <c r="EW114" s="21">
        <f>EXP(-LN(2)/25)*EW113+(1-EXP(-LN(2)/25))/(LN(2)/25)*Calculateur!ER114*Calculateur!ET114*VLOOKUP('Données projet'!$B$15,Paramètres!$A$1:$I$89,3,0)*0.475*44/12</f>
        <v>35.10389896365789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125.22435084463982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-1.1368683772161603E-13</v>
      </c>
      <c r="FF114" s="17">
        <f>FE114*VLOOKUP('Données projet'!$B$16,Paramètres!$A$1:$I$89,3,0)*VLOOKUP('Données projet'!$B$16,Paramètres!$A$1:$I$89,5,0)</f>
        <v>-6.7984728957526396E-14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319.29539841078537</v>
      </c>
      <c r="FK114" s="59">
        <f t="shared" si="102"/>
        <v>327.26871144121412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50.370018784386374</v>
      </c>
      <c r="FR114" s="21">
        <f>EXP(-LN(2)/25)*FR113+(1-EXP(-LN(2)/25))/(LN(2)/25)*Calculateur!FM114*Calculateur!FO114*VLOOKUP('Données projet'!$B$16,Paramètres!$A$1:$I$89,3,0)*0.475*44/12</f>
        <v>20.837999490201415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71.208018274587786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2.2737367544323206E-13</v>
      </c>
      <c r="GA114" s="17">
        <f>FZ114*VLOOKUP('Données projet'!$B$17,Paramètres!$A$1:$I$89,3,0)*VLOOKUP('Données projet'!$B$17,Paramètres!$A$1:$I$89,5,0)</f>
        <v>1.0049916454590858E-13</v>
      </c>
      <c r="GB114" s="13">
        <f t="shared" si="103"/>
        <v>1.5089081593838289E-12</v>
      </c>
      <c r="GC114" s="20">
        <f t="shared" si="79"/>
        <v>2.8030510891776262E-12</v>
      </c>
      <c r="GD114" s="59">
        <f t="shared" si="80"/>
        <v>279.44175595121214</v>
      </c>
      <c r="GE114" s="59">
        <f ca="1">AVERAGE(OFFSET($GD$3,0,0,'Données projet'!$E$17+1,1))-AVERAGE(OFFSET($H$3,0,0,'Données projet'!$E$17+1,1))</f>
        <v>342.89128067483233</v>
      </c>
      <c r="GF114" s="59">
        <f t="shared" si="104"/>
        <v>453.47615302202996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60.114980973122201</v>
      </c>
      <c r="GM114" s="21">
        <f>EXP(-LN(2)/25)*GM113+(1-EXP(-LN(2)/25))/(LN(2)/25)*Calculateur!GH114*Calculateur!GJ114*VLOOKUP('Données projet'!$B$17,Paramètres!$A$1:$I$89,3,0)*0.475*44/12</f>
        <v>28.548329751780603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88.6633107249028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66.211387986693467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>
        <f>GU114*VLOOKUP('Données projet'!$B$18,Paramètres!$A$1:$I$89,3,0)*VLOOKUP('Données projet'!$B$18,Paramètres!$A$1:$I$89,5,0)</f>
        <v>0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375.89365709113105</v>
      </c>
      <c r="HA114" s="59">
        <f t="shared" si="106"/>
        <v>279.39056561403834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90.120451880981918</v>
      </c>
      <c r="HH114" s="21">
        <f>EXP(-LN(2)/25)*HH113+(1-EXP(-LN(2)/25))/(LN(2)/25)*Calculateur!HC114*Calculateur!HE114*VLOOKUP('Données projet'!$B$18,Paramètres!$A$1:$I$89,3,0)*0.475*44/12</f>
        <v>35.10389896365789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125.22435084463982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178.09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333.59976000000046</v>
      </c>
      <c r="P115" s="13">
        <f t="shared" si="87"/>
        <v>78.17615735915706</v>
      </c>
      <c r="Q115" s="20">
        <f t="shared" si="107"/>
        <v>717.17638940053257</v>
      </c>
      <c r="R115" s="59">
        <f t="shared" si="55"/>
        <v>996.85913316240749</v>
      </c>
      <c r="S115" s="59">
        <f ca="1">AVERAGE(OFFSET($R$3,0,0,'Données projet'!$E$9+1,1))-AVERAGE(OFFSET($H$3,0,0,'Données projet'!$E$9+1,1))</f>
        <v>631.31712308065664</v>
      </c>
      <c r="T115" s="59">
        <f t="shared" si="88"/>
        <v>290.92244624361285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49.213225692839835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49.213225692839835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7.456999999999999</v>
      </c>
      <c r="AI115" s="13">
        <f>IF('Données projet'!$A$62&gt;35,AI114+AH115-AQ114,IF(A115&lt;'Données projet'!$A$62,$AF$205^A115,IF(A115='Données projet'!$A$62,'Données projet'!$B$62,AI114+AH115-AQ114)))</f>
        <v>330.32299999999998</v>
      </c>
      <c r="AJ115" s="13">
        <f>AI115*VLOOKUP('Données projet'!$B$10,Paramètres!$A$1:$I$89,3,0)*VLOOKUP('Données projet'!$B$10,Paramètres!$A$1:$I$89,5,0)</f>
        <v>278.26409519999999</v>
      </c>
      <c r="AK115" s="13">
        <f t="shared" si="89"/>
        <v>66.600029623461893</v>
      </c>
      <c r="AL115" s="20">
        <f t="shared" si="58"/>
        <v>600.63835073419614</v>
      </c>
      <c r="AM115" s="59">
        <f t="shared" si="59"/>
        <v>880.32109449607105</v>
      </c>
      <c r="AN115" s="59">
        <f ca="1">AVERAGE(OFFSET($AM$3,0,0,'Données projet'!$E$10+1,1))-AVERAGE(OFFSET($H$3,0,0,'Données projet'!$E$10+1,1))</f>
        <v>401.19166052471473</v>
      </c>
      <c r="AO115" s="59">
        <f t="shared" si="90"/>
        <v>271.10067497534271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40.220236151473891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40.220236151473891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373.86180000000053</v>
      </c>
      <c r="BF115" s="13">
        <f t="shared" si="91"/>
        <v>86.456885445094045</v>
      </c>
      <c r="BG115" s="20">
        <f t="shared" si="61"/>
        <v>801.7217104835396</v>
      </c>
      <c r="BH115" s="59">
        <f t="shared" si="62"/>
        <v>1081.4044542454144</v>
      </c>
      <c r="BI115" s="59">
        <f ca="1">AVERAGE(OFFSET($BH$3,0,0,'Données projet'!$E$11+1,1))-AVERAGE(OFFSET($H$3,0,0,'Données projet'!$E$11+1,1))</f>
        <v>695.93700574708214</v>
      </c>
      <c r="BJ115" s="59">
        <f t="shared" si="92"/>
        <v>318.31690229208471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55.152752931630864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55.152752931630864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1.7053025658242404E-13</v>
      </c>
      <c r="BZ115" s="13">
        <f>BY115*VLOOKUP('Données projet'!$B$12,Paramètres!$A$1:$I$89,3,0)*VLOOKUP('Données projet'!$B$12,Paramètres!$A$1:$I$89,5,0)</f>
        <v>1.1173142411280423E-13</v>
      </c>
      <c r="CA115" s="13">
        <f t="shared" si="93"/>
        <v>1.6569896290553793E-12</v>
      </c>
      <c r="CB115" s="20">
        <f t="shared" si="64"/>
        <v>3.0805225009345862E-12</v>
      </c>
      <c r="CC115" s="59">
        <f t="shared" si="65"/>
        <v>279.68274376187793</v>
      </c>
      <c r="CD115" s="59">
        <f ca="1">AVERAGE(OFFSET($CC$3,0,0,'Données projet'!$E$12+1,1))-AVERAGE(OFFSET($H$3,0,0,'Données projet'!$E$12+1,1))</f>
        <v>260.25859566735949</v>
      </c>
      <c r="CE115" s="59">
        <f t="shared" si="94"/>
        <v>256.93649773468667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35.753101413636998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35.753101413636998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1.7053025658242404E-13</v>
      </c>
      <c r="CU115" s="17">
        <f>CT115*VLOOKUP('Données projet'!$B$13,Paramètres!$A$1:$I$89,3,0)*VLOOKUP('Données projet'!$B$13,Paramètres!$A$1:$I$89,5,0)</f>
        <v>1.1173142411280423E-13</v>
      </c>
      <c r="CV115" s="13">
        <f t="shared" si="95"/>
        <v>1.6569896290553793E-12</v>
      </c>
      <c r="CW115" s="20">
        <f t="shared" si="67"/>
        <v>3.0805225009345862E-12</v>
      </c>
      <c r="CX115" s="59">
        <f t="shared" si="68"/>
        <v>279.68274376187793</v>
      </c>
      <c r="CY115" s="59">
        <f ca="1">AVERAGE(OFFSET($CX$3,0,0,'Données projet'!$E$13+1,1))-AVERAGE(OFFSET($H$3,0,0,'Données projet'!$E$13+1,1))</f>
        <v>260.25859566735949</v>
      </c>
      <c r="CZ115" s="59">
        <f t="shared" si="96"/>
        <v>256.93649773468667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35.753101413636998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35.753101413636998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>
        <f>VLOOKUP(A115,'Données projet'!$A$165:$I$185,2,0)</f>
        <v>177.88</v>
      </c>
      <c r="DM115" s="12">
        <f>VLOOKUP(A115,'Données projet'!$A$165:$I$185,9,0)</f>
        <v>2.9550000000000054</v>
      </c>
      <c r="DN115" s="12">
        <f t="array" ref="DN115">INDEX(DM:DM,MIN(IF(ISNUMBER(DM115:DM311),ROW(DM115:DM311),"")))</f>
        <v>2.9550000000000054</v>
      </c>
      <c r="DO115" s="12">
        <f>IF('Données projet'!$A$166&gt;35,DO114+DN115-DW114,IF(A115&lt;'Données projet'!$A$166,$DL$205^A115,IF(A115='Données projet'!$A$166,'Données projet'!$B$166,DO114+DN115-DW114)))</f>
        <v>177.87999999999977</v>
      </c>
      <c r="DP115" s="17">
        <f>DO115*VLOOKUP('Données projet'!$B$14,Paramètres!$A$1:$I$89,3,0)*VLOOKUP('Données projet'!$B$14,Paramètres!$A$1:$I$89,5,0)</f>
        <v>101.74735999999987</v>
      </c>
      <c r="DQ115" s="13">
        <f t="shared" si="97"/>
        <v>27.377861354407212</v>
      </c>
      <c r="DR115" s="20">
        <f t="shared" si="70"/>
        <v>224.89309385892565</v>
      </c>
      <c r="DS115" s="59">
        <f t="shared" si="71"/>
        <v>504.57583762080048</v>
      </c>
      <c r="DT115" s="59">
        <f ca="1">AVERAGE(OFFSET($DS$3,0,0,'Données projet'!$E$14+1,1))-AVERAGE(OFFSET($H$3,0,0,'Données projet'!$E$14+1,1))</f>
        <v>349.56396446903</v>
      </c>
      <c r="DU115" s="59">
        <f t="shared" si="98"/>
        <v>270.64279448634522</v>
      </c>
      <c r="DV115" s="15">
        <f>IF(ISNA(VLOOKUP(A115,'Données projet'!$A$165:$I$185,3,0)),0,VLOOKUP(A115,'Données projet'!$A$165:$I$185,3,0))</f>
        <v>10</v>
      </c>
      <c r="DW115" s="15">
        <f>IF(ISNA(VLOOKUP(A115,'Données projet'!$A$165:$I$185,4,0)),0,VLOOKUP(A115,'Données projet'!$A$165:$I$185,4,0))</f>
        <v>177.88</v>
      </c>
      <c r="DX115" s="16">
        <f>IF(ISNA(VLOOKUP(A115,'Données projet'!$A$165:$I$185,5,0)),0%,VLOOKUP(A115,'Données projet'!$A$165:$I$185,5,0)*VLOOKUP('Données projet'!$B$14,Paramètres!$A$1:$I$89,7,0))</f>
        <v>0.315</v>
      </c>
      <c r="DY115" s="16">
        <f>IF(ISNA(VLOOKUP(A115,'Données projet'!$A$165:$I$185,6,0)),0%,VLOOKUP(A115,'Données projet'!$A$165:$I$185,6,0)*VLOOKUP('Données projet'!$B$14,Paramètres!$A$1:$I$89,7,0))</f>
        <v>0.13500000000000001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119.60103302593325</v>
      </c>
      <c r="EB115" s="21">
        <f>EXP(-LN(2)/25)*EB114+(1-EXP(-LN(2)/25))/(LN(2)/25)*Calculateur!DW115*Calculateur!DY115*VLOOKUP('Données projet'!$B$14,Paramètres!$A$1:$I$89,3,0)*0.475*44/12</f>
        <v>54.999405614126985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174.60043864006025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375.89365709113105</v>
      </c>
      <c r="EP115" s="59">
        <f t="shared" si="100"/>
        <v>279.39056561403834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88.35324478764386</v>
      </c>
      <c r="EW115" s="21">
        <f>EXP(-LN(2)/25)*EW114+(1-EXP(-LN(2)/25))/(LN(2)/25)*Calculateur!ER115*Calculateur!ET115*VLOOKUP('Données projet'!$B$15,Paramètres!$A$1:$I$89,3,0)*0.475*44/12</f>
        <v>34.143981000462851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122.4972257881067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-1.1368683772161603E-13</v>
      </c>
      <c r="FF115" s="17">
        <f>FE115*VLOOKUP('Données projet'!$B$16,Paramètres!$A$1:$I$89,3,0)*VLOOKUP('Données projet'!$B$16,Paramètres!$A$1:$I$89,5,0)</f>
        <v>-6.7984728957526396E-14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319.29539841078537</v>
      </c>
      <c r="FK115" s="59">
        <f t="shared" si="102"/>
        <v>327.26871144121412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49.382293438702405</v>
      </c>
      <c r="FR115" s="21">
        <f>EXP(-LN(2)/25)*FR114+(1-EXP(-LN(2)/25))/(LN(2)/25)*Calculateur!FM115*Calculateur!FO115*VLOOKUP('Données projet'!$B$16,Paramètres!$A$1:$I$89,3,0)*0.475*44/12</f>
        <v>20.268183298319091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69.650476737021492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2.2737367544323206E-13</v>
      </c>
      <c r="GA115" s="17">
        <f>FZ115*VLOOKUP('Données projet'!$B$17,Paramètres!$A$1:$I$89,3,0)*VLOOKUP('Données projet'!$B$17,Paramètres!$A$1:$I$89,5,0)</f>
        <v>1.0049916454590858E-13</v>
      </c>
      <c r="GB115" s="13">
        <f t="shared" si="103"/>
        <v>1.5089081593838289E-12</v>
      </c>
      <c r="GC115" s="20">
        <f t="shared" si="79"/>
        <v>2.8030510891776262E-12</v>
      </c>
      <c r="GD115" s="59">
        <f t="shared" si="80"/>
        <v>279.68274376187765</v>
      </c>
      <c r="GE115" s="59">
        <f ca="1">AVERAGE(OFFSET($GD$3,0,0,'Données projet'!$E$17+1,1))-AVERAGE(OFFSET($H$3,0,0,'Données projet'!$E$17+1,1))</f>
        <v>342.89128067483233</v>
      </c>
      <c r="GF115" s="59">
        <f t="shared" si="104"/>
        <v>453.47615302202996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58.936162862757151</v>
      </c>
      <c r="GM115" s="21">
        <f>EXP(-LN(2)/25)*GM114+(1-EXP(-LN(2)/25))/(LN(2)/25)*Calculateur!GH115*Calculateur!GJ115*VLOOKUP('Données projet'!$B$17,Paramètres!$A$1:$I$89,3,0)*0.475*44/12</f>
        <v>27.767674173426748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86.703837036183899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66.27711193505678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>
        <f>GU115*VLOOKUP('Données projet'!$B$18,Paramètres!$A$1:$I$89,3,0)*VLOOKUP('Données projet'!$B$18,Paramètres!$A$1:$I$89,5,0)</f>
        <v>0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375.89365709113105</v>
      </c>
      <c r="HA115" s="59">
        <f t="shared" si="106"/>
        <v>279.39056561403834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88.35324478764386</v>
      </c>
      <c r="HH115" s="21">
        <f>EXP(-LN(2)/25)*HH114+(1-EXP(-LN(2)/25))/(LN(2)/25)*Calculateur!HC115*Calculateur!HE115*VLOOKUP('Données projet'!$B$18,Paramètres!$A$1:$I$89,3,0)*0.475*44/12</f>
        <v>34.143981000462851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122.4972257881067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178.09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340.77934800000043</v>
      </c>
      <c r="P116" s="13">
        <f t="shared" si="87"/>
        <v>79.660943190415296</v>
      </c>
      <c r="Q116" s="20">
        <f t="shared" si="107"/>
        <v>732.26684048997402</v>
      </c>
      <c r="R116" s="59">
        <f t="shared" si="55"/>
        <v>1012.1863914627673</v>
      </c>
      <c r="S116" s="59">
        <f ca="1">AVERAGE(OFFSET($R$3,0,0,'Données projet'!$E$9+1,1))-AVERAGE(OFFSET($H$3,0,0,'Données projet'!$E$9+1,1))</f>
        <v>631.31712308065664</v>
      </c>
      <c r="T116" s="59">
        <f t="shared" si="88"/>
        <v>290.92244624361285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48.248184354106975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48.248184354106975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337.78</v>
      </c>
      <c r="AG116" s="12">
        <f>VLOOKUP(A116,'Données projet'!$A$61:$I$81,9,0)</f>
        <v>7.456999999999999</v>
      </c>
      <c r="AH116" s="12">
        <f t="array" ref="AH116">INDEX(AG:AG,MIN(IF(ISNUMBER(AG116:AG312),ROW(AG116:AG312),"")))</f>
        <v>7.456999999999999</v>
      </c>
      <c r="AI116" s="13">
        <f>IF('Données projet'!$A$62&gt;35,AI115+AH116-AQ115,IF(A116&lt;'Données projet'!$A$62,$AF$205^A116,IF(A116='Données projet'!$A$62,'Données projet'!$B$62,AI115+AH116-AQ115)))</f>
        <v>337.78</v>
      </c>
      <c r="AJ116" s="13">
        <f>AI116*VLOOKUP('Données projet'!$B$10,Paramètres!$A$1:$I$89,3,0)*VLOOKUP('Données projet'!$B$10,Paramètres!$A$1:$I$89,5,0)</f>
        <v>284.54587199999997</v>
      </c>
      <c r="AK116" s="13">
        <f t="shared" si="89"/>
        <v>67.926780018045676</v>
      </c>
      <c r="AL116" s="20">
        <f t="shared" si="58"/>
        <v>613.88986893142953</v>
      </c>
      <c r="AM116" s="59">
        <f t="shared" si="59"/>
        <v>893.80941990422286</v>
      </c>
      <c r="AN116" s="59">
        <f ca="1">AVERAGE(OFFSET($AM$3,0,0,'Données projet'!$E$10+1,1))-AVERAGE(OFFSET($H$3,0,0,'Données projet'!$E$10+1,1))</f>
        <v>401.19166052471473</v>
      </c>
      <c r="AO116" s="59">
        <f t="shared" si="90"/>
        <v>271.10067497534271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59.52</v>
      </c>
      <c r="AR116" s="16">
        <f>IF(ISNA(VLOOKUP(A116,'Données projet'!$A$61:$I$81,5,0)),0%,VLOOKUP(A116,'Données projet'!$A$61:$I$81,5,0)*VLOOKUP('Données projet'!$B$10,Paramètres!$A$1:$I$89,7,0))</f>
        <v>0.25800000000000001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53.731938944151018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53.731938944151018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381.90789000000052</v>
      </c>
      <c r="BF116" s="13">
        <f t="shared" si="91"/>
        <v>88.098945669848248</v>
      </c>
      <c r="BG116" s="20">
        <f t="shared" si="61"/>
        <v>818.59523879165329</v>
      </c>
      <c r="BH116" s="59">
        <f t="shared" si="62"/>
        <v>1098.5147897644465</v>
      </c>
      <c r="BI116" s="59">
        <f ca="1">AVERAGE(OFFSET($BH$3,0,0,'Données projet'!$E$11+1,1))-AVERAGE(OFFSET($H$3,0,0,'Données projet'!$E$11+1,1))</f>
        <v>695.93700574708214</v>
      </c>
      <c r="BJ116" s="59">
        <f t="shared" si="92"/>
        <v>318.31690229208471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54.071241086499214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54.071241086499214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1.7053025658242404E-13</v>
      </c>
      <c r="BZ116" s="13">
        <f>BY116*VLOOKUP('Données projet'!$B$12,Paramètres!$A$1:$I$89,3,0)*VLOOKUP('Données projet'!$B$12,Paramètres!$A$1:$I$89,5,0)</f>
        <v>1.1173142411280423E-13</v>
      </c>
      <c r="CA116" s="13">
        <f t="shared" si="93"/>
        <v>1.6569896290553793E-12</v>
      </c>
      <c r="CB116" s="20">
        <f t="shared" si="64"/>
        <v>3.0805225009345862E-12</v>
      </c>
      <c r="CC116" s="59">
        <f t="shared" si="65"/>
        <v>279.9195509727964</v>
      </c>
      <c r="CD116" s="59">
        <f ca="1">AVERAGE(OFFSET($CC$3,0,0,'Données projet'!$E$12+1,1))-AVERAGE(OFFSET($H$3,0,0,'Données projet'!$E$12+1,1))</f>
        <v>260.25859566735949</v>
      </c>
      <c r="CE116" s="59">
        <f t="shared" si="94"/>
        <v>256.93649773468667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35.052004902154152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35.052004902154152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1.7053025658242404E-13</v>
      </c>
      <c r="CU116" s="17">
        <f>CT116*VLOOKUP('Données projet'!$B$13,Paramètres!$A$1:$I$89,3,0)*VLOOKUP('Données projet'!$B$13,Paramètres!$A$1:$I$89,5,0)</f>
        <v>1.1173142411280423E-13</v>
      </c>
      <c r="CV116" s="13">
        <f t="shared" si="95"/>
        <v>1.6569896290553793E-12</v>
      </c>
      <c r="CW116" s="20">
        <f t="shared" si="67"/>
        <v>3.0805225009345862E-12</v>
      </c>
      <c r="CX116" s="59">
        <f t="shared" si="68"/>
        <v>279.9195509727964</v>
      </c>
      <c r="CY116" s="59">
        <f ca="1">AVERAGE(OFFSET($CX$3,0,0,'Données projet'!$E$13+1,1))-AVERAGE(OFFSET($H$3,0,0,'Données projet'!$E$13+1,1))</f>
        <v>260.25859566735949</v>
      </c>
      <c r="CZ116" s="59">
        <f t="shared" si="96"/>
        <v>256.93649773468667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35.052004902154152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35.052004902154152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-2.2737367544323206E-13</v>
      </c>
      <c r="DP116" s="17">
        <f>DO116*VLOOKUP('Données projet'!$B$14,Paramètres!$A$1:$I$89,3,0)*VLOOKUP('Données projet'!$B$14,Paramètres!$A$1:$I$89,5,0)</f>
        <v>-1.3005774235352875E-13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349.56396446903</v>
      </c>
      <c r="DU116" s="59">
        <f t="shared" si="98"/>
        <v>270.64279448634522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117.25572971772168</v>
      </c>
      <c r="EB116" s="21">
        <f>EXP(-LN(2)/25)*EB115+(1-EXP(-LN(2)/25))/(LN(2)/25)*Calculateur!DW116*Calculateur!DY116*VLOOKUP('Données projet'!$B$14,Paramètres!$A$1:$I$89,3,0)*0.475*44/12</f>
        <v>53.495443975315645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170.75117369303732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375.89365709113105</v>
      </c>
      <c r="EP116" s="59">
        <f t="shared" si="100"/>
        <v>279.39056561403834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86.620691547516273</v>
      </c>
      <c r="EW116" s="21">
        <f>EXP(-LN(2)/25)*EW115+(1-EXP(-LN(2)/25))/(LN(2)/25)*Calculateur!ER116*Calculateur!ET116*VLOOKUP('Données projet'!$B$15,Paramètres!$A$1:$I$89,3,0)*0.475*44/12</f>
        <v>33.210312044451271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119.83100359196754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-1.1368683772161603E-13</v>
      </c>
      <c r="FF116" s="17">
        <f>FE116*VLOOKUP('Données projet'!$B$16,Paramètres!$A$1:$I$89,3,0)*VLOOKUP('Données projet'!$B$16,Paramètres!$A$1:$I$89,5,0)</f>
        <v>-6.7984728957526396E-14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319.29539841078537</v>
      </c>
      <c r="FK116" s="59">
        <f t="shared" si="102"/>
        <v>327.26871144121412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48.41393678459432</v>
      </c>
      <c r="FR116" s="21">
        <f>EXP(-LN(2)/25)*FR115+(1-EXP(-LN(2)/25))/(LN(2)/25)*Calculateur!FM116*Calculateur!FO116*VLOOKUP('Données projet'!$B$16,Paramètres!$A$1:$I$89,3,0)*0.475*44/12</f>
        <v>19.713948760169121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68.127885544763444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2.2737367544323206E-13</v>
      </c>
      <c r="GA116" s="17">
        <f>FZ116*VLOOKUP('Données projet'!$B$17,Paramètres!$A$1:$I$89,3,0)*VLOOKUP('Données projet'!$B$17,Paramètres!$A$1:$I$89,5,0)</f>
        <v>1.0049916454590858E-13</v>
      </c>
      <c r="GB116" s="13">
        <f t="shared" si="103"/>
        <v>1.5089081593838289E-12</v>
      </c>
      <c r="GC116" s="20">
        <f t="shared" si="79"/>
        <v>2.8030510891776262E-12</v>
      </c>
      <c r="GD116" s="59">
        <f t="shared" si="80"/>
        <v>279.91955097279612</v>
      </c>
      <c r="GE116" s="59">
        <f ca="1">AVERAGE(OFFSET($GD$3,0,0,'Données projet'!$E$17+1,1))-AVERAGE(OFFSET($H$3,0,0,'Données projet'!$E$17+1,1))</f>
        <v>342.89128067483233</v>
      </c>
      <c r="GF116" s="59">
        <f t="shared" si="104"/>
        <v>453.47615302202996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57.780460656528305</v>
      </c>
      <c r="GM116" s="21">
        <f>EXP(-LN(2)/25)*GM115+(1-EXP(-LN(2)/25))/(LN(2)/25)*Calculateur!GH116*Calculateur!GJ116*VLOOKUP('Données projet'!$B$17,Paramètres!$A$1:$I$89,3,0)*0.475*44/12</f>
        <v>27.008365662915871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84.788826319444183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66.341695719852723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>
        <f>GU116*VLOOKUP('Données projet'!$B$18,Paramètres!$A$1:$I$89,3,0)*VLOOKUP('Données projet'!$B$18,Paramètres!$A$1:$I$89,5,0)</f>
        <v>0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375.89365709113105</v>
      </c>
      <c r="HA116" s="59">
        <f t="shared" si="106"/>
        <v>279.39056561403834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86.620691547516273</v>
      </c>
      <c r="HH116" s="21">
        <f>EXP(-LN(2)/25)*HH115+(1-EXP(-LN(2)/25))/(LN(2)/25)*Calculateur!HC116*Calculateur!HE116*VLOOKUP('Données projet'!$B$18,Paramètres!$A$1:$I$89,3,0)*0.475*44/12</f>
        <v>33.210312044451271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119.83100359196754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178.09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347.95893600000045</v>
      </c>
      <c r="P117" s="13">
        <f t="shared" si="87"/>
        <v>81.142092010767954</v>
      </c>
      <c r="Q117" s="20">
        <f t="shared" si="107"/>
        <v>747.35095711875499</v>
      </c>
      <c r="R117" s="59">
        <f t="shared" si="55"/>
        <v>1027.5032072267791</v>
      </c>
      <c r="S117" s="59">
        <f ca="1">AVERAGE(OFFSET($R$3,0,0,'Données projet'!$E$9+1,1))-AVERAGE(OFFSET($H$3,0,0,'Données projet'!$E$9+1,1))</f>
        <v>631.31712308065664</v>
      </c>
      <c r="T117" s="59">
        <f t="shared" si="88"/>
        <v>290.92244624361285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61.771448286126386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61.771448286126386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7.3920000000000012</v>
      </c>
      <c r="AI117" s="13">
        <f>IF('Données projet'!$A$62&gt;35,AI116+AH117-AQ116,IF(A117&lt;'Données projet'!$A$62,$AF$205^A117,IF(A117='Données projet'!$A$62,'Données projet'!$B$62,AI116+AH117-AQ116)))</f>
        <v>285.65199999999999</v>
      </c>
      <c r="AJ117" s="13">
        <f>AI117*VLOOKUP('Données projet'!$B$10,Paramètres!$A$1:$I$89,3,0)*VLOOKUP('Données projet'!$B$10,Paramètres!$A$1:$I$89,5,0)</f>
        <v>240.63324480000003</v>
      </c>
      <c r="AK117" s="13">
        <f t="shared" si="89"/>
        <v>58.575755284088402</v>
      </c>
      <c r="AL117" s="20">
        <f t="shared" si="58"/>
        <v>521.12234181312056</v>
      </c>
      <c r="AM117" s="59">
        <f t="shared" si="59"/>
        <v>801.27459192114452</v>
      </c>
      <c r="AN117" s="59">
        <f ca="1">AVERAGE(OFFSET($AM$3,0,0,'Données projet'!$E$10+1,1))-AVERAGE(OFFSET($H$3,0,0,'Données projet'!$E$10+1,1))</f>
        <v>401.19166052471473</v>
      </c>
      <c r="AO117" s="59">
        <f t="shared" si="90"/>
        <v>271.10067497534271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52.678288394702882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52.678288394702882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389.95398000000051</v>
      </c>
      <c r="BF117" s="13">
        <f t="shared" si="91"/>
        <v>89.736983637102725</v>
      </c>
      <c r="BG117" s="20">
        <f t="shared" si="61"/>
        <v>835.46176166795476</v>
      </c>
      <c r="BH117" s="59">
        <f t="shared" si="62"/>
        <v>1115.6140117759787</v>
      </c>
      <c r="BI117" s="59">
        <f ca="1">AVERAGE(OFFSET($BH$3,0,0,'Données projet'!$E$11+1,1))-AVERAGE(OFFSET($H$3,0,0,'Données projet'!$E$11+1,1))</f>
        <v>695.93700574708214</v>
      </c>
      <c r="BJ117" s="59">
        <f t="shared" si="92"/>
        <v>318.31690229208471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69.226623079279591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69.226623079279591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1.7053025658242404E-13</v>
      </c>
      <c r="BZ117" s="13">
        <f>BY117*VLOOKUP('Données projet'!$B$12,Paramètres!$A$1:$I$89,3,0)*VLOOKUP('Données projet'!$B$12,Paramètres!$A$1:$I$89,5,0)</f>
        <v>1.1173142411280423E-13</v>
      </c>
      <c r="CA117" s="13">
        <f t="shared" si="93"/>
        <v>1.6569896290553793E-12</v>
      </c>
      <c r="CB117" s="20">
        <f t="shared" si="64"/>
        <v>3.0805225009345862E-12</v>
      </c>
      <c r="CC117" s="59">
        <f t="shared" si="65"/>
        <v>280.15225010802703</v>
      </c>
      <c r="CD117" s="59">
        <f ca="1">AVERAGE(OFFSET($CC$3,0,0,'Données projet'!$E$12+1,1))-AVERAGE(OFFSET($H$3,0,0,'Données projet'!$E$12+1,1))</f>
        <v>260.25859566735949</v>
      </c>
      <c r="CE117" s="59">
        <f t="shared" si="94"/>
        <v>256.93649773468667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34.364656465634837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34.364656465634837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1.7053025658242404E-13</v>
      </c>
      <c r="CU117" s="17">
        <f>CT117*VLOOKUP('Données projet'!$B$13,Paramètres!$A$1:$I$89,3,0)*VLOOKUP('Données projet'!$B$13,Paramètres!$A$1:$I$89,5,0)</f>
        <v>1.1173142411280423E-13</v>
      </c>
      <c r="CV117" s="13">
        <f t="shared" si="95"/>
        <v>1.6569896290553793E-12</v>
      </c>
      <c r="CW117" s="20">
        <f t="shared" si="67"/>
        <v>3.0805225009345862E-12</v>
      </c>
      <c r="CX117" s="59">
        <f t="shared" si="68"/>
        <v>280.15225010802703</v>
      </c>
      <c r="CY117" s="59">
        <f ca="1">AVERAGE(OFFSET($CX$3,0,0,'Données projet'!$E$13+1,1))-AVERAGE(OFFSET($H$3,0,0,'Données projet'!$E$13+1,1))</f>
        <v>260.25859566735949</v>
      </c>
      <c r="CZ117" s="59">
        <f t="shared" si="96"/>
        <v>256.93649773468667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34.364656465634837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34.364656465634837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-2.2737367544323206E-13</v>
      </c>
      <c r="DP117" s="17">
        <f>DO117*VLOOKUP('Données projet'!$B$14,Paramètres!$A$1:$I$89,3,0)*VLOOKUP('Données projet'!$B$14,Paramètres!$A$1:$I$89,5,0)</f>
        <v>-1.3005774235352875E-13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349.56396446903</v>
      </c>
      <c r="DU117" s="59">
        <f t="shared" si="98"/>
        <v>270.64279448634522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114.95641637689037</v>
      </c>
      <c r="EB117" s="21">
        <f>EXP(-LN(2)/25)*EB116+(1-EXP(-LN(2)/25))/(LN(2)/25)*Calculateur!DW117*Calculateur!DY117*VLOOKUP('Données projet'!$B$14,Paramètres!$A$1:$I$89,3,0)*0.475*44/12</f>
        <v>52.032608246607502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166.98902462349787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375.89365709113105</v>
      </c>
      <c r="EP117" s="59">
        <f t="shared" si="100"/>
        <v>279.39056561403834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84.922112619674451</v>
      </c>
      <c r="EW117" s="21">
        <f>EXP(-LN(2)/25)*EW116+(1-EXP(-LN(2)/25))/(LN(2)/25)*Calculateur!ER117*Calculateur!ET117*VLOOKUP('Données projet'!$B$15,Paramètres!$A$1:$I$89,3,0)*0.475*44/12</f>
        <v>32.302174315141343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117.22428693481579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-1.1368683772161603E-13</v>
      </c>
      <c r="FF117" s="17">
        <f>FE117*VLOOKUP('Données projet'!$B$16,Paramètres!$A$1:$I$89,3,0)*VLOOKUP('Données projet'!$B$16,Paramètres!$A$1:$I$89,5,0)</f>
        <v>-6.7984728957526396E-14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319.29539841078537</v>
      </c>
      <c r="FK117" s="59">
        <f t="shared" si="102"/>
        <v>327.26871144121412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47.464569013834058</v>
      </c>
      <c r="FR117" s="21">
        <f>EXP(-LN(2)/25)*FR116+(1-EXP(-LN(2)/25))/(LN(2)/25)*Calculateur!FM117*Calculateur!FO117*VLOOKUP('Données projet'!$B$16,Paramètres!$A$1:$I$89,3,0)*0.475*44/12</f>
        <v>19.174869794610789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66.639438808444851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2.2737367544323206E-13</v>
      </c>
      <c r="GA117" s="17">
        <f>FZ117*VLOOKUP('Données projet'!$B$17,Paramètres!$A$1:$I$89,3,0)*VLOOKUP('Données projet'!$B$17,Paramètres!$A$1:$I$89,5,0)</f>
        <v>1.0049916454590858E-13</v>
      </c>
      <c r="GB117" s="13">
        <f t="shared" si="103"/>
        <v>1.5089081593838289E-12</v>
      </c>
      <c r="GC117" s="20">
        <f t="shared" si="79"/>
        <v>2.8030510891776262E-12</v>
      </c>
      <c r="GD117" s="59">
        <f t="shared" si="80"/>
        <v>280.15225010802675</v>
      </c>
      <c r="GE117" s="59">
        <f ca="1">AVERAGE(OFFSET($GD$3,0,0,'Données projet'!$E$17+1,1))-AVERAGE(OFFSET($H$3,0,0,'Données projet'!$E$17+1,1))</f>
        <v>342.89128067483233</v>
      </c>
      <c r="GF117" s="59">
        <f t="shared" si="104"/>
        <v>453.47615302202996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56.647421065654868</v>
      </c>
      <c r="GM117" s="21">
        <f>EXP(-LN(2)/25)*GM116+(1-EXP(-LN(2)/25))/(LN(2)/25)*Calculateur!GH117*Calculateur!GJ117*VLOOKUP('Données projet'!$B$17,Paramètres!$A$1:$I$89,3,0)*0.475*44/12</f>
        <v>26.269820483555215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82.917241549210075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66.405159120370172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>
        <f>GU117*VLOOKUP('Données projet'!$B$18,Paramètres!$A$1:$I$89,3,0)*VLOOKUP('Données projet'!$B$18,Paramètres!$A$1:$I$89,5,0)</f>
        <v>0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375.89365709113105</v>
      </c>
      <c r="HA117" s="59">
        <f t="shared" si="106"/>
        <v>279.39056561403834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84.922112619674451</v>
      </c>
      <c r="HH117" s="21">
        <f>EXP(-LN(2)/25)*HH116+(1-EXP(-LN(2)/25))/(LN(2)/25)*Calculateur!HC117*Calculateur!HE117*VLOOKUP('Données projet'!$B$18,Paramètres!$A$1:$I$89,3,0)*0.475*44/12</f>
        <v>32.302174315141343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117.22428693481579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178.09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304.45796160000049</v>
      </c>
      <c r="P118" s="13">
        <f t="shared" si="87"/>
        <v>72.11021964481435</v>
      </c>
      <c r="Q118" s="20">
        <f t="shared" si="107"/>
        <v>655.85624900138566</v>
      </c>
      <c r="R118" s="59">
        <f t="shared" si="55"/>
        <v>936.23716143488139</v>
      </c>
      <c r="S118" s="59">
        <f ca="1">AVERAGE(OFFSET($R$3,0,0,'Données projet'!$E$9+1,1))-AVERAGE(OFFSET($H$3,0,0,'Données projet'!$E$9+1,1))</f>
        <v>631.31712308065664</v>
      </c>
      <c r="T118" s="59">
        <f t="shared" si="88"/>
        <v>290.92244624361285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60.560147862098624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60.560147862098624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7.3920000000000012</v>
      </c>
      <c r="AI118" s="13">
        <f>IF('Données projet'!$A$62&gt;35,AI117+AH118-AQ117,IF(A118&lt;'Données projet'!$A$62,$AF$205^A118,IF(A118='Données projet'!$A$62,'Données projet'!$B$62,AI117+AH118-AQ117)))</f>
        <v>293.04399999999998</v>
      </c>
      <c r="AJ118" s="13">
        <f>AI118*VLOOKUP('Données projet'!$B$10,Paramètres!$A$1:$I$89,3,0)*VLOOKUP('Données projet'!$B$10,Paramètres!$A$1:$I$89,5,0)</f>
        <v>246.86026560000002</v>
      </c>
      <c r="AK118" s="13">
        <f t="shared" si="89"/>
        <v>59.913120249542224</v>
      </c>
      <c r="AL118" s="20">
        <f t="shared" si="58"/>
        <v>534.29698035461945</v>
      </c>
      <c r="AM118" s="59">
        <f t="shared" si="59"/>
        <v>814.67789278811517</v>
      </c>
      <c r="AN118" s="59">
        <f ca="1">AVERAGE(OFFSET($AM$3,0,0,'Données projet'!$E$10+1,1))-AVERAGE(OFFSET($H$3,0,0,'Données projet'!$E$10+1,1))</f>
        <v>401.19166052471473</v>
      </c>
      <c r="AO118" s="59">
        <f t="shared" si="90"/>
        <v>271.10067497534271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51.645299289866045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51.645299289866045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341.2028880000006</v>
      </c>
      <c r="BF118" s="13">
        <f t="shared" si="91"/>
        <v>79.748419593074587</v>
      </c>
      <c r="BG118" s="20">
        <f t="shared" si="61"/>
        <v>733.15686072460585</v>
      </c>
      <c r="BH118" s="59">
        <f t="shared" si="62"/>
        <v>1013.5377731581016</v>
      </c>
      <c r="BI118" s="59">
        <f ca="1">AVERAGE(OFFSET($BH$3,0,0,'Données projet'!$E$11+1,1))-AVERAGE(OFFSET($H$3,0,0,'Données projet'!$E$11+1,1))</f>
        <v>695.93700574708214</v>
      </c>
      <c r="BJ118" s="59">
        <f t="shared" si="92"/>
        <v>318.31690229208471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67.869131224765709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67.869131224765709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1.7053025658242404E-13</v>
      </c>
      <c r="BZ118" s="13">
        <f>BY118*VLOOKUP('Données projet'!$B$12,Paramètres!$A$1:$I$89,3,0)*VLOOKUP('Données projet'!$B$12,Paramètres!$A$1:$I$89,5,0)</f>
        <v>1.1173142411280423E-13</v>
      </c>
      <c r="CA118" s="13">
        <f t="shared" si="93"/>
        <v>1.6569896290553793E-12</v>
      </c>
      <c r="CB118" s="20">
        <f t="shared" si="64"/>
        <v>3.0805225009345862E-12</v>
      </c>
      <c r="CC118" s="59">
        <f t="shared" si="65"/>
        <v>280.38091243349879</v>
      </c>
      <c r="CD118" s="59">
        <f ca="1">AVERAGE(OFFSET($CC$3,0,0,'Données projet'!$E$12+1,1))-AVERAGE(OFFSET($H$3,0,0,'Données projet'!$E$12+1,1))</f>
        <v>260.25859566735949</v>
      </c>
      <c r="CE118" s="59">
        <f t="shared" si="94"/>
        <v>256.93649773468667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33.690786512714517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33.690786512714517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1.7053025658242404E-13</v>
      </c>
      <c r="CU118" s="17">
        <f>CT118*VLOOKUP('Données projet'!$B$13,Paramètres!$A$1:$I$89,3,0)*VLOOKUP('Données projet'!$B$13,Paramètres!$A$1:$I$89,5,0)</f>
        <v>1.1173142411280423E-13</v>
      </c>
      <c r="CV118" s="13">
        <f t="shared" si="95"/>
        <v>1.6569896290553793E-12</v>
      </c>
      <c r="CW118" s="20">
        <f t="shared" si="67"/>
        <v>3.0805225009345862E-12</v>
      </c>
      <c r="CX118" s="59">
        <f t="shared" si="68"/>
        <v>280.38091243349879</v>
      </c>
      <c r="CY118" s="59">
        <f ca="1">AVERAGE(OFFSET($CX$3,0,0,'Données projet'!$E$13+1,1))-AVERAGE(OFFSET($H$3,0,0,'Données projet'!$E$13+1,1))</f>
        <v>260.25859566735949</v>
      </c>
      <c r="CZ118" s="59">
        <f t="shared" si="96"/>
        <v>256.93649773468667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33.690786512714517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33.690786512714517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-2.2737367544323206E-13</v>
      </c>
      <c r="DP118" s="17">
        <f>DO118*VLOOKUP('Données projet'!$B$14,Paramètres!$A$1:$I$89,3,0)*VLOOKUP('Données projet'!$B$14,Paramètres!$A$1:$I$89,5,0)</f>
        <v>-1.3005774235352875E-13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349.56396446903</v>
      </c>
      <c r="DU118" s="59">
        <f t="shared" si="98"/>
        <v>270.64279448634522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112.70219116823012</v>
      </c>
      <c r="EB118" s="21">
        <f>EXP(-LN(2)/25)*EB117+(1-EXP(-LN(2)/25))/(LN(2)/25)*Calculateur!DW118*Calculateur!DY118*VLOOKUP('Données projet'!$B$14,Paramètres!$A$1:$I$89,3,0)*0.475*44/12</f>
        <v>50.609773837828072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163.31196500605819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375.89365709113105</v>
      </c>
      <c r="EP118" s="59">
        <f t="shared" si="100"/>
        <v>279.39056561403834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83.256841788576764</v>
      </c>
      <c r="EW118" s="21">
        <f>EXP(-LN(2)/25)*EW117+(1-EXP(-LN(2)/25))/(LN(2)/25)*Calculateur!ER118*Calculateur!ET118*VLOOKUP('Données projet'!$B$15,Paramètres!$A$1:$I$89,3,0)*0.475*44/12</f>
        <v>31.418869659796282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114.67571144837305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-1.1368683772161603E-13</v>
      </c>
      <c r="FF118" s="17">
        <f>FE118*VLOOKUP('Données projet'!$B$16,Paramètres!$A$1:$I$89,3,0)*VLOOKUP('Données projet'!$B$16,Paramètres!$A$1:$I$89,5,0)</f>
        <v>-6.7984728957526396E-14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319.29539841078537</v>
      </c>
      <c r="FK118" s="59">
        <f t="shared" si="102"/>
        <v>327.26871144121412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46.533817766001242</v>
      </c>
      <c r="FR118" s="21">
        <f>EXP(-LN(2)/25)*FR117+(1-EXP(-LN(2)/25))/(LN(2)/25)*Calculateur!FM118*Calculateur!FO118*VLOOKUP('Données projet'!$B$16,Paramètres!$A$1:$I$89,3,0)*0.475*44/12</f>
        <v>18.650531971714578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65.18434973771582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2.2737367544323206E-13</v>
      </c>
      <c r="GA118" s="17">
        <f>FZ118*VLOOKUP('Données projet'!$B$17,Paramètres!$A$1:$I$89,3,0)*VLOOKUP('Données projet'!$B$17,Paramètres!$A$1:$I$89,5,0)</f>
        <v>1.0049916454590858E-13</v>
      </c>
      <c r="GB118" s="13">
        <f t="shared" si="103"/>
        <v>1.5089081593838289E-12</v>
      </c>
      <c r="GC118" s="20">
        <f t="shared" si="79"/>
        <v>2.8030510891776262E-12</v>
      </c>
      <c r="GD118" s="59">
        <f t="shared" si="80"/>
        <v>280.38091243349851</v>
      </c>
      <c r="GE118" s="59">
        <f ca="1">AVERAGE(OFFSET($GD$3,0,0,'Données projet'!$E$17+1,1))-AVERAGE(OFFSET($H$3,0,0,'Données projet'!$E$17+1,1))</f>
        <v>342.89128067483233</v>
      </c>
      <c r="GF118" s="59">
        <f t="shared" si="104"/>
        <v>453.47615302202996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55.536599690072549</v>
      </c>
      <c r="GM118" s="21">
        <f>EXP(-LN(2)/25)*GM117+(1-EXP(-LN(2)/25))/(LN(2)/25)*Calculateur!GH118*Calculateur!GJ118*VLOOKUP('Données projet'!$B$17,Paramètres!$A$1:$I$89,3,0)*0.475*44/12</f>
        <v>25.551470860962578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81.088070551035131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66.46752157277156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>
        <f>GU118*VLOOKUP('Données projet'!$B$18,Paramètres!$A$1:$I$89,3,0)*VLOOKUP('Données projet'!$B$18,Paramètres!$A$1:$I$89,5,0)</f>
        <v>0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375.89365709113105</v>
      </c>
      <c r="HA118" s="59">
        <f t="shared" si="106"/>
        <v>279.39056561403834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83.256841788576764</v>
      </c>
      <c r="HH118" s="21">
        <f>EXP(-LN(2)/25)*HH117+(1-EXP(-LN(2)/25))/(LN(2)/25)*Calculateur!HC118*Calculateur!HE118*VLOOKUP('Données projet'!$B$18,Paramètres!$A$1:$I$89,3,0)*0.475*44/12</f>
        <v>31.418869659796282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114.67571144837305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178.09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311.68912320000049</v>
      </c>
      <c r="P119" s="13">
        <f t="shared" si="87"/>
        <v>73.621474685301479</v>
      </c>
      <c r="Q119" s="20">
        <f t="shared" si="107"/>
        <v>671.08262465023415</v>
      </c>
      <c r="R119" s="59">
        <f t="shared" si="55"/>
        <v>951.68823262906699</v>
      </c>
      <c r="S119" s="59">
        <f ca="1">AVERAGE(OFFSET($R$3,0,0,'Données projet'!$E$9+1,1))-AVERAGE(OFFSET($H$3,0,0,'Données projet'!$E$9+1,1))</f>
        <v>631.31712308065664</v>
      </c>
      <c r="T119" s="59">
        <f t="shared" si="88"/>
        <v>290.92244624361285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59.372600300565736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59.372600300565736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7.3920000000000012</v>
      </c>
      <c r="AI119" s="13">
        <f>IF('Données projet'!$A$62&gt;35,AI118+AH119-AQ118,IF(A119&lt;'Données projet'!$A$62,$AF$205^A119,IF(A119='Données projet'!$A$62,'Données projet'!$B$62,AI118+AH119-AQ118)))</f>
        <v>300.43599999999998</v>
      </c>
      <c r="AJ119" s="13">
        <f>AI119*VLOOKUP('Données projet'!$B$10,Paramètres!$A$1:$I$89,3,0)*VLOOKUP('Données projet'!$B$10,Paramètres!$A$1:$I$89,5,0)</f>
        <v>253.08728640000004</v>
      </c>
      <c r="AK119" s="13">
        <f t="shared" si="89"/>
        <v>61.246563795569969</v>
      </c>
      <c r="AL119" s="20">
        <f t="shared" si="58"/>
        <v>547.46478909061773</v>
      </c>
      <c r="AM119" s="59">
        <f t="shared" si="59"/>
        <v>828.07039706945056</v>
      </c>
      <c r="AN119" s="59">
        <f ca="1">AVERAGE(OFFSET($AM$3,0,0,'Données projet'!$E$10+1,1))-AVERAGE(OFFSET($H$3,0,0,'Données projet'!$E$10+1,1))</f>
        <v>401.19166052471473</v>
      </c>
      <c r="AO119" s="59">
        <f t="shared" si="90"/>
        <v>271.10067497534271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50.632566471313922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50.632566471313922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349.30677600000058</v>
      </c>
      <c r="BF119" s="13">
        <f t="shared" si="91"/>
        <v>81.419752750490431</v>
      </c>
      <c r="BG119" s="20">
        <f t="shared" si="61"/>
        <v>750.18203757377194</v>
      </c>
      <c r="BH119" s="59">
        <f t="shared" si="62"/>
        <v>1030.7876455526048</v>
      </c>
      <c r="BI119" s="59">
        <f ca="1">AVERAGE(OFFSET($BH$3,0,0,'Données projet'!$E$11+1,1))-AVERAGE(OFFSET($H$3,0,0,'Données projet'!$E$11+1,1))</f>
        <v>695.93700574708214</v>
      </c>
      <c r="BJ119" s="59">
        <f t="shared" si="92"/>
        <v>318.31690229208471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66.538258957530573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66.538258957530573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1.7053025658242404E-13</v>
      </c>
      <c r="BZ119" s="13">
        <f>BY119*VLOOKUP('Données projet'!$B$12,Paramètres!$A$1:$I$89,3,0)*VLOOKUP('Données projet'!$B$12,Paramètres!$A$1:$I$89,5,0)</f>
        <v>1.1173142411280423E-13</v>
      </c>
      <c r="CA119" s="13">
        <f t="shared" si="93"/>
        <v>1.6569896290553793E-12</v>
      </c>
      <c r="CB119" s="20">
        <f t="shared" si="64"/>
        <v>3.0805225009345862E-12</v>
      </c>
      <c r="CC119" s="59">
        <f t="shared" si="65"/>
        <v>280.60560797883596</v>
      </c>
      <c r="CD119" s="59">
        <f ca="1">AVERAGE(OFFSET($CC$3,0,0,'Données projet'!$E$12+1,1))-AVERAGE(OFFSET($H$3,0,0,'Données projet'!$E$12+1,1))</f>
        <v>260.25859566735949</v>
      </c>
      <c r="CE119" s="59">
        <f t="shared" si="94"/>
        <v>256.93649773468667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33.030130738550881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33.030130738550881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1.7053025658242404E-13</v>
      </c>
      <c r="CU119" s="17">
        <f>CT119*VLOOKUP('Données projet'!$B$13,Paramètres!$A$1:$I$89,3,0)*VLOOKUP('Données projet'!$B$13,Paramètres!$A$1:$I$89,5,0)</f>
        <v>1.1173142411280423E-13</v>
      </c>
      <c r="CV119" s="13">
        <f t="shared" si="95"/>
        <v>1.6569896290553793E-12</v>
      </c>
      <c r="CW119" s="20">
        <f t="shared" si="67"/>
        <v>3.0805225009345862E-12</v>
      </c>
      <c r="CX119" s="59">
        <f t="shared" si="68"/>
        <v>280.60560797883596</v>
      </c>
      <c r="CY119" s="59">
        <f ca="1">AVERAGE(OFFSET($CX$3,0,0,'Données projet'!$E$13+1,1))-AVERAGE(OFFSET($H$3,0,0,'Données projet'!$E$13+1,1))</f>
        <v>260.25859566735949</v>
      </c>
      <c r="CZ119" s="59">
        <f t="shared" si="96"/>
        <v>256.93649773468667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33.030130738550881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33.030130738550881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-2.2737367544323206E-13</v>
      </c>
      <c r="DP119" s="17">
        <f>DO119*VLOOKUP('Données projet'!$B$14,Paramètres!$A$1:$I$89,3,0)*VLOOKUP('Données projet'!$B$14,Paramètres!$A$1:$I$89,5,0)</f>
        <v>-1.3005774235352875E-13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349.56396446903</v>
      </c>
      <c r="DU119" s="59">
        <f t="shared" si="98"/>
        <v>270.64279448634522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110.49216994097007</v>
      </c>
      <c r="EB119" s="21">
        <f>EXP(-LN(2)/25)*EB118+(1-EXP(-LN(2)/25))/(LN(2)/25)*Calculateur!DW119*Calculateur!DY119*VLOOKUP('Données projet'!$B$14,Paramètres!$A$1:$I$89,3,0)*0.475*44/12</f>
        <v>49.225846910780326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159.71801685175041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375.89365709113105</v>
      </c>
      <c r="EP119" s="59">
        <f t="shared" si="100"/>
        <v>279.39056561403834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81.624225902761992</v>
      </c>
      <c r="EW119" s="21">
        <f>EXP(-LN(2)/25)*EW118+(1-EXP(-LN(2)/25))/(LN(2)/25)*Calculateur!ER119*Calculateur!ET119*VLOOKUP('Données projet'!$B$15,Paramètres!$A$1:$I$89,3,0)*0.475*44/12</f>
        <v>30.559719016702605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112.18394491946459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-1.1368683772161603E-13</v>
      </c>
      <c r="FF119" s="17">
        <f>FE119*VLOOKUP('Données projet'!$B$16,Paramètres!$A$1:$I$89,3,0)*VLOOKUP('Données projet'!$B$16,Paramètres!$A$1:$I$89,5,0)</f>
        <v>-6.7984728957526396E-14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319.29539841078537</v>
      </c>
      <c r="FK119" s="59">
        <f t="shared" si="102"/>
        <v>327.26871144121412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45.621317982436224</v>
      </c>
      <c r="FR119" s="21">
        <f>EXP(-LN(2)/25)*FR118+(1-EXP(-LN(2)/25))/(LN(2)/25)*Calculateur!FM119*Calculateur!FO119*VLOOKUP('Données projet'!$B$16,Paramètres!$A$1:$I$89,3,0)*0.475*44/12</f>
        <v>18.140532194159192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63.761850176595416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2.2737367544323206E-13</v>
      </c>
      <c r="GA119" s="17">
        <f>FZ119*VLOOKUP('Données projet'!$B$17,Paramètres!$A$1:$I$89,3,0)*VLOOKUP('Données projet'!$B$17,Paramètres!$A$1:$I$89,5,0)</f>
        <v>1.0049916454590858E-13</v>
      </c>
      <c r="GB119" s="13">
        <f t="shared" si="103"/>
        <v>1.5089081593838289E-12</v>
      </c>
      <c r="GC119" s="20">
        <f t="shared" si="79"/>
        <v>2.8030510891776262E-12</v>
      </c>
      <c r="GD119" s="59">
        <f t="shared" si="80"/>
        <v>280.60560797883568</v>
      </c>
      <c r="GE119" s="59">
        <f ca="1">AVERAGE(OFFSET($GD$3,0,0,'Données projet'!$E$17+1,1))-AVERAGE(OFFSET($H$3,0,0,'Données projet'!$E$17+1,1))</f>
        <v>342.89128067483233</v>
      </c>
      <c r="GF119" s="59">
        <f t="shared" si="104"/>
        <v>453.47615302202996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54.44756084413126</v>
      </c>
      <c r="GM119" s="21">
        <f>EXP(-LN(2)/25)*GM118+(1-EXP(-LN(2)/25))/(LN(2)/25)*Calculateur!GH119*Calculateur!GJ119*VLOOKUP('Données projet'!$B$17,Paramètres!$A$1:$I$89,3,0)*0.475*44/12</f>
        <v>24.8527645465761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79.300325390707357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66.528802176045332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>
        <f>GU119*VLOOKUP('Données projet'!$B$18,Paramètres!$A$1:$I$89,3,0)*VLOOKUP('Données projet'!$B$18,Paramètres!$A$1:$I$89,5,0)</f>
        <v>0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375.89365709113105</v>
      </c>
      <c r="HA119" s="59">
        <f t="shared" si="106"/>
        <v>279.39056561403834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81.624225902761992</v>
      </c>
      <c r="HH119" s="21">
        <f>EXP(-LN(2)/25)*HH118+(1-EXP(-LN(2)/25))/(LN(2)/25)*Calculateur!HC119*Calculateur!HE119*VLOOKUP('Données projet'!$B$18,Paramètres!$A$1:$I$89,3,0)*0.475*44/12</f>
        <v>30.559719016702605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112.18394491946459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178.09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318.9202848000005</v>
      </c>
      <c r="P120" s="13">
        <f t="shared" si="87"/>
        <v>75.128653745521831</v>
      </c>
      <c r="Q120" s="20">
        <f t="shared" si="107"/>
        <v>686.30190130011806</v>
      </c>
      <c r="R120" s="59">
        <f t="shared" si="55"/>
        <v>967.1283068589205</v>
      </c>
      <c r="S120" s="59">
        <f ca="1">AVERAGE(OFFSET($R$3,0,0,'Données projet'!$E$9+1,1))-AVERAGE(OFFSET($H$3,0,0,'Données projet'!$E$9+1,1))</f>
        <v>631.31712308065664</v>
      </c>
      <c r="T120" s="59">
        <f t="shared" si="88"/>
        <v>290.92244624361285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58.208339822382015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58.208339822382015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7.3920000000000012</v>
      </c>
      <c r="AI120" s="13">
        <f>IF('Données projet'!$A$62&gt;35,AI119+AH120-AQ119,IF(A120&lt;'Données projet'!$A$62,$AF$205^A120,IF(A120='Données projet'!$A$62,'Données projet'!$B$62,AI119+AH120-AQ119)))</f>
        <v>307.82799999999997</v>
      </c>
      <c r="AJ120" s="13">
        <f>AI120*VLOOKUP('Données projet'!$B$10,Paramètres!$A$1:$I$89,3,0)*VLOOKUP('Données projet'!$B$10,Paramètres!$A$1:$I$89,5,0)</f>
        <v>259.31430719999997</v>
      </c>
      <c r="AK120" s="13">
        <f t="shared" si="89"/>
        <v>62.57619350426765</v>
      </c>
      <c r="AL120" s="20">
        <f t="shared" si="58"/>
        <v>560.62595539326617</v>
      </c>
      <c r="AM120" s="59">
        <f t="shared" si="59"/>
        <v>841.4523609520686</v>
      </c>
      <c r="AN120" s="59">
        <f ca="1">AVERAGE(OFFSET($AM$3,0,0,'Données projet'!$E$10+1,1))-AVERAGE(OFFSET($H$3,0,0,'Données projet'!$E$10+1,1))</f>
        <v>401.19166052471473</v>
      </c>
      <c r="AO120" s="59">
        <f t="shared" si="90"/>
        <v>271.10067497534271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49.639692725627576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49.639692725627576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357.41066400000057</v>
      </c>
      <c r="BF120" s="13">
        <f t="shared" si="91"/>
        <v>83.086578183672941</v>
      </c>
      <c r="BG120" s="20">
        <f t="shared" si="61"/>
        <v>767.199363469898</v>
      </c>
      <c r="BH120" s="59">
        <f t="shared" si="62"/>
        <v>1048.0257690287003</v>
      </c>
      <c r="BI120" s="59">
        <f ca="1">AVERAGE(OFFSET($BH$3,0,0,'Données projet'!$E$11+1,1))-AVERAGE(OFFSET($H$3,0,0,'Données projet'!$E$11+1,1))</f>
        <v>695.93700574708214</v>
      </c>
      <c r="BJ120" s="59">
        <f t="shared" si="92"/>
        <v>318.31690229208471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65.233484283703987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65.233484283703987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1.7053025658242404E-13</v>
      </c>
      <c r="BZ120" s="13">
        <f>BY120*VLOOKUP('Données projet'!$B$12,Paramètres!$A$1:$I$89,3,0)*VLOOKUP('Données projet'!$B$12,Paramètres!$A$1:$I$89,5,0)</f>
        <v>1.1173142411280423E-13</v>
      </c>
      <c r="CA120" s="13">
        <f t="shared" si="93"/>
        <v>1.6569896290553793E-12</v>
      </c>
      <c r="CB120" s="20">
        <f t="shared" si="64"/>
        <v>3.0805225009345862E-12</v>
      </c>
      <c r="CC120" s="59">
        <f t="shared" si="65"/>
        <v>280.8264055588055</v>
      </c>
      <c r="CD120" s="59">
        <f ca="1">AVERAGE(OFFSET($CC$3,0,0,'Données projet'!$E$12+1,1))-AVERAGE(OFFSET($H$3,0,0,'Données projet'!$E$12+1,1))</f>
        <v>260.25859566735949</v>
      </c>
      <c r="CE120" s="59">
        <f t="shared" si="94"/>
        <v>256.93649773468667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32.382430021158356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32.382430021158356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1.7053025658242404E-13</v>
      </c>
      <c r="CU120" s="17">
        <f>CT120*VLOOKUP('Données projet'!$B$13,Paramètres!$A$1:$I$89,3,0)*VLOOKUP('Données projet'!$B$13,Paramètres!$A$1:$I$89,5,0)</f>
        <v>1.1173142411280423E-13</v>
      </c>
      <c r="CV120" s="13">
        <f t="shared" si="95"/>
        <v>1.6569896290553793E-12</v>
      </c>
      <c r="CW120" s="20">
        <f t="shared" si="67"/>
        <v>3.0805225009345862E-12</v>
      </c>
      <c r="CX120" s="59">
        <f t="shared" si="68"/>
        <v>280.8264055588055</v>
      </c>
      <c r="CY120" s="59">
        <f ca="1">AVERAGE(OFFSET($CX$3,0,0,'Données projet'!$E$13+1,1))-AVERAGE(OFFSET($H$3,0,0,'Données projet'!$E$13+1,1))</f>
        <v>260.25859566735949</v>
      </c>
      <c r="CZ120" s="59">
        <f t="shared" si="96"/>
        <v>256.93649773468667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32.382430021158356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32.382430021158356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-2.2737367544323206E-13</v>
      </c>
      <c r="DP120" s="17">
        <f>DO120*VLOOKUP('Données projet'!$B$14,Paramètres!$A$1:$I$89,3,0)*VLOOKUP('Données projet'!$B$14,Paramètres!$A$1:$I$89,5,0)</f>
        <v>-1.3005774235352875E-13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349.56396446903</v>
      </c>
      <c r="DU120" s="59">
        <f t="shared" si="98"/>
        <v>270.64279448634522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108.32548588199676</v>
      </c>
      <c r="EB120" s="21">
        <f>EXP(-LN(2)/25)*EB119+(1-EXP(-LN(2)/25))/(LN(2)/25)*Calculateur!DW120*Calculateur!DY120*VLOOKUP('Données projet'!$B$14,Paramètres!$A$1:$I$89,3,0)*0.475*44/12</f>
        <v>47.879763538330259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156.20524942032702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375.89365709113105</v>
      </c>
      <c r="EP120" s="59">
        <f t="shared" si="100"/>
        <v>279.39056561403834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80.023624618670681</v>
      </c>
      <c r="EW120" s="21">
        <f>EXP(-LN(2)/25)*EW119+(1-EXP(-LN(2)/25))/(LN(2)/25)*Calculateur!ER120*Calculateur!ET120*VLOOKUP('Données projet'!$B$15,Paramètres!$A$1:$I$89,3,0)*0.475*44/12</f>
        <v>29.724061893125093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109.74768651179578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-1.1368683772161603E-13</v>
      </c>
      <c r="FF120" s="17">
        <f>FE120*VLOOKUP('Données projet'!$B$16,Paramètres!$A$1:$I$89,3,0)*VLOOKUP('Données projet'!$B$16,Paramètres!$A$1:$I$89,5,0)</f>
        <v>-6.7984728957526396E-14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319.29539841078537</v>
      </c>
      <c r="FK120" s="59">
        <f t="shared" si="102"/>
        <v>327.26871144121412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44.726711763057004</v>
      </c>
      <c r="FR120" s="21">
        <f>EXP(-LN(2)/25)*FR119+(1-EXP(-LN(2)/25))/(LN(2)/25)*Calculateur!FM120*Calculateur!FO120*VLOOKUP('Données projet'!$B$16,Paramètres!$A$1:$I$89,3,0)*0.475*44/12</f>
        <v>17.644478387340783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62.371190150397787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2.2737367544323206E-13</v>
      </c>
      <c r="GA120" s="17">
        <f>FZ120*VLOOKUP('Données projet'!$B$17,Paramètres!$A$1:$I$89,3,0)*VLOOKUP('Données projet'!$B$17,Paramètres!$A$1:$I$89,5,0)</f>
        <v>1.0049916454590858E-13</v>
      </c>
      <c r="GB120" s="13">
        <f t="shared" si="103"/>
        <v>1.5089081593838289E-12</v>
      </c>
      <c r="GC120" s="20">
        <f t="shared" si="79"/>
        <v>2.8030510891776262E-12</v>
      </c>
      <c r="GD120" s="59">
        <f t="shared" si="80"/>
        <v>280.82640555880522</v>
      </c>
      <c r="GE120" s="59">
        <f ca="1">AVERAGE(OFFSET($GD$3,0,0,'Données projet'!$E$17+1,1))-AVERAGE(OFFSET($H$3,0,0,'Données projet'!$E$17+1,1))</f>
        <v>342.89128067483233</v>
      </c>
      <c r="GF120" s="59">
        <f t="shared" si="104"/>
        <v>453.47615302202996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53.37987738571077</v>
      </c>
      <c r="GM120" s="21">
        <f>EXP(-LN(2)/25)*GM119+(1-EXP(-LN(2)/25))/(LN(2)/25)*Calculateur!GH120*Calculateur!GJ120*VLOOKUP('Données projet'!$B$17,Paramètres!$A$1:$I$89,3,0)*0.475*44/12</f>
        <v>24.173164393099892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77.553041778810666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66.589019697855207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>
        <f>GU120*VLOOKUP('Données projet'!$B$18,Paramètres!$A$1:$I$89,3,0)*VLOOKUP('Données projet'!$B$18,Paramètres!$A$1:$I$89,5,0)</f>
        <v>0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375.89365709113105</v>
      </c>
      <c r="HA120" s="59">
        <f t="shared" si="106"/>
        <v>279.39056561403834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80.023624618670681</v>
      </c>
      <c r="HH120" s="21">
        <f>EXP(-LN(2)/25)*HH119+(1-EXP(-LN(2)/25))/(LN(2)/25)*Calculateur!HC120*Calculateur!HE120*VLOOKUP('Données projet'!$B$18,Paramètres!$A$1:$I$89,3,0)*0.475*44/12</f>
        <v>29.724061893125093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109.74768651179578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178.09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326.15144640000051</v>
      </c>
      <c r="P121" s="13">
        <f t="shared" si="87"/>
        <v>76.631859883081802</v>
      </c>
      <c r="Q121" s="20">
        <f t="shared" si="107"/>
        <v>701.51425844303503</v>
      </c>
      <c r="R121" s="59">
        <f t="shared" si="55"/>
        <v>982.55763123742395</v>
      </c>
      <c r="S121" s="59">
        <f ca="1">AVERAGE(OFFSET($R$3,0,0,'Données projet'!$E$9+1,1))-AVERAGE(OFFSET($H$3,0,0,'Données projet'!$E$9+1,1))</f>
        <v>631.31712308065664</v>
      </c>
      <c r="T121" s="59">
        <f t="shared" si="88"/>
        <v>290.92244624361285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57.066909782046707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57.066909782046707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7.3920000000000012</v>
      </c>
      <c r="AI121" s="13">
        <f>IF('Données projet'!$A$62&gt;35,AI120+AH121-AQ120,IF(A121&lt;'Données projet'!$A$62,$AF$205^A121,IF(A121='Données projet'!$A$62,'Données projet'!$B$62,AI120+AH121-AQ120)))</f>
        <v>315.21999999999997</v>
      </c>
      <c r="AJ121" s="13">
        <f>AI121*VLOOKUP('Données projet'!$B$10,Paramètres!$A$1:$I$89,3,0)*VLOOKUP('Données projet'!$B$10,Paramètres!$A$1:$I$89,5,0)</f>
        <v>265.54132799999996</v>
      </c>
      <c r="AK121" s="13">
        <f t="shared" si="89"/>
        <v>63.90211149624934</v>
      </c>
      <c r="AL121" s="20">
        <f t="shared" si="58"/>
        <v>573.78065712263424</v>
      </c>
      <c r="AM121" s="59">
        <f t="shared" si="59"/>
        <v>854.82402991702315</v>
      </c>
      <c r="AN121" s="59">
        <f ca="1">AVERAGE(OFFSET($AM$3,0,0,'Données projet'!$E$10+1,1))-AVERAGE(OFFSET($H$3,0,0,'Données projet'!$E$10+1,1))</f>
        <v>401.19166052471473</v>
      </c>
      <c r="AO121" s="59">
        <f t="shared" si="90"/>
        <v>271.10067497534271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48.666288628500958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48.666288628500958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365.51455200000061</v>
      </c>
      <c r="BF121" s="13">
        <f t="shared" si="91"/>
        <v>84.749009866498071</v>
      </c>
      <c r="BG121" s="20">
        <f t="shared" si="61"/>
        <v>784.20903691748515</v>
      </c>
      <c r="BH121" s="59">
        <f t="shared" si="62"/>
        <v>1065.252409711874</v>
      </c>
      <c r="BI121" s="59">
        <f ca="1">AVERAGE(OFFSET($BH$3,0,0,'Données projet'!$E$11+1,1))-AVERAGE(OFFSET($H$3,0,0,'Données projet'!$E$11+1,1))</f>
        <v>695.93700574708214</v>
      </c>
      <c r="BJ121" s="59">
        <f t="shared" si="92"/>
        <v>318.31690229208471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63.954295445397179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63.954295445397179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1.7053025658242404E-13</v>
      </c>
      <c r="BZ121" s="13">
        <f>BY121*VLOOKUP('Données projet'!$B$12,Paramètres!$A$1:$I$89,3,0)*VLOOKUP('Données projet'!$B$12,Paramètres!$A$1:$I$89,5,0)</f>
        <v>1.1173142411280423E-13</v>
      </c>
      <c r="CA121" s="13">
        <f t="shared" si="93"/>
        <v>1.6569896290553793E-12</v>
      </c>
      <c r="CB121" s="20">
        <f t="shared" si="64"/>
        <v>3.0805225009345862E-12</v>
      </c>
      <c r="CC121" s="59">
        <f t="shared" si="65"/>
        <v>281.04337279439198</v>
      </c>
      <c r="CD121" s="59">
        <f ca="1">AVERAGE(OFFSET($CC$3,0,0,'Données projet'!$E$12+1,1))-AVERAGE(OFFSET($H$3,0,0,'Données projet'!$E$12+1,1))</f>
        <v>260.25859566735949</v>
      </c>
      <c r="CE121" s="59">
        <f t="shared" si="94"/>
        <v>256.93649773468667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31.747430319775471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31.747430319775471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1.7053025658242404E-13</v>
      </c>
      <c r="CU121" s="17">
        <f>CT121*VLOOKUP('Données projet'!$B$13,Paramètres!$A$1:$I$89,3,0)*VLOOKUP('Données projet'!$B$13,Paramètres!$A$1:$I$89,5,0)</f>
        <v>1.1173142411280423E-13</v>
      </c>
      <c r="CV121" s="13">
        <f t="shared" si="95"/>
        <v>1.6569896290553793E-12</v>
      </c>
      <c r="CW121" s="20">
        <f t="shared" si="67"/>
        <v>3.0805225009345862E-12</v>
      </c>
      <c r="CX121" s="59">
        <f t="shared" si="68"/>
        <v>281.04337279439198</v>
      </c>
      <c r="CY121" s="59">
        <f ca="1">AVERAGE(OFFSET($CX$3,0,0,'Données projet'!$E$13+1,1))-AVERAGE(OFFSET($H$3,0,0,'Données projet'!$E$13+1,1))</f>
        <v>260.25859566735949</v>
      </c>
      <c r="CZ121" s="59">
        <f t="shared" si="96"/>
        <v>256.93649773468667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31.747430319775471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31.747430319775471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-2.2737367544323206E-13</v>
      </c>
      <c r="DP121" s="17">
        <f>DO121*VLOOKUP('Données projet'!$B$14,Paramètres!$A$1:$I$89,3,0)*VLOOKUP('Données projet'!$B$14,Paramètres!$A$1:$I$89,5,0)</f>
        <v>-1.3005774235352875E-13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349.56396446903</v>
      </c>
      <c r="DU121" s="59">
        <f t="shared" si="98"/>
        <v>270.64279448634522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106.20128917587311</v>
      </c>
      <c r="EB121" s="21">
        <f>EXP(-LN(2)/25)*EB120+(1-EXP(-LN(2)/25))/(LN(2)/25)*Calculateur!DW121*Calculateur!DY121*VLOOKUP('Données projet'!$B$14,Paramètres!$A$1:$I$89,3,0)*0.475*44/12</f>
        <v>46.570488886487283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152.7717780623604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375.89365709113105</v>
      </c>
      <c r="EP121" s="59">
        <f t="shared" si="100"/>
        <v>279.39056561403834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78.454410149490016</v>
      </c>
      <c r="EW121" s="21">
        <f>EXP(-LN(2)/25)*EW120+(1-EXP(-LN(2)/25))/(LN(2)/25)*Calculateur!ER121*Calculateur!ET121*VLOOKUP('Données projet'!$B$15,Paramètres!$A$1:$I$89,3,0)*0.475*44/12</f>
        <v>28.911255857537107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107.36566600702713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-1.1368683772161603E-13</v>
      </c>
      <c r="FF121" s="17">
        <f>FE121*VLOOKUP('Données projet'!$B$16,Paramètres!$A$1:$I$89,3,0)*VLOOKUP('Données projet'!$B$16,Paramètres!$A$1:$I$89,5,0)</f>
        <v>-6.7984728957526396E-14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319.29539841078537</v>
      </c>
      <c r="FK121" s="59">
        <f t="shared" si="102"/>
        <v>327.26871144121412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43.849648225983898</v>
      </c>
      <c r="FR121" s="21">
        <f>EXP(-LN(2)/25)*FR120+(1-EXP(-LN(2)/25))/(LN(2)/25)*Calculateur!FM121*Calculateur!FO121*VLOOKUP('Données projet'!$B$16,Paramètres!$A$1:$I$89,3,0)*0.475*44/12</f>
        <v>17.161989197956157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61.011637423940059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2.2737367544323206E-13</v>
      </c>
      <c r="GA121" s="17">
        <f>FZ121*VLOOKUP('Données projet'!$B$17,Paramètres!$A$1:$I$89,3,0)*VLOOKUP('Données projet'!$B$17,Paramètres!$A$1:$I$89,5,0)</f>
        <v>1.0049916454590858E-13</v>
      </c>
      <c r="GB121" s="13">
        <f t="shared" si="103"/>
        <v>1.5089081593838289E-12</v>
      </c>
      <c r="GC121" s="20">
        <f t="shared" si="79"/>
        <v>2.8030510891776262E-12</v>
      </c>
      <c r="GD121" s="59">
        <f t="shared" si="80"/>
        <v>281.0433727943917</v>
      </c>
      <c r="GE121" s="59">
        <f ca="1">AVERAGE(OFFSET($GD$3,0,0,'Données projet'!$E$17+1,1))-AVERAGE(OFFSET($H$3,0,0,'Données projet'!$E$17+1,1))</f>
        <v>342.89128067483233</v>
      </c>
      <c r="GF121" s="59">
        <f t="shared" si="104"/>
        <v>453.47615302202996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52.333130548687301</v>
      </c>
      <c r="GM121" s="21">
        <f>EXP(-LN(2)/25)*GM120+(1-EXP(-LN(2)/25))/(LN(2)/25)*Calculateur!GH121*Calculateur!GJ121*VLOOKUP('Données projet'!$B$17,Paramètres!$A$1:$I$89,3,0)*0.475*44/12</f>
        <v>23.51214794155911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75.845278490246415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66.648192580287883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>
        <f>GU121*VLOOKUP('Données projet'!$B$18,Paramètres!$A$1:$I$89,3,0)*VLOOKUP('Données projet'!$B$18,Paramètres!$A$1:$I$89,5,0)</f>
        <v>0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375.89365709113105</v>
      </c>
      <c r="HA121" s="59">
        <f t="shared" si="106"/>
        <v>279.39056561403834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78.454410149490016</v>
      </c>
      <c r="HH121" s="21">
        <f>EXP(-LN(2)/25)*HH120+(1-EXP(-LN(2)/25))/(LN(2)/25)*Calculateur!HC121*Calculateur!HE121*VLOOKUP('Données projet'!$B$18,Paramètres!$A$1:$I$89,3,0)*0.475*44/12</f>
        <v>28.911255857537107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107.36566600702713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178.09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333.38260800000052</v>
      </c>
      <c r="P122" s="13">
        <f t="shared" si="87"/>
        <v>78.13119132485231</v>
      </c>
      <c r="Q122" s="20">
        <f t="shared" si="107"/>
        <v>716.71986715745197</v>
      </c>
      <c r="R122" s="59">
        <f t="shared" si="55"/>
        <v>997.97644329095601</v>
      </c>
      <c r="S122" s="59">
        <f ca="1">AVERAGE(OFFSET($R$3,0,0,'Données projet'!$E$9+1,1))-AVERAGE(OFFSET($H$3,0,0,'Données projet'!$E$9+1,1))</f>
        <v>631.31712308065664</v>
      </c>
      <c r="T122" s="59">
        <f t="shared" si="88"/>
        <v>290.92244624361285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55.947862488598794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55.947862488598794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7.3920000000000012</v>
      </c>
      <c r="AI122" s="13">
        <f>IF('Données projet'!$A$62&gt;35,AI121+AH122-AQ121,IF(A122&lt;'Données projet'!$A$62,$AF$205^A122,IF(A122='Données projet'!$A$62,'Données projet'!$B$62,AI121+AH122-AQ121)))</f>
        <v>322.61199999999997</v>
      </c>
      <c r="AJ122" s="13">
        <f>AI122*VLOOKUP('Données projet'!$B$10,Paramètres!$A$1:$I$89,3,0)*VLOOKUP('Données projet'!$B$10,Paramètres!$A$1:$I$89,5,0)</f>
        <v>271.76834880000001</v>
      </c>
      <c r="AK122" s="13">
        <f t="shared" si="89"/>
        <v>65.224414829377835</v>
      </c>
      <c r="AL122" s="20">
        <f t="shared" si="58"/>
        <v>586.92906332116638</v>
      </c>
      <c r="AM122" s="59">
        <f t="shared" si="59"/>
        <v>868.18563945467042</v>
      </c>
      <c r="AN122" s="59">
        <f ca="1">AVERAGE(OFFSET($AM$3,0,0,'Données projet'!$E$10+1,1))-AVERAGE(OFFSET($H$3,0,0,'Données projet'!$E$10+1,1))</f>
        <v>401.19166052471473</v>
      </c>
      <c r="AO122" s="59">
        <f t="shared" si="90"/>
        <v>271.10067497534271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47.711972392001115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47.711972392001115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373.61844000000065</v>
      </c>
      <c r="BF122" s="13">
        <f t="shared" si="91"/>
        <v>86.407156430415824</v>
      </c>
      <c r="BG122" s="20">
        <f t="shared" si="61"/>
        <v>801.21124711630875</v>
      </c>
      <c r="BH122" s="59">
        <f t="shared" si="62"/>
        <v>1082.4678232498127</v>
      </c>
      <c r="BI122" s="59">
        <f ca="1">AVERAGE(OFFSET($BH$3,0,0,'Données projet'!$E$11+1,1))-AVERAGE(OFFSET($H$3,0,0,'Données projet'!$E$11+1,1))</f>
        <v>695.93700574708214</v>
      </c>
      <c r="BJ122" s="59">
        <f t="shared" si="92"/>
        <v>318.31690229208471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62.700190719981414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62.700190719981414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1.7053025658242404E-13</v>
      </c>
      <c r="BZ122" s="13">
        <f>BY122*VLOOKUP('Données projet'!$B$12,Paramètres!$A$1:$I$89,3,0)*VLOOKUP('Données projet'!$B$12,Paramètres!$A$1:$I$89,5,0)</f>
        <v>1.1173142411280423E-13</v>
      </c>
      <c r="CA122" s="13">
        <f t="shared" si="93"/>
        <v>1.6569896290553793E-12</v>
      </c>
      <c r="CB122" s="20">
        <f t="shared" si="64"/>
        <v>3.0805225009345862E-12</v>
      </c>
      <c r="CC122" s="59">
        <f t="shared" si="65"/>
        <v>281.25657613350711</v>
      </c>
      <c r="CD122" s="59">
        <f ca="1">AVERAGE(OFFSET($CC$3,0,0,'Données projet'!$E$12+1,1))-AVERAGE(OFFSET($H$3,0,0,'Données projet'!$E$12+1,1))</f>
        <v>260.25859566735949</v>
      </c>
      <c r="CE122" s="59">
        <f t="shared" si="94"/>
        <v>256.93649773468667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31.124882575225133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31.124882575225133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1.7053025658242404E-13</v>
      </c>
      <c r="CU122" s="17">
        <f>CT122*VLOOKUP('Données projet'!$B$13,Paramètres!$A$1:$I$89,3,0)*VLOOKUP('Données projet'!$B$13,Paramètres!$A$1:$I$89,5,0)</f>
        <v>1.1173142411280423E-13</v>
      </c>
      <c r="CV122" s="13">
        <f t="shared" si="95"/>
        <v>1.6569896290553793E-12</v>
      </c>
      <c r="CW122" s="20">
        <f t="shared" si="67"/>
        <v>3.0805225009345862E-12</v>
      </c>
      <c r="CX122" s="59">
        <f t="shared" si="68"/>
        <v>281.25657613350711</v>
      </c>
      <c r="CY122" s="59">
        <f ca="1">AVERAGE(OFFSET($CX$3,0,0,'Données projet'!$E$13+1,1))-AVERAGE(OFFSET($H$3,0,0,'Données projet'!$E$13+1,1))</f>
        <v>260.25859566735949</v>
      </c>
      <c r="CZ122" s="59">
        <f t="shared" si="96"/>
        <v>256.93649773468667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31.124882575225133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31.124882575225133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-2.2737367544323206E-13</v>
      </c>
      <c r="DP122" s="17">
        <f>DO122*VLOOKUP('Données projet'!$B$14,Paramètres!$A$1:$I$89,3,0)*VLOOKUP('Données projet'!$B$14,Paramètres!$A$1:$I$89,5,0)</f>
        <v>-1.3005774235352875E-13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349.56396446903</v>
      </c>
      <c r="DU122" s="59">
        <f t="shared" si="98"/>
        <v>270.64279448634522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104.11874667152451</v>
      </c>
      <c r="EB122" s="21">
        <f>EXP(-LN(2)/25)*EB121+(1-EXP(-LN(2)/25))/(LN(2)/25)*Calculateur!DW122*Calculateur!DY122*VLOOKUP('Données projet'!$B$14,Paramètres!$A$1:$I$89,3,0)*0.475*44/12</f>
        <v>45.297016418850717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149.41576309037521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375.89365709113105</v>
      </c>
      <c r="EP122" s="59">
        <f t="shared" si="100"/>
        <v>279.39056561403834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76.915967018923666</v>
      </c>
      <c r="EW122" s="21">
        <f>EXP(-LN(2)/25)*EW121+(1-EXP(-LN(2)/25))/(LN(2)/25)*Calculateur!ER122*Calculateur!ET122*VLOOKUP('Données projet'!$B$15,Paramètres!$A$1:$I$89,3,0)*0.475*44/12</f>
        <v>28.120676045735888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105.03664306465956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-1.1368683772161603E-13</v>
      </c>
      <c r="FF122" s="17">
        <f>FE122*VLOOKUP('Données projet'!$B$16,Paramètres!$A$1:$I$89,3,0)*VLOOKUP('Données projet'!$B$16,Paramètres!$A$1:$I$89,5,0)</f>
        <v>-6.7984728957526396E-14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319.29539841078537</v>
      </c>
      <c r="FK122" s="59">
        <f t="shared" si="102"/>
        <v>327.26871144121412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42.989783369916857</v>
      </c>
      <c r="FR122" s="21">
        <f>EXP(-LN(2)/25)*FR121+(1-EXP(-LN(2)/25))/(LN(2)/25)*Calculateur!FM122*Calculateur!FO122*VLOOKUP('Données projet'!$B$16,Paramètres!$A$1:$I$89,3,0)*0.475*44/12</f>
        <v>16.692693700828258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59.682477070745115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2.2737367544323206E-13</v>
      </c>
      <c r="GA122" s="17">
        <f>FZ122*VLOOKUP('Données projet'!$B$17,Paramètres!$A$1:$I$89,3,0)*VLOOKUP('Données projet'!$B$17,Paramètres!$A$1:$I$89,5,0)</f>
        <v>1.0049916454590858E-13</v>
      </c>
      <c r="GB122" s="13">
        <f t="shared" si="103"/>
        <v>1.5089081593838289E-12</v>
      </c>
      <c r="GC122" s="20">
        <f t="shared" si="79"/>
        <v>2.8030510891776262E-12</v>
      </c>
      <c r="GD122" s="59">
        <f t="shared" si="80"/>
        <v>281.25657613350683</v>
      </c>
      <c r="GE122" s="59">
        <f ca="1">AVERAGE(OFFSET($GD$3,0,0,'Données projet'!$E$17+1,1))-AVERAGE(OFFSET($H$3,0,0,'Données projet'!$E$17+1,1))</f>
        <v>342.89128067483233</v>
      </c>
      <c r="GF122" s="59">
        <f t="shared" si="104"/>
        <v>453.47615302202996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51.306909778685331</v>
      </c>
      <c r="GM122" s="21">
        <f>EXP(-LN(2)/25)*GM121+(1-EXP(-LN(2)/25))/(LN(2)/25)*Calculateur!GH122*Calculateur!GJ122*VLOOKUP('Données projet'!$B$17,Paramètres!$A$1:$I$89,3,0)*0.475*44/12</f>
        <v>22.869207019647053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74.176116798332387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66.706338945501102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>
        <f>GU122*VLOOKUP('Données projet'!$B$18,Paramètres!$A$1:$I$89,3,0)*VLOOKUP('Données projet'!$B$18,Paramètres!$A$1:$I$89,5,0)</f>
        <v>0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375.89365709113105</v>
      </c>
      <c r="HA122" s="59">
        <f t="shared" si="106"/>
        <v>279.39056561403834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76.915967018923666</v>
      </c>
      <c r="HH122" s="21">
        <f>EXP(-LN(2)/25)*HH121+(1-EXP(-LN(2)/25))/(LN(2)/25)*Calculateur!HC122*Calculateur!HE122*VLOOKUP('Données projet'!$B$18,Paramètres!$A$1:$I$89,3,0)*0.475*44/12</f>
        <v>28.120676045735888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105.03664306465956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178.09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340.61376960000058</v>
      </c>
      <c r="P123" s="13">
        <f t="shared" si="87"/>
        <v>79.626741793195919</v>
      </c>
      <c r="Q123" s="20">
        <f t="shared" si="107"/>
        <v>731.9188906764839</v>
      </c>
      <c r="R123" s="59">
        <f t="shared" si="55"/>
        <v>1013.3849715478208</v>
      </c>
      <c r="S123" s="59">
        <f ca="1">AVERAGE(OFFSET($R$3,0,0,'Données projet'!$E$9+1,1))-AVERAGE(OFFSET($H$3,0,0,'Données projet'!$E$9+1,1))</f>
        <v>631.31712308065664</v>
      </c>
      <c r="T123" s="59">
        <f t="shared" si="88"/>
        <v>290.92244624361285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54.850759030023944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54.850759030023944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7.3920000000000012</v>
      </c>
      <c r="AI123" s="13">
        <f>IF('Données projet'!$A$62&gt;35,AI122+AH123-AQ122,IF(A123&lt;'Données projet'!$A$62,$AF$205^A123,IF(A123='Données projet'!$A$62,'Données projet'!$B$62,AI122+AH123-AQ122)))</f>
        <v>330.00399999999996</v>
      </c>
      <c r="AJ123" s="13">
        <f>AI123*VLOOKUP('Données projet'!$B$10,Paramètres!$A$1:$I$89,3,0)*VLOOKUP('Données projet'!$B$10,Paramètres!$A$1:$I$89,5,0)</f>
        <v>277.9953696</v>
      </c>
      <c r="AK123" s="13">
        <f t="shared" si="89"/>
        <v>66.543195859920587</v>
      </c>
      <c r="AL123" s="20">
        <f t="shared" si="58"/>
        <v>600.07133484269514</v>
      </c>
      <c r="AM123" s="59">
        <f t="shared" si="59"/>
        <v>881.53741571403202</v>
      </c>
      <c r="AN123" s="59">
        <f ca="1">AVERAGE(OFFSET($AM$3,0,0,'Données projet'!$E$10+1,1))-AVERAGE(OFFSET($H$3,0,0,'Données projet'!$E$10+1,1))</f>
        <v>401.19166052471473</v>
      </c>
      <c r="AO123" s="59">
        <f t="shared" si="90"/>
        <v>271.10067497534271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46.776369714823602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46.776369714823602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381.72232800000063</v>
      </c>
      <c r="BF123" s="13">
        <f t="shared" si="91"/>
        <v>88.061121525232409</v>
      </c>
      <c r="BG123" s="20">
        <f t="shared" si="61"/>
        <v>818.20617458978086</v>
      </c>
      <c r="BH123" s="59">
        <f t="shared" si="62"/>
        <v>1099.6722554611179</v>
      </c>
      <c r="BI123" s="59">
        <f ca="1">AVERAGE(OFFSET($BH$3,0,0,'Données projet'!$E$11+1,1))-AVERAGE(OFFSET($H$3,0,0,'Données projet'!$E$11+1,1))</f>
        <v>695.93700574708214</v>
      </c>
      <c r="BJ123" s="59">
        <f t="shared" si="92"/>
        <v>318.31690229208471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61.470678223302698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61.470678223302698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1.7053025658242404E-13</v>
      </c>
      <c r="BZ123" s="13">
        <f>BY123*VLOOKUP('Données projet'!$B$12,Paramètres!$A$1:$I$89,3,0)*VLOOKUP('Données projet'!$B$12,Paramètres!$A$1:$I$89,5,0)</f>
        <v>1.1173142411280423E-13</v>
      </c>
      <c r="CA123" s="13">
        <f t="shared" si="93"/>
        <v>1.6569896290553793E-12</v>
      </c>
      <c r="CB123" s="20">
        <f t="shared" si="64"/>
        <v>3.0805225009345862E-12</v>
      </c>
      <c r="CC123" s="59">
        <f t="shared" si="65"/>
        <v>281.46608087133995</v>
      </c>
      <c r="CD123" s="59">
        <f ca="1">AVERAGE(OFFSET($CC$3,0,0,'Données projet'!$E$12+1,1))-AVERAGE(OFFSET($H$3,0,0,'Données projet'!$E$12+1,1))</f>
        <v>260.25859566735949</v>
      </c>
      <c r="CE123" s="59">
        <f t="shared" si="94"/>
        <v>256.93649773468667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30.514542612228794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30.514542612228794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1.7053025658242404E-13</v>
      </c>
      <c r="CU123" s="17">
        <f>CT123*VLOOKUP('Données projet'!$B$13,Paramètres!$A$1:$I$89,3,0)*VLOOKUP('Données projet'!$B$13,Paramètres!$A$1:$I$89,5,0)</f>
        <v>1.1173142411280423E-13</v>
      </c>
      <c r="CV123" s="13">
        <f t="shared" si="95"/>
        <v>1.6569896290553793E-12</v>
      </c>
      <c r="CW123" s="20">
        <f t="shared" si="67"/>
        <v>3.0805225009345862E-12</v>
      </c>
      <c r="CX123" s="59">
        <f t="shared" si="68"/>
        <v>281.46608087133995</v>
      </c>
      <c r="CY123" s="59">
        <f ca="1">AVERAGE(OFFSET($CX$3,0,0,'Données projet'!$E$13+1,1))-AVERAGE(OFFSET($H$3,0,0,'Données projet'!$E$13+1,1))</f>
        <v>260.25859566735949</v>
      </c>
      <c r="CZ123" s="59">
        <f t="shared" si="96"/>
        <v>256.93649773468667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30.514542612228794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30.514542612228794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-2.2737367544323206E-13</v>
      </c>
      <c r="DP123" s="17">
        <f>DO123*VLOOKUP('Données projet'!$B$14,Paramètres!$A$1:$I$89,3,0)*VLOOKUP('Données projet'!$B$14,Paramètres!$A$1:$I$89,5,0)</f>
        <v>-1.3005774235352875E-13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349.56396446903</v>
      </c>
      <c r="DU123" s="59">
        <f t="shared" si="98"/>
        <v>270.64279448634522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102.07704155546067</v>
      </c>
      <c r="EB123" s="21">
        <f>EXP(-LN(2)/25)*EB122+(1-EXP(-LN(2)/25))/(LN(2)/25)*Calculateur!DW123*Calculateur!DY123*VLOOKUP('Données projet'!$B$14,Paramètres!$A$1:$I$89,3,0)*0.475*44/12</f>
        <v>44.058367122810679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146.13540867827135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375.89365709113105</v>
      </c>
      <c r="EP123" s="59">
        <f t="shared" si="100"/>
        <v>279.39056561403834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75.407691819790074</v>
      </c>
      <c r="EW123" s="21">
        <f>EXP(-LN(2)/25)*EW122+(1-EXP(-LN(2)/25))/(LN(2)/25)*Calculateur!ER123*Calculateur!ET123*VLOOKUP('Données projet'!$B$15,Paramètres!$A$1:$I$89,3,0)*0.475*44/12</f>
        <v>27.351714680463157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102.75940650025323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-1.1368683772161603E-13</v>
      </c>
      <c r="FF123" s="17">
        <f>FE123*VLOOKUP('Données projet'!$B$16,Paramètres!$A$1:$I$89,3,0)*VLOOKUP('Données projet'!$B$16,Paramètres!$A$1:$I$89,5,0)</f>
        <v>-6.7984728957526396E-14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319.29539841078537</v>
      </c>
      <c r="FK123" s="59">
        <f t="shared" si="102"/>
        <v>327.26871144121412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42.14677993921152</v>
      </c>
      <c r="FR123" s="21">
        <f>EXP(-LN(2)/25)*FR122+(1-EXP(-LN(2)/25))/(LN(2)/25)*Calculateur!FM123*Calculateur!FO123*VLOOKUP('Données projet'!$B$16,Paramètres!$A$1:$I$89,3,0)*0.475*44/12</f>
        <v>16.236231113748499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58.383011052960015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2.2737367544323206E-13</v>
      </c>
      <c r="GA123" s="17">
        <f>FZ123*VLOOKUP('Données projet'!$B$17,Paramètres!$A$1:$I$89,3,0)*VLOOKUP('Données projet'!$B$17,Paramètres!$A$1:$I$89,5,0)</f>
        <v>1.0049916454590858E-13</v>
      </c>
      <c r="GB123" s="13">
        <f t="shared" si="103"/>
        <v>1.5089081593838289E-12</v>
      </c>
      <c r="GC123" s="20">
        <f t="shared" si="79"/>
        <v>2.8030510891776262E-12</v>
      </c>
      <c r="GD123" s="59">
        <f t="shared" si="80"/>
        <v>281.46608087133967</v>
      </c>
      <c r="GE123" s="59">
        <f ca="1">AVERAGE(OFFSET($GD$3,0,0,'Données projet'!$E$17+1,1))-AVERAGE(OFFSET($H$3,0,0,'Données projet'!$E$17+1,1))</f>
        <v>342.89128067483233</v>
      </c>
      <c r="GF123" s="59">
        <f t="shared" si="104"/>
        <v>453.47615302202996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50.300812572050241</v>
      </c>
      <c r="GM123" s="21">
        <f>EXP(-LN(2)/25)*GM122+(1-EXP(-LN(2)/25))/(LN(2)/25)*Calculateur!GH123*Calculateur!GJ123*VLOOKUP('Données projet'!$B$17,Paramètres!$A$1:$I$89,3,0)*0.475*44/12</f>
        <v>22.243847351055475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72.544659923105712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66.763476601273695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>
        <f>GU123*VLOOKUP('Données projet'!$B$18,Paramètres!$A$1:$I$89,3,0)*VLOOKUP('Données projet'!$B$18,Paramètres!$A$1:$I$89,5,0)</f>
        <v>0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375.89365709113105</v>
      </c>
      <c r="HA123" s="59">
        <f t="shared" si="106"/>
        <v>279.39056561403834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75.407691819790074</v>
      </c>
      <c r="HH123" s="21">
        <f>EXP(-LN(2)/25)*HH122+(1-EXP(-LN(2)/25))/(LN(2)/25)*Calculateur!HC123*Calculateur!HE123*VLOOKUP('Données projet'!$B$18,Paramètres!$A$1:$I$89,3,0)*0.475*44/12</f>
        <v>27.351714680463157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102.75940650025323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178.09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347.84493120000059</v>
      </c>
      <c r="P124" s="13">
        <f t="shared" si="87"/>
        <v>81.11860080370937</v>
      </c>
      <c r="Q124" s="20">
        <f t="shared" si="107"/>
        <v>747.11148490646144</v>
      </c>
      <c r="R124" s="59">
        <f t="shared" si="55"/>
        <v>1028.783436076812</v>
      </c>
      <c r="S124" s="59">
        <f ca="1">AVERAGE(OFFSET($R$3,0,0,'Données projet'!$E$9+1,1))-AVERAGE(OFFSET($H$3,0,0,'Données projet'!$E$9+1,1))</f>
        <v>631.31712308065664</v>
      </c>
      <c r="T124" s="59">
        <f t="shared" si="88"/>
        <v>290.92244624361285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53.775169101104709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53.775169101104709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7.3920000000000012</v>
      </c>
      <c r="AI124" s="13">
        <f>IF('Données projet'!$A$62&gt;35,AI123+AH124-AQ123,IF(A124&lt;'Données projet'!$A$62,$AF$205^A124,IF(A124='Données projet'!$A$62,'Données projet'!$B$62,AI123+AH124-AQ123)))</f>
        <v>337.39599999999996</v>
      </c>
      <c r="AJ124" s="13">
        <f>AI124*VLOOKUP('Données projet'!$B$10,Paramètres!$A$1:$I$89,3,0)*VLOOKUP('Données projet'!$B$10,Paramètres!$A$1:$I$89,5,0)</f>
        <v>284.22239039999999</v>
      </c>
      <c r="AK124" s="13">
        <f t="shared" si="89"/>
        <v>67.858542570434679</v>
      </c>
      <c r="AL124" s="20">
        <f t="shared" si="58"/>
        <v>613.20762492350696</v>
      </c>
      <c r="AM124" s="59">
        <f t="shared" si="59"/>
        <v>894.87957609385762</v>
      </c>
      <c r="AN124" s="59">
        <f ca="1">AVERAGE(OFFSET($AM$3,0,0,'Données projet'!$E$10+1,1))-AVERAGE(OFFSET($H$3,0,0,'Données projet'!$E$10+1,1))</f>
        <v>401.19166052471473</v>
      </c>
      <c r="AO124" s="59">
        <f t="shared" si="90"/>
        <v>271.10067497534271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45.859113635484256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45.859113635484256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389.82621600000067</v>
      </c>
      <c r="BF124" s="13">
        <f t="shared" si="91"/>
        <v>89.711004148391098</v>
      </c>
      <c r="BG124" s="20">
        <f t="shared" si="61"/>
        <v>835.19399175844899</v>
      </c>
      <c r="BH124" s="59">
        <f t="shared" si="62"/>
        <v>1116.8659429287995</v>
      </c>
      <c r="BI124" s="59">
        <f ca="1">AVERAGE(OFFSET($BH$3,0,0,'Données projet'!$E$11+1,1))-AVERAGE(OFFSET($H$3,0,0,'Données projet'!$E$11+1,1))</f>
        <v>695.93700574708214</v>
      </c>
      <c r="BJ124" s="59">
        <f t="shared" si="92"/>
        <v>318.31690229208471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60.265275716755283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60.265275716755283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1.7053025658242404E-13</v>
      </c>
      <c r="BZ124" s="13">
        <f>BY124*VLOOKUP('Données projet'!$B$12,Paramètres!$A$1:$I$89,3,0)*VLOOKUP('Données projet'!$B$12,Paramètres!$A$1:$I$89,5,0)</f>
        <v>1.1173142411280423E-13</v>
      </c>
      <c r="CA124" s="13">
        <f t="shared" si="93"/>
        <v>1.6569896290553793E-12</v>
      </c>
      <c r="CB124" s="20">
        <f t="shared" si="64"/>
        <v>3.0805225009345862E-12</v>
      </c>
      <c r="CC124" s="59">
        <f t="shared" si="65"/>
        <v>281.67195117035374</v>
      </c>
      <c r="CD124" s="59">
        <f ca="1">AVERAGE(OFFSET($CC$3,0,0,'Données projet'!$E$12+1,1))-AVERAGE(OFFSET($H$3,0,0,'Données projet'!$E$12+1,1))</f>
        <v>260.25859566735949</v>
      </c>
      <c r="CE124" s="59">
        <f t="shared" si="94"/>
        <v>256.93649773468667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29.916171043636197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29.916171043636197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1.7053025658242404E-13</v>
      </c>
      <c r="CU124" s="17">
        <f>CT124*VLOOKUP('Données projet'!$B$13,Paramètres!$A$1:$I$89,3,0)*VLOOKUP('Données projet'!$B$13,Paramètres!$A$1:$I$89,5,0)</f>
        <v>1.1173142411280423E-13</v>
      </c>
      <c r="CV124" s="13">
        <f t="shared" si="95"/>
        <v>1.6569896290553793E-12</v>
      </c>
      <c r="CW124" s="20">
        <f t="shared" si="67"/>
        <v>3.0805225009345862E-12</v>
      </c>
      <c r="CX124" s="59">
        <f t="shared" si="68"/>
        <v>281.67195117035374</v>
      </c>
      <c r="CY124" s="59">
        <f ca="1">AVERAGE(OFFSET($CX$3,0,0,'Données projet'!$E$13+1,1))-AVERAGE(OFFSET($H$3,0,0,'Données projet'!$E$13+1,1))</f>
        <v>260.25859566735949</v>
      </c>
      <c r="CZ124" s="59">
        <f t="shared" si="96"/>
        <v>256.93649773468667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29.916171043636197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29.916171043636197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-2.2737367544323206E-13</v>
      </c>
      <c r="DP124" s="17">
        <f>DO124*VLOOKUP('Données projet'!$B$14,Paramètres!$A$1:$I$89,3,0)*VLOOKUP('Données projet'!$B$14,Paramètres!$A$1:$I$89,5,0)</f>
        <v>-1.3005774235352875E-13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349.56396446903</v>
      </c>
      <c r="DU124" s="59">
        <f t="shared" si="98"/>
        <v>270.64279448634522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100.07537303140569</v>
      </c>
      <c r="EB124" s="21">
        <f>EXP(-LN(2)/25)*EB123+(1-EXP(-LN(2)/25))/(LN(2)/25)*Calculateur!DW124*Calculateur!DY124*VLOOKUP('Données projet'!$B$14,Paramètres!$A$1:$I$89,3,0)*0.475*44/12</f>
        <v>42.853588756908593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142.92896178831427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375.89365709113105</v>
      </c>
      <c r="EP124" s="59">
        <f t="shared" si="100"/>
        <v>279.39056561403834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73.928992977354454</v>
      </c>
      <c r="EW124" s="21">
        <f>EXP(-LN(2)/25)*EW123+(1-EXP(-LN(2)/25))/(LN(2)/25)*Calculateur!ER124*Calculateur!ET124*VLOOKUP('Données projet'!$B$15,Paramètres!$A$1:$I$89,3,0)*0.475*44/12</f>
        <v>26.603780604161731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100.53277358151618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-1.1368683772161603E-13</v>
      </c>
      <c r="FF124" s="17">
        <f>FE124*VLOOKUP('Données projet'!$B$16,Paramètres!$A$1:$I$89,3,0)*VLOOKUP('Données projet'!$B$16,Paramètres!$A$1:$I$89,5,0)</f>
        <v>-6.7984728957526396E-14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319.29539841078537</v>
      </c>
      <c r="FK124" s="59">
        <f t="shared" si="102"/>
        <v>327.26871144121412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41.32030729160099</v>
      </c>
      <c r="FR124" s="21">
        <f>EXP(-LN(2)/25)*FR123+(1-EXP(-LN(2)/25))/(LN(2)/25)*Calculateur!FM124*Calculateur!FO124*VLOOKUP('Données projet'!$B$16,Paramètres!$A$1:$I$89,3,0)*0.475*44/12</f>
        <v>15.79225052011676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57.11255781171775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2.2737367544323206E-13</v>
      </c>
      <c r="GA124" s="17">
        <f>FZ124*VLOOKUP('Données projet'!$B$17,Paramètres!$A$1:$I$89,3,0)*VLOOKUP('Données projet'!$B$17,Paramètres!$A$1:$I$89,5,0)</f>
        <v>1.0049916454590858E-13</v>
      </c>
      <c r="GB124" s="13">
        <f t="shared" si="103"/>
        <v>1.5089081593838289E-12</v>
      </c>
      <c r="GC124" s="20">
        <f t="shared" si="79"/>
        <v>2.8030510891776262E-12</v>
      </c>
      <c r="GD124" s="59">
        <f t="shared" si="80"/>
        <v>281.67195117035345</v>
      </c>
      <c r="GE124" s="59">
        <f ca="1">AVERAGE(OFFSET($GD$3,0,0,'Données projet'!$E$17+1,1))-AVERAGE(OFFSET($H$3,0,0,'Données projet'!$E$17+1,1))</f>
        <v>342.89128067483233</v>
      </c>
      <c r="GF124" s="59">
        <f t="shared" si="104"/>
        <v>453.47615302202996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49.314444317978563</v>
      </c>
      <c r="GM124" s="21">
        <f>EXP(-LN(2)/25)*GM123+(1-EXP(-LN(2)/25))/(LN(2)/25)*Calculateur!GH124*Calculateur!GJ124*VLOOKUP('Données projet'!$B$17,Paramètres!$A$1:$I$89,3,0)*0.475*44/12</f>
        <v>21.635588175487769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70.950032493466324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66.81962304645927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>
        <f>GU124*VLOOKUP('Données projet'!$B$18,Paramètres!$A$1:$I$89,3,0)*VLOOKUP('Données projet'!$B$18,Paramètres!$A$1:$I$89,5,0)</f>
        <v>0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375.89365709113105</v>
      </c>
      <c r="HA124" s="59">
        <f t="shared" si="106"/>
        <v>279.39056561403834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73.928992977354454</v>
      </c>
      <c r="HH124" s="21">
        <f>EXP(-LN(2)/25)*HH123+(1-EXP(-LN(2)/25))/(LN(2)/25)*Calculateur!HC124*Calculateur!HE124*VLOOKUP('Données projet'!$B$18,Paramètres!$A$1:$I$89,3,0)*0.475*44/12</f>
        <v>26.603780604161731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100.53277358151618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178.09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355.07609280000059</v>
      </c>
      <c r="P125" s="13">
        <f t="shared" si="87"/>
        <v>82.606853937508674</v>
      </c>
      <c r="Q125" s="20">
        <f t="shared" si="107"/>
        <v>762.29779890116197</v>
      </c>
      <c r="R125" s="59">
        <f t="shared" si="55"/>
        <v>1044.1720489810955</v>
      </c>
      <c r="S125" s="59">
        <f ca="1">AVERAGE(OFFSET($R$3,0,0,'Données projet'!$E$9+1,1))-AVERAGE(OFFSET($H$3,0,0,'Données projet'!$E$9+1,1))</f>
        <v>631.31712308065664</v>
      </c>
      <c r="T125" s="59">
        <f t="shared" si="88"/>
        <v>290.92244624361285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52.720670834646505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52.720670834646505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7.3920000000000012</v>
      </c>
      <c r="AI125" s="13">
        <f>IF('Données projet'!$A$62&gt;35,AI124+AH125-AQ124,IF(A125&lt;'Données projet'!$A$62,$AF$205^A125,IF(A125='Données projet'!$A$62,'Données projet'!$B$62,AI124+AH125-AQ124)))</f>
        <v>344.78799999999995</v>
      </c>
      <c r="AJ125" s="13">
        <f>AI125*VLOOKUP('Données projet'!$B$10,Paramètres!$A$1:$I$89,3,0)*VLOOKUP('Données projet'!$B$10,Paramètres!$A$1:$I$89,5,0)</f>
        <v>290.44941119999999</v>
      </c>
      <c r="AK125" s="13">
        <f t="shared" si="89"/>
        <v>69.17053886810632</v>
      </c>
      <c r="AL125" s="20">
        <f t="shared" si="58"/>
        <v>626.33807970195176</v>
      </c>
      <c r="AM125" s="59">
        <f t="shared" si="59"/>
        <v>908.21232978188527</v>
      </c>
      <c r="AN125" s="59">
        <f ca="1">AVERAGE(OFFSET($AM$3,0,0,'Données projet'!$E$10+1,1))-AVERAGE(OFFSET($H$3,0,0,'Données projet'!$E$10+1,1))</f>
        <v>401.19166052471473</v>
      </c>
      <c r="AO125" s="59">
        <f t="shared" si="90"/>
        <v>271.10067497534271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44.95984438838979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44.95984438838979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397.93010400000071</v>
      </c>
      <c r="BF125" s="13">
        <f t="shared" si="91"/>
        <v>91.356898946098624</v>
      </c>
      <c r="BG125" s="20">
        <f t="shared" si="61"/>
        <v>852.17486346445639</v>
      </c>
      <c r="BH125" s="59">
        <f t="shared" si="62"/>
        <v>1134.0491135443899</v>
      </c>
      <c r="BI125" s="59">
        <f ca="1">AVERAGE(OFFSET($BH$3,0,0,'Données projet'!$E$11+1,1))-AVERAGE(OFFSET($H$3,0,0,'Données projet'!$E$11+1,1))</f>
        <v>695.93700574708214</v>
      </c>
      <c r="BJ125" s="59">
        <f t="shared" si="92"/>
        <v>318.31690229208471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59.083510418138331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59.083510418138331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1.7053025658242404E-13</v>
      </c>
      <c r="BZ125" s="13">
        <f>BY125*VLOOKUP('Données projet'!$B$12,Paramètres!$A$1:$I$89,3,0)*VLOOKUP('Données projet'!$B$12,Paramètres!$A$1:$I$89,5,0)</f>
        <v>1.1173142411280423E-13</v>
      </c>
      <c r="CA125" s="13">
        <f t="shared" si="93"/>
        <v>1.6569896290553793E-12</v>
      </c>
      <c r="CB125" s="20">
        <f t="shared" si="64"/>
        <v>3.0805225009345862E-12</v>
      </c>
      <c r="CC125" s="59">
        <f t="shared" si="65"/>
        <v>281.87425007993664</v>
      </c>
      <c r="CD125" s="59">
        <f ca="1">AVERAGE(OFFSET($CC$3,0,0,'Données projet'!$E$12+1,1))-AVERAGE(OFFSET($H$3,0,0,'Données projet'!$E$12+1,1))</f>
        <v>260.25859566735949</v>
      </c>
      <c r="CE125" s="59">
        <f t="shared" si="94"/>
        <v>256.93649773468667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29.329533176533079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29.329533176533079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1.7053025658242404E-13</v>
      </c>
      <c r="CU125" s="17">
        <f>CT125*VLOOKUP('Données projet'!$B$13,Paramètres!$A$1:$I$89,3,0)*VLOOKUP('Données projet'!$B$13,Paramètres!$A$1:$I$89,5,0)</f>
        <v>1.1173142411280423E-13</v>
      </c>
      <c r="CV125" s="13">
        <f t="shared" si="95"/>
        <v>1.6569896290553793E-12</v>
      </c>
      <c r="CW125" s="20">
        <f t="shared" si="67"/>
        <v>3.0805225009345862E-12</v>
      </c>
      <c r="CX125" s="59">
        <f t="shared" si="68"/>
        <v>281.87425007993664</v>
      </c>
      <c r="CY125" s="59">
        <f ca="1">AVERAGE(OFFSET($CX$3,0,0,'Données projet'!$E$13+1,1))-AVERAGE(OFFSET($H$3,0,0,'Données projet'!$E$13+1,1))</f>
        <v>260.25859566735949</v>
      </c>
      <c r="CZ125" s="59">
        <f t="shared" si="96"/>
        <v>256.93649773468667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29.329533176533079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29.329533176533079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-2.2737367544323206E-13</v>
      </c>
      <c r="DP125" s="17">
        <f>DO125*VLOOKUP('Données projet'!$B$14,Paramètres!$A$1:$I$89,3,0)*VLOOKUP('Données projet'!$B$14,Paramètres!$A$1:$I$89,5,0)</f>
        <v>-1.3005774235352875E-13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349.56396446903</v>
      </c>
      <c r="DU125" s="59">
        <f t="shared" si="98"/>
        <v>270.64279448634522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98.112956006210183</v>
      </c>
      <c r="EB125" s="21">
        <f>EXP(-LN(2)/25)*EB124+(1-EXP(-LN(2)/25))/(LN(2)/25)*Calculateur!DW125*Calculateur!DY125*VLOOKUP('Données projet'!$B$14,Paramètres!$A$1:$I$89,3,0)*0.475*44/12</f>
        <v>41.681755118778639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139.79471112498882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375.89365709113105</v>
      </c>
      <c r="EP125" s="59">
        <f t="shared" si="100"/>
        <v>279.39056561403834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72.479290517301763</v>
      </c>
      <c r="EW125" s="21">
        <f>EXP(-LN(2)/25)*EW124+(1-EXP(-LN(2)/25))/(LN(2)/25)*Calculateur!ER125*Calculateur!ET125*VLOOKUP('Données projet'!$B$15,Paramètres!$A$1:$I$89,3,0)*0.475*44/12</f>
        <v>25.876298824508911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98.355589341810671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-1.1368683772161603E-13</v>
      </c>
      <c r="FF125" s="17">
        <f>FE125*VLOOKUP('Données projet'!$B$16,Paramètres!$A$1:$I$89,3,0)*VLOOKUP('Données projet'!$B$16,Paramètres!$A$1:$I$89,5,0)</f>
        <v>-6.7984728957526396E-14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319.29539841078537</v>
      </c>
      <c r="FK125" s="59">
        <f t="shared" si="102"/>
        <v>327.26871144121412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40.510041268511564</v>
      </c>
      <c r="FR125" s="21">
        <f>EXP(-LN(2)/25)*FR124+(1-EXP(-LN(2)/25))/(LN(2)/25)*Calculateur!FM125*Calculateur!FO125*VLOOKUP('Données projet'!$B$16,Paramètres!$A$1:$I$89,3,0)*0.475*44/12</f>
        <v>15.360410599165805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55.870451867677367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2.2737367544323206E-13</v>
      </c>
      <c r="GA125" s="17">
        <f>FZ125*VLOOKUP('Données projet'!$B$17,Paramètres!$A$1:$I$89,3,0)*VLOOKUP('Données projet'!$B$17,Paramètres!$A$1:$I$89,5,0)</f>
        <v>1.0049916454590858E-13</v>
      </c>
      <c r="GB125" s="13">
        <f t="shared" si="103"/>
        <v>1.5089081593838289E-12</v>
      </c>
      <c r="GC125" s="20">
        <f t="shared" si="79"/>
        <v>2.8030510891776262E-12</v>
      </c>
      <c r="GD125" s="59">
        <f t="shared" si="80"/>
        <v>281.87425007993636</v>
      </c>
      <c r="GE125" s="59">
        <f ca="1">AVERAGE(OFFSET($GD$3,0,0,'Données projet'!$E$17+1,1))-AVERAGE(OFFSET($H$3,0,0,'Données projet'!$E$17+1,1))</f>
        <v>342.89128067483233</v>
      </c>
      <c r="GF125" s="59">
        <f t="shared" si="104"/>
        <v>453.47615302202996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48.347418143744001</v>
      </c>
      <c r="GM125" s="21">
        <f>EXP(-LN(2)/25)*GM124+(1-EXP(-LN(2)/25))/(LN(2)/25)*Calculateur!GH125*Calculateur!GJ125*VLOOKUP('Données projet'!$B$17,Paramètres!$A$1:$I$89,3,0)*0.475*44/12</f>
        <v>21.043961879062923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69.391380022806928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66.874795476345525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>
        <f>GU125*VLOOKUP('Données projet'!$B$18,Paramètres!$A$1:$I$89,3,0)*VLOOKUP('Données projet'!$B$18,Paramètres!$A$1:$I$89,5,0)</f>
        <v>0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375.89365709113105</v>
      </c>
      <c r="HA125" s="59">
        <f t="shared" si="106"/>
        <v>279.39056561403834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72.479290517301763</v>
      </c>
      <c r="HH125" s="21">
        <f>EXP(-LN(2)/25)*HH124+(1-EXP(-LN(2)/25))/(LN(2)/25)*Calculateur!HC125*Calculateur!HE125*VLOOKUP('Données projet'!$B$18,Paramètres!$A$1:$I$89,3,0)*0.475*44/12</f>
        <v>25.876298824508911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98.355589341810671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178.09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362.3072544000006</v>
      </c>
      <c r="P126" s="13">
        <f t="shared" si="87"/>
        <v>84.09158309070763</v>
      </c>
      <c r="Q126" s="20">
        <f t="shared" si="107"/>
        <v>777.4779752963168</v>
      </c>
      <c r="R126" s="59">
        <f t="shared" si="55"/>
        <v>1059.5510148520248</v>
      </c>
      <c r="S126" s="59">
        <f ca="1">AVERAGE(OFFSET($R$3,0,0,'Données projet'!$E$9+1,1))-AVERAGE(OFFSET($H$3,0,0,'Données projet'!$E$9+1,1))</f>
        <v>631.31712308065664</v>
      </c>
      <c r="T126" s="59">
        <f t="shared" si="88"/>
        <v>290.92244624361285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51.686850636013112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51.686850636013112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352.18</v>
      </c>
      <c r="AG126" s="12">
        <f>VLOOKUP(A126,'Données projet'!$A$61:$I$81,9,0)</f>
        <v>7.3920000000000012</v>
      </c>
      <c r="AH126" s="12">
        <f t="array" ref="AH126">INDEX(AG:AG,MIN(IF(ISNUMBER(AG126:AG322),ROW(AG126:AG322),"")))</f>
        <v>7.3920000000000012</v>
      </c>
      <c r="AI126" s="13">
        <f>IF('Données projet'!$A$62&gt;35,AI125+AH126-AQ125,IF(A126&lt;'Données projet'!$A$62,$AF$205^A126,IF(A126='Données projet'!$A$62,'Données projet'!$B$62,AI125+AH126-AQ125)))</f>
        <v>352.17999999999995</v>
      </c>
      <c r="AJ126" s="13">
        <f>AI126*VLOOKUP('Données projet'!$B$10,Paramètres!$A$1:$I$89,3,0)*VLOOKUP('Données projet'!$B$10,Paramètres!$A$1:$I$89,5,0)</f>
        <v>296.67643200000003</v>
      </c>
      <c r="AK126" s="13">
        <f t="shared" si="89"/>
        <v>70.479264856783857</v>
      </c>
      <c r="AL126" s="20">
        <f t="shared" si="58"/>
        <v>639.46283869223191</v>
      </c>
      <c r="AM126" s="59">
        <f t="shared" si="59"/>
        <v>921.53587824793976</v>
      </c>
      <c r="AN126" s="59">
        <f ca="1">AVERAGE(OFFSET($AM$3,0,0,'Données projet'!$E$10+1,1))-AVERAGE(OFFSET($H$3,0,0,'Données projet'!$E$10+1,1))</f>
        <v>401.19166052471473</v>
      </c>
      <c r="AO126" s="59">
        <f t="shared" si="90"/>
        <v>271.10067497534271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175.3</v>
      </c>
      <c r="AR126" s="16">
        <f>IF(ISNA(VLOOKUP(A126,'Données projet'!$A$61:$I$81,5,0)),0%,VLOOKUP(A126,'Données projet'!$A$61:$I$81,5,0)*VLOOKUP('Données projet'!$B$10,Paramètres!$A$1:$I$89,7,0))</f>
        <v>0.25800000000000001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86.19614626159705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86.19614626159705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406.03399200000069</v>
      </c>
      <c r="BF126" s="13">
        <f t="shared" si="91"/>
        <v>92.998896489228883</v>
      </c>
      <c r="BG126" s="20">
        <f t="shared" si="61"/>
        <v>869.14894745207482</v>
      </c>
      <c r="BH126" s="59">
        <f t="shared" si="62"/>
        <v>1151.2219870077827</v>
      </c>
      <c r="BI126" s="59">
        <f ca="1">AVERAGE(OFFSET($BH$3,0,0,'Données projet'!$E$11+1,1))-AVERAGE(OFFSET($H$3,0,0,'Données projet'!$E$11+1,1))</f>
        <v>695.93700574708214</v>
      </c>
      <c r="BJ126" s="59">
        <f t="shared" si="92"/>
        <v>318.31690229208471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57.924918816221599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57.924918816221599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1.7053025658242404E-13</v>
      </c>
      <c r="BZ126" s="13">
        <f>BY126*VLOOKUP('Données projet'!$B$12,Paramètres!$A$1:$I$89,3,0)*VLOOKUP('Données projet'!$B$12,Paramètres!$A$1:$I$89,5,0)</f>
        <v>1.1173142411280423E-13</v>
      </c>
      <c r="CA126" s="13">
        <f t="shared" si="93"/>
        <v>1.6569896290553793E-12</v>
      </c>
      <c r="CB126" s="20">
        <f t="shared" si="64"/>
        <v>3.0805225009345862E-12</v>
      </c>
      <c r="CC126" s="59">
        <f t="shared" si="65"/>
        <v>282.07303955571098</v>
      </c>
      <c r="CD126" s="59">
        <f ca="1">AVERAGE(OFFSET($CC$3,0,0,'Données projet'!$E$12+1,1))-AVERAGE(OFFSET($H$3,0,0,'Données projet'!$E$12+1,1))</f>
        <v>260.25859566735949</v>
      </c>
      <c r="CE126" s="59">
        <f t="shared" si="94"/>
        <v>256.93649773468667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28.754398920190088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28.754398920190088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1.7053025658242404E-13</v>
      </c>
      <c r="CU126" s="17">
        <f>CT126*VLOOKUP('Données projet'!$B$13,Paramètres!$A$1:$I$89,3,0)*VLOOKUP('Données projet'!$B$13,Paramètres!$A$1:$I$89,5,0)</f>
        <v>1.1173142411280423E-13</v>
      </c>
      <c r="CV126" s="13">
        <f t="shared" si="95"/>
        <v>1.6569896290553793E-12</v>
      </c>
      <c r="CW126" s="20">
        <f t="shared" si="67"/>
        <v>3.0805225009345862E-12</v>
      </c>
      <c r="CX126" s="59">
        <f t="shared" si="68"/>
        <v>282.07303955571098</v>
      </c>
      <c r="CY126" s="59">
        <f ca="1">AVERAGE(OFFSET($CX$3,0,0,'Données projet'!$E$13+1,1))-AVERAGE(OFFSET($H$3,0,0,'Données projet'!$E$13+1,1))</f>
        <v>260.25859566735949</v>
      </c>
      <c r="CZ126" s="59">
        <f t="shared" si="96"/>
        <v>256.93649773468667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28.754398920190088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28.754398920190088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-2.2737367544323206E-13</v>
      </c>
      <c r="DP126" s="17">
        <f>DO126*VLOOKUP('Données projet'!$B$14,Paramètres!$A$1:$I$89,3,0)*VLOOKUP('Données projet'!$B$14,Paramètres!$A$1:$I$89,5,0)</f>
        <v>-1.3005774235352875E-13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349.56396446903</v>
      </c>
      <c r="DU126" s="59">
        <f t="shared" si="98"/>
        <v>270.64279448634522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96.189020781922565</v>
      </c>
      <c r="EB126" s="21">
        <f>EXP(-LN(2)/25)*EB125+(1-EXP(-LN(2)/25))/(LN(2)/25)*Calculateur!DW126*Calculateur!DY126*VLOOKUP('Données projet'!$B$14,Paramètres!$A$1:$I$89,3,0)*0.475*44/12</f>
        <v>40.541965333107399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136.73098611502996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375.89365709113105</v>
      </c>
      <c r="EP126" s="59">
        <f t="shared" si="100"/>
        <v>279.39056561403834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71.058015838259507</v>
      </c>
      <c r="EW126" s="21">
        <f>EXP(-LN(2)/25)*EW125+(1-EXP(-LN(2)/25))/(LN(2)/25)*Calculateur!ER126*Calculateur!ET126*VLOOKUP('Données projet'!$B$15,Paramètres!$A$1:$I$89,3,0)*0.475*44/12</f>
        <v>25.168710072377301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96.226725910636816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-1.1368683772161603E-13</v>
      </c>
      <c r="FF126" s="17">
        <f>FE126*VLOOKUP('Données projet'!$B$16,Paramètres!$A$1:$I$89,3,0)*VLOOKUP('Données projet'!$B$16,Paramètres!$A$1:$I$89,5,0)</f>
        <v>-6.7984728957526396E-14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319.29539841078537</v>
      </c>
      <c r="FK126" s="59">
        <f t="shared" si="102"/>
        <v>327.26871144121412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39.715664067921445</v>
      </c>
      <c r="FR126" s="21">
        <f>EXP(-LN(2)/25)*FR125+(1-EXP(-LN(2)/25))/(LN(2)/25)*Calculateur!FM126*Calculateur!FO126*VLOOKUP('Données projet'!$B$16,Paramètres!$A$1:$I$89,3,0)*0.475*44/12</f>
        <v>14.940379363562728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54.656043431484171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2.2737367544323206E-13</v>
      </c>
      <c r="GA126" s="17">
        <f>FZ126*VLOOKUP('Données projet'!$B$17,Paramètres!$A$1:$I$89,3,0)*VLOOKUP('Données projet'!$B$17,Paramètres!$A$1:$I$89,5,0)</f>
        <v>1.0049916454590858E-13</v>
      </c>
      <c r="GB126" s="13">
        <f t="shared" si="103"/>
        <v>1.5089081593838289E-12</v>
      </c>
      <c r="GC126" s="20">
        <f t="shared" si="79"/>
        <v>2.8030510891776262E-12</v>
      </c>
      <c r="GD126" s="59">
        <f t="shared" si="80"/>
        <v>282.07303955571069</v>
      </c>
      <c r="GE126" s="59">
        <f ca="1">AVERAGE(OFFSET($GD$3,0,0,'Données projet'!$E$17+1,1))-AVERAGE(OFFSET($H$3,0,0,'Données projet'!$E$17+1,1))</f>
        <v>342.89128067483233</v>
      </c>
      <c r="GF126" s="59">
        <f t="shared" si="104"/>
        <v>453.47615302202996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47.399354762958453</v>
      </c>
      <c r="GM126" s="21">
        <f>EXP(-LN(2)/25)*GM125+(1-EXP(-LN(2)/25))/(LN(2)/25)*Calculateur!GH126*Calculateur!GJ126*VLOOKUP('Données projet'!$B$17,Paramètres!$A$1:$I$89,3,0)*0.475*44/12</f>
        <v>20.468513634826088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67.867868397784548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66.929010787920333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>
        <f>GU126*VLOOKUP('Données projet'!$B$18,Paramètres!$A$1:$I$89,3,0)*VLOOKUP('Données projet'!$B$18,Paramètres!$A$1:$I$89,5,0)</f>
        <v>0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375.89365709113105</v>
      </c>
      <c r="HA126" s="59">
        <f t="shared" si="106"/>
        <v>279.39056561403834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71.058015838259507</v>
      </c>
      <c r="HH126" s="21">
        <f>EXP(-LN(2)/25)*HH125+(1-EXP(-LN(2)/25))/(LN(2)/25)*Calculateur!HC126*Calculateur!HE126*VLOOKUP('Données projet'!$B$18,Paramètres!$A$1:$I$89,3,0)*0.475*44/12</f>
        <v>25.168710072377301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96.226725910636816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178.09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369.53841600000061</v>
      </c>
      <c r="P127" s="13">
        <f t="shared" si="87"/>
        <v>85.572866703416025</v>
      </c>
      <c r="Q127" s="20">
        <f t="shared" si="107"/>
        <v>792.65215070845068</v>
      </c>
      <c r="R127" s="59">
        <f t="shared" si="55"/>
        <v>1074.9205311869548</v>
      </c>
      <c r="S127" s="59">
        <f ca="1">AVERAGE(OFFSET($R$3,0,0,'Données projet'!$E$9+1,1))-AVERAGE(OFFSET($H$3,0,0,'Données projet'!$E$9+1,1))</f>
        <v>631.31712308065664</v>
      </c>
      <c r="T127" s="59">
        <f t="shared" si="88"/>
        <v>290.92244624361285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64.229154721898368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64.229154721898368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4.085000000000008</v>
      </c>
      <c r="AI127" s="13">
        <f>IF('Données projet'!$A$62&gt;35,AI126+AH127-AQ126,IF(A127&lt;'Données projet'!$A$62,$AF$205^A127,IF(A127='Données projet'!$A$62,'Données projet'!$B$62,AI126+AH127-AQ126)))</f>
        <v>180.96499999999997</v>
      </c>
      <c r="AJ127" s="13">
        <f>AI127*VLOOKUP('Données projet'!$B$10,Paramètres!$A$1:$I$89,3,0)*VLOOKUP('Données projet'!$B$10,Paramètres!$A$1:$I$89,5,0)</f>
        <v>152.44491600000001</v>
      </c>
      <c r="AK127" s="13">
        <f t="shared" si="89"/>
        <v>39.133677652296996</v>
      </c>
      <c r="AL127" s="20">
        <f t="shared" si="58"/>
        <v>333.6660506110839</v>
      </c>
      <c r="AM127" s="59">
        <f t="shared" si="59"/>
        <v>615.93443108958809</v>
      </c>
      <c r="AN127" s="59">
        <f ca="1">AVERAGE(OFFSET($AM$3,0,0,'Données projet'!$E$10+1,1))-AVERAGE(OFFSET($H$3,0,0,'Données projet'!$E$10+1,1))</f>
        <v>401.19166052471473</v>
      </c>
      <c r="AO127" s="59">
        <f t="shared" si="90"/>
        <v>271.10067497534271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84.505892407865062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84.505892407865062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414.13788000000073</v>
      </c>
      <c r="BF127" s="13">
        <f t="shared" si="91"/>
        <v>94.637083526579147</v>
      </c>
      <c r="BG127" s="20">
        <f t="shared" si="61"/>
        <v>886.1163948087933</v>
      </c>
      <c r="BH127" s="59">
        <f t="shared" si="62"/>
        <v>1168.3847752872975</v>
      </c>
      <c r="BI127" s="59">
        <f ca="1">AVERAGE(OFFSET($BH$3,0,0,'Données projet'!$E$11+1,1))-AVERAGE(OFFSET($H$3,0,0,'Données projet'!$E$11+1,1))</f>
        <v>695.93700574708214</v>
      </c>
      <c r="BJ127" s="59">
        <f t="shared" si="92"/>
        <v>318.31690229208471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71.980949257299912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71.980949257299912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1.7053025658242404E-13</v>
      </c>
      <c r="BZ127" s="13">
        <f>BY127*VLOOKUP('Données projet'!$B$12,Paramètres!$A$1:$I$89,3,0)*VLOOKUP('Données projet'!$B$12,Paramètres!$A$1:$I$89,5,0)</f>
        <v>1.1173142411280423E-13</v>
      </c>
      <c r="CA127" s="13">
        <f t="shared" si="93"/>
        <v>1.6569896290553793E-12</v>
      </c>
      <c r="CB127" s="20">
        <f t="shared" si="64"/>
        <v>3.0805225009345862E-12</v>
      </c>
      <c r="CC127" s="59">
        <f t="shared" si="65"/>
        <v>282.26838047850725</v>
      </c>
      <c r="CD127" s="59">
        <f ca="1">AVERAGE(OFFSET($CC$3,0,0,'Données projet'!$E$12+1,1))-AVERAGE(OFFSET($H$3,0,0,'Données projet'!$E$12+1,1))</f>
        <v>260.25859566735949</v>
      </c>
      <c r="CE127" s="59">
        <f t="shared" si="94"/>
        <v>256.93649773468667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28.190542695816724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28.190542695816724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1.7053025658242404E-13</v>
      </c>
      <c r="CU127" s="17">
        <f>CT127*VLOOKUP('Données projet'!$B$13,Paramètres!$A$1:$I$89,3,0)*VLOOKUP('Données projet'!$B$13,Paramètres!$A$1:$I$89,5,0)</f>
        <v>1.1173142411280423E-13</v>
      </c>
      <c r="CV127" s="13">
        <f t="shared" si="95"/>
        <v>1.6569896290553793E-12</v>
      </c>
      <c r="CW127" s="20">
        <f t="shared" si="67"/>
        <v>3.0805225009345862E-12</v>
      </c>
      <c r="CX127" s="59">
        <f t="shared" si="68"/>
        <v>282.26838047850725</v>
      </c>
      <c r="CY127" s="59">
        <f ca="1">AVERAGE(OFFSET($CX$3,0,0,'Données projet'!$E$13+1,1))-AVERAGE(OFFSET($H$3,0,0,'Données projet'!$E$13+1,1))</f>
        <v>260.25859566735949</v>
      </c>
      <c r="CZ127" s="59">
        <f t="shared" si="96"/>
        <v>256.93649773468667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28.190542695816724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28.190542695816724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-2.2737367544323206E-13</v>
      </c>
      <c r="DP127" s="17">
        <f>DO127*VLOOKUP('Données projet'!$B$14,Paramètres!$A$1:$I$89,3,0)*VLOOKUP('Données projet'!$B$14,Paramètres!$A$1:$I$89,5,0)</f>
        <v>-1.3005774235352875E-13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349.56396446903</v>
      </c>
      <c r="DU127" s="59">
        <f t="shared" si="98"/>
        <v>270.64279448634522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94.302812753898607</v>
      </c>
      <c r="EB127" s="21">
        <f>EXP(-LN(2)/25)*EB126+(1-EXP(-LN(2)/25))/(LN(2)/25)*Calculateur!DW127*Calculateur!DY127*VLOOKUP('Données projet'!$B$14,Paramètres!$A$1:$I$89,3,0)*0.475*44/12</f>
        <v>39.433343159064279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133.73615591296289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375.89365709113105</v>
      </c>
      <c r="EP127" s="59">
        <f t="shared" si="100"/>
        <v>279.39056561403834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69.664611488781318</v>
      </c>
      <c r="EW127" s="21">
        <f>EXP(-LN(2)/25)*EW126+(1-EXP(-LN(2)/25))/(LN(2)/25)*Calculateur!ER127*Calculateur!ET127*VLOOKUP('Données projet'!$B$15,Paramètres!$A$1:$I$89,3,0)*0.475*44/12</f>
        <v>24.480470371883204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94.145081860664519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-1.1368683772161603E-13</v>
      </c>
      <c r="FF127" s="17">
        <f>FE127*VLOOKUP('Données projet'!$B$16,Paramètres!$A$1:$I$89,3,0)*VLOOKUP('Données projet'!$B$16,Paramètres!$A$1:$I$89,5,0)</f>
        <v>-6.7984728957526396E-14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319.29539841078537</v>
      </c>
      <c r="FK127" s="59">
        <f t="shared" si="102"/>
        <v>327.26871144121412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38.936864119712652</v>
      </c>
      <c r="FR127" s="21">
        <f>EXP(-LN(2)/25)*FR126+(1-EXP(-LN(2)/25))/(LN(2)/25)*Calculateur!FM127*Calculateur!FO127*VLOOKUP('Données projet'!$B$16,Paramètres!$A$1:$I$89,3,0)*0.475*44/12</f>
        <v>14.531833904185701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53.468698023898355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2.2737367544323206E-13</v>
      </c>
      <c r="GA127" s="17">
        <f>FZ127*VLOOKUP('Données projet'!$B$17,Paramètres!$A$1:$I$89,3,0)*VLOOKUP('Données projet'!$B$17,Paramètres!$A$1:$I$89,5,0)</f>
        <v>1.0049916454590858E-13</v>
      </c>
      <c r="GB127" s="13">
        <f t="shared" si="103"/>
        <v>1.5089081593838289E-12</v>
      </c>
      <c r="GC127" s="20">
        <f t="shared" si="79"/>
        <v>2.8030510891776262E-12</v>
      </c>
      <c r="GD127" s="59">
        <f t="shared" si="80"/>
        <v>282.26838047850697</v>
      </c>
      <c r="GE127" s="59">
        <f ca="1">AVERAGE(OFFSET($GD$3,0,0,'Données projet'!$E$17+1,1))-AVERAGE(OFFSET($H$3,0,0,'Données projet'!$E$17+1,1))</f>
        <v>342.89128067483233</v>
      </c>
      <c r="GF127" s="59">
        <f t="shared" si="104"/>
        <v>453.47615302202996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46.469882326808545</v>
      </c>
      <c r="GM127" s="21">
        <f>EXP(-LN(2)/25)*GM126+(1-EXP(-LN(2)/25))/(LN(2)/25)*Calculateur!GH127*Calculateur!GJ127*VLOOKUP('Données projet'!$B$17,Paramètres!$A$1:$I$89,3,0)*0.475*44/12</f>
        <v>19.908801053089419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66.378683379897964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66.982285585046597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>
        <f>GU127*VLOOKUP('Données projet'!$B$18,Paramètres!$A$1:$I$89,3,0)*VLOOKUP('Données projet'!$B$18,Paramètres!$A$1:$I$89,5,0)</f>
        <v>0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375.89365709113105</v>
      </c>
      <c r="HA127" s="59">
        <f t="shared" si="106"/>
        <v>279.39056561403834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69.664611488781318</v>
      </c>
      <c r="HH127" s="21">
        <f>EXP(-LN(2)/25)*HH126+(1-EXP(-LN(2)/25))/(LN(2)/25)*Calculateur!HC127*Calculateur!HE127*VLOOKUP('Données projet'!$B$18,Paramètres!$A$1:$I$89,3,0)*0.475*44/12</f>
        <v>24.480470371883204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94.145081860664519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178.09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329.31100800000064</v>
      </c>
      <c r="P128" s="13">
        <f t="shared" si="87"/>
        <v>77.287444180583748</v>
      </c>
      <c r="Q128" s="20">
        <f t="shared" si="107"/>
        <v>708.15897088118447</v>
      </c>
      <c r="R128" s="59">
        <f t="shared" si="55"/>
        <v>990.61930355419133</v>
      </c>
      <c r="S128" s="59">
        <f ca="1">AVERAGE(OFFSET($R$3,0,0,'Données projet'!$E$9+1,1))-AVERAGE(OFFSET($H$3,0,0,'Données projet'!$E$9+1,1))</f>
        <v>631.31712308065664</v>
      </c>
      <c r="T128" s="59">
        <f t="shared" si="88"/>
        <v>290.92244624361285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62.969660173718019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62.969660173718019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185.05</v>
      </c>
      <c r="AG128" s="12">
        <f>VLOOKUP(A128,'Données projet'!$A$61:$I$81,9,0)</f>
        <v>4.085000000000008</v>
      </c>
      <c r="AH128" s="12">
        <f t="array" ref="AH128">INDEX(AG:AG,MIN(IF(ISNUMBER(AG128:AG324),ROW(AG128:AG324),"")))</f>
        <v>4.085000000000008</v>
      </c>
      <c r="AI128" s="13">
        <f>IF('Données projet'!$A$62&gt;35,AI127+AH128-AQ127,IF(A128&lt;'Données projet'!$A$62,$AF$205^A128,IF(A128='Données projet'!$A$62,'Données projet'!$B$62,AI127+AH128-AQ127)))</f>
        <v>185.04999999999998</v>
      </c>
      <c r="AJ128" s="13">
        <f>AI128*VLOOKUP('Données projet'!$B$10,Paramètres!$A$1:$I$89,3,0)*VLOOKUP('Données projet'!$B$10,Paramètres!$A$1:$I$89,5,0)</f>
        <v>155.88612000000001</v>
      </c>
      <c r="AK128" s="13">
        <f t="shared" si="89"/>
        <v>39.913216292713308</v>
      </c>
      <c r="AL128" s="20">
        <f t="shared" si="58"/>
        <v>341.01717737647567</v>
      </c>
      <c r="AM128" s="59">
        <f t="shared" si="59"/>
        <v>623.47751004948259</v>
      </c>
      <c r="AN128" s="59">
        <f ca="1">AVERAGE(OFFSET($AM$3,0,0,'Données projet'!$E$10+1,1))-AVERAGE(OFFSET($H$3,0,0,'Données projet'!$E$10+1,1))</f>
        <v>401.19166052471473</v>
      </c>
      <c r="AO128" s="59">
        <f t="shared" si="90"/>
        <v>271.10067497534271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60.7</v>
      </c>
      <c r="AR128" s="16">
        <f>IF(ISNA(VLOOKUP(A128,'Données projet'!$A$61:$I$81,5,0)),0%,VLOOKUP(A128,'Données projet'!$A$61:$I$81,5,0)*VLOOKUP('Données projet'!$B$10,Paramètres!$A$1:$I$89,7,0))</f>
        <v>0.25800000000000001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97.432689709472925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97.432689709472925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369.05544000000071</v>
      </c>
      <c r="BF128" s="13">
        <f t="shared" si="91"/>
        <v>85.474036248241589</v>
      </c>
      <c r="BG128" s="20">
        <f t="shared" si="61"/>
        <v>791.63883779902199</v>
      </c>
      <c r="BH128" s="59">
        <f t="shared" si="62"/>
        <v>1074.0991704720288</v>
      </c>
      <c r="BI128" s="59">
        <f ca="1">AVERAGE(OFFSET($BH$3,0,0,'Données projet'!$E$11+1,1))-AVERAGE(OFFSET($H$3,0,0,'Données projet'!$E$11+1,1))</f>
        <v>695.93700574708214</v>
      </c>
      <c r="BJ128" s="59">
        <f t="shared" si="92"/>
        <v>318.31690229208471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70.569446746408147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70.569446746408147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1.7053025658242404E-13</v>
      </c>
      <c r="BZ128" s="13">
        <f>BY128*VLOOKUP('Données projet'!$B$12,Paramètres!$A$1:$I$89,3,0)*VLOOKUP('Données projet'!$B$12,Paramètres!$A$1:$I$89,5,0)</f>
        <v>1.1173142411280423E-13</v>
      </c>
      <c r="CA128" s="13">
        <f t="shared" si="93"/>
        <v>1.6569896290553793E-12</v>
      </c>
      <c r="CB128" s="20">
        <f t="shared" si="64"/>
        <v>3.0805225009345862E-12</v>
      </c>
      <c r="CC128" s="59">
        <f t="shared" si="65"/>
        <v>282.46033267300993</v>
      </c>
      <c r="CD128" s="59">
        <f ca="1">AVERAGE(OFFSET($CC$3,0,0,'Données projet'!$E$12+1,1))-AVERAGE(OFFSET($H$3,0,0,'Données projet'!$E$12+1,1))</f>
        <v>260.25859566735949</v>
      </c>
      <c r="CE128" s="59">
        <f t="shared" si="94"/>
        <v>256.93649773468667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27.637743348084982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27.637743348084982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1.7053025658242404E-13</v>
      </c>
      <c r="CU128" s="17">
        <f>CT128*VLOOKUP('Données projet'!$B$13,Paramètres!$A$1:$I$89,3,0)*VLOOKUP('Données projet'!$B$13,Paramètres!$A$1:$I$89,5,0)</f>
        <v>1.1173142411280423E-13</v>
      </c>
      <c r="CV128" s="13">
        <f t="shared" si="95"/>
        <v>1.6569896290553793E-12</v>
      </c>
      <c r="CW128" s="20">
        <f t="shared" si="67"/>
        <v>3.0805225009345862E-12</v>
      </c>
      <c r="CX128" s="59">
        <f t="shared" si="68"/>
        <v>282.46033267300993</v>
      </c>
      <c r="CY128" s="59">
        <f ca="1">AVERAGE(OFFSET($CX$3,0,0,'Données projet'!$E$13+1,1))-AVERAGE(OFFSET($H$3,0,0,'Données projet'!$E$13+1,1))</f>
        <v>260.25859566735949</v>
      </c>
      <c r="CZ128" s="59">
        <f t="shared" si="96"/>
        <v>256.93649773468667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27.637743348084982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27.637743348084982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-2.2737367544323206E-13</v>
      </c>
      <c r="DP128" s="17">
        <f>DO128*VLOOKUP('Données projet'!$B$14,Paramètres!$A$1:$I$89,3,0)*VLOOKUP('Données projet'!$B$14,Paramètres!$A$1:$I$89,5,0)</f>
        <v>-1.3005774235352875E-13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349.56396446903</v>
      </c>
      <c r="DU128" s="59">
        <f t="shared" si="98"/>
        <v>270.64279448634522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92.453592114830897</v>
      </c>
      <c r="EB128" s="21">
        <f>EXP(-LN(2)/25)*EB127+(1-EXP(-LN(2)/25))/(LN(2)/25)*Calculateur!DW128*Calculateur!DY128*VLOOKUP('Données projet'!$B$14,Paramètres!$A$1:$I$89,3,0)*0.475*44/12</f>
        <v>38.355036316670272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130.80862843150118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375.89365709113105</v>
      </c>
      <c r="EP128" s="59">
        <f t="shared" si="100"/>
        <v>279.39056561403834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68.298530948703672</v>
      </c>
      <c r="EW128" s="21">
        <f>EXP(-LN(2)/25)*EW127+(1-EXP(-LN(2)/25))/(LN(2)/25)*Calculateur!ER128*Calculateur!ET128*VLOOKUP('Données projet'!$B$15,Paramètres!$A$1:$I$89,3,0)*0.475*44/12</f>
        <v>23.81105062219207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92.109581570895742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-1.1368683772161603E-13</v>
      </c>
      <c r="FF128" s="17">
        <f>FE128*VLOOKUP('Données projet'!$B$16,Paramètres!$A$1:$I$89,3,0)*VLOOKUP('Données projet'!$B$16,Paramètres!$A$1:$I$89,5,0)</f>
        <v>-6.7984728957526396E-14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319.29539841078537</v>
      </c>
      <c r="FK128" s="59">
        <f t="shared" si="102"/>
        <v>327.26871144121412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38.173335963467167</v>
      </c>
      <c r="FR128" s="21">
        <f>EXP(-LN(2)/25)*FR127+(1-EXP(-LN(2)/25))/(LN(2)/25)*Calculateur!FM128*Calculateur!FO128*VLOOKUP('Données projet'!$B$16,Paramètres!$A$1:$I$89,3,0)*0.475*44/12</f>
        <v>14.134460141879812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52.307796105346981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2.2737367544323206E-13</v>
      </c>
      <c r="GA128" s="17">
        <f>FZ128*VLOOKUP('Données projet'!$B$17,Paramètres!$A$1:$I$89,3,0)*VLOOKUP('Données projet'!$B$17,Paramètres!$A$1:$I$89,5,0)</f>
        <v>1.0049916454590858E-13</v>
      </c>
      <c r="GB128" s="13">
        <f t="shared" si="103"/>
        <v>1.5089081593838289E-12</v>
      </c>
      <c r="GC128" s="20">
        <f t="shared" si="79"/>
        <v>2.8030510891776262E-12</v>
      </c>
      <c r="GD128" s="59">
        <f t="shared" si="80"/>
        <v>282.46033267300965</v>
      </c>
      <c r="GE128" s="59">
        <f ca="1">AVERAGE(OFFSET($GD$3,0,0,'Données projet'!$E$17+1,1))-AVERAGE(OFFSET($H$3,0,0,'Données projet'!$E$17+1,1))</f>
        <v>342.89128067483233</v>
      </c>
      <c r="GF128" s="59">
        <f t="shared" si="104"/>
        <v>453.47615302202996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45.558636278209327</v>
      </c>
      <c r="GM128" s="21">
        <f>EXP(-LN(2)/25)*GM127+(1-EXP(-LN(2)/25))/(LN(2)/25)*Calculateur!GH128*Calculateur!GJ128*VLOOKUP('Données projet'!$B$17,Paramètres!$A$1:$I$89,3,0)*0.475*44/12</f>
        <v>19.364393841334344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64.923030119543668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67.03463618354732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>
        <f>GU128*VLOOKUP('Données projet'!$B$18,Paramètres!$A$1:$I$89,3,0)*VLOOKUP('Données projet'!$B$18,Paramètres!$A$1:$I$89,5,0)</f>
        <v>0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375.89365709113105</v>
      </c>
      <c r="HA128" s="59">
        <f t="shared" si="106"/>
        <v>279.39056561403834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68.298530948703672</v>
      </c>
      <c r="HH128" s="21">
        <f>EXP(-LN(2)/25)*HH127+(1-EXP(-LN(2)/25))/(LN(2)/25)*Calculateur!HC128*Calculateur!HE128*VLOOKUP('Données projet'!$B$18,Paramètres!$A$1:$I$89,3,0)*0.475*44/12</f>
        <v>23.81105062219207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92.109581570895742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178.09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336.61274400000065</v>
      </c>
      <c r="P129" s="13">
        <f t="shared" si="87"/>
        <v>78.799710600410648</v>
      </c>
      <c r="Q129" s="20">
        <f t="shared" si="107"/>
        <v>723.51002509571629</v>
      </c>
      <c r="R129" s="59">
        <f t="shared" si="55"/>
        <v>1006.1589800217919</v>
      </c>
      <c r="S129" s="59">
        <f ca="1">AVERAGE(OFFSET($R$3,0,0,'Données projet'!$E$9+1,1))-AVERAGE(OFFSET($H$3,0,0,'Données projet'!$E$9+1,1))</f>
        <v>631.31712308065664</v>
      </c>
      <c r="T129" s="59">
        <f t="shared" si="88"/>
        <v>290.92244624361285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61.73486354541167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61.73486354541167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2.7899999999999991</v>
      </c>
      <c r="AI129" s="13">
        <f>IF('Données projet'!$A$62&gt;35,AI128+AH129-AQ128,IF(A129&lt;'Données projet'!$A$62,$AF$205^A129,IF(A129='Données projet'!$A$62,'Données projet'!$B$62,AI128+AH129-AQ128)))</f>
        <v>127.13999999999997</v>
      </c>
      <c r="AJ129" s="13">
        <f>AI129*VLOOKUP('Données projet'!$B$10,Paramètres!$A$1:$I$89,3,0)*VLOOKUP('Données projet'!$B$10,Paramètres!$A$1:$I$89,5,0)</f>
        <v>107.10273599999999</v>
      </c>
      <c r="AK129" s="13">
        <f t="shared" si="89"/>
        <v>28.647309778652222</v>
      </c>
      <c r="AL129" s="20">
        <f t="shared" si="58"/>
        <v>236.43132973115257</v>
      </c>
      <c r="AM129" s="59">
        <f t="shared" si="59"/>
        <v>519.08028465722828</v>
      </c>
      <c r="AN129" s="59">
        <f ca="1">AVERAGE(OFFSET($AM$3,0,0,'Données projet'!$E$10+1,1))-AVERAGE(OFFSET($H$3,0,0,'Données projet'!$E$10+1,1))</f>
        <v>401.19166052471473</v>
      </c>
      <c r="AO129" s="59">
        <f t="shared" si="90"/>
        <v>271.10067497534271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95.522094092342854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95.522094092342854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377.23842000000076</v>
      </c>
      <c r="BF129" s="13">
        <f t="shared" si="91"/>
        <v>87.146487914300891</v>
      </c>
      <c r="BG129" s="20">
        <f t="shared" si="61"/>
        <v>808.80371461740867</v>
      </c>
      <c r="BH129" s="59">
        <f t="shared" si="62"/>
        <v>1091.4526695434843</v>
      </c>
      <c r="BI129" s="59">
        <f ca="1">AVERAGE(OFFSET($BH$3,0,0,'Données projet'!$E$11+1,1))-AVERAGE(OFFSET($H$3,0,0,'Données projet'!$E$11+1,1))</f>
        <v>695.93700574708214</v>
      </c>
      <c r="BJ129" s="59">
        <f t="shared" si="92"/>
        <v>318.31690229208471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69.185622938823442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69.185622938823442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1.7053025658242404E-13</v>
      </c>
      <c r="BZ129" s="13">
        <f>BY129*VLOOKUP('Données projet'!$B$12,Paramètres!$A$1:$I$89,3,0)*VLOOKUP('Données projet'!$B$12,Paramètres!$A$1:$I$89,5,0)</f>
        <v>1.1173142411280423E-13</v>
      </c>
      <c r="CA129" s="13">
        <f t="shared" si="93"/>
        <v>1.6569896290553793E-12</v>
      </c>
      <c r="CB129" s="20">
        <f t="shared" si="64"/>
        <v>3.0805225009345862E-12</v>
      </c>
      <c r="CC129" s="59">
        <f t="shared" si="65"/>
        <v>282.64895492607872</v>
      </c>
      <c r="CD129" s="59">
        <f ca="1">AVERAGE(OFFSET($CC$3,0,0,'Données projet'!$E$12+1,1))-AVERAGE(OFFSET($H$3,0,0,'Données projet'!$E$12+1,1))</f>
        <v>260.25859566735949</v>
      </c>
      <c r="CE129" s="59">
        <f t="shared" si="94"/>
        <v>256.93649773468667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27.095784058387952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27.095784058387952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1.7053025658242404E-13</v>
      </c>
      <c r="CU129" s="17">
        <f>CT129*VLOOKUP('Données projet'!$B$13,Paramètres!$A$1:$I$89,3,0)*VLOOKUP('Données projet'!$B$13,Paramètres!$A$1:$I$89,5,0)</f>
        <v>1.1173142411280423E-13</v>
      </c>
      <c r="CV129" s="13">
        <f t="shared" si="95"/>
        <v>1.6569896290553793E-12</v>
      </c>
      <c r="CW129" s="20">
        <f t="shared" si="67"/>
        <v>3.0805225009345862E-12</v>
      </c>
      <c r="CX129" s="59">
        <f t="shared" si="68"/>
        <v>282.64895492607872</v>
      </c>
      <c r="CY129" s="59">
        <f ca="1">AVERAGE(OFFSET($CX$3,0,0,'Données projet'!$E$13+1,1))-AVERAGE(OFFSET($H$3,0,0,'Données projet'!$E$13+1,1))</f>
        <v>260.25859566735949</v>
      </c>
      <c r="CZ129" s="59">
        <f t="shared" si="96"/>
        <v>256.93649773468667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27.095784058387952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27.095784058387952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-2.2737367544323206E-13</v>
      </c>
      <c r="DP129" s="17">
        <f>DO129*VLOOKUP('Données projet'!$B$14,Paramètres!$A$1:$I$89,3,0)*VLOOKUP('Données projet'!$B$14,Paramètres!$A$1:$I$89,5,0)</f>
        <v>-1.3005774235352875E-13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349.56396446903</v>
      </c>
      <c r="DU129" s="59">
        <f t="shared" si="98"/>
        <v>270.64279448634522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90.640633564582089</v>
      </c>
      <c r="EB129" s="21">
        <f>EXP(-LN(2)/25)*EB128+(1-EXP(-LN(2)/25))/(LN(2)/25)*Calculateur!DW129*Calculateur!DY129*VLOOKUP('Données projet'!$B$14,Paramètres!$A$1:$I$89,3,0)*0.475*44/12</f>
        <v>37.306215831587224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127.94684939616931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375.89365709113105</v>
      </c>
      <c r="EP129" s="59">
        <f t="shared" si="100"/>
        <v>279.39056561403834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66.959238414790093</v>
      </c>
      <c r="EW129" s="21">
        <f>EXP(-LN(2)/25)*EW128+(1-EXP(-LN(2)/25))/(LN(2)/25)*Calculateur!ER129*Calculateur!ET129*VLOOKUP('Données projet'!$B$15,Paramètres!$A$1:$I$89,3,0)*0.475*44/12</f>
        <v>23.159936190759495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90.119174605549588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-1.1368683772161603E-13</v>
      </c>
      <c r="FF129" s="17">
        <f>FE129*VLOOKUP('Données projet'!$B$16,Paramètres!$A$1:$I$89,3,0)*VLOOKUP('Données projet'!$B$16,Paramètres!$A$1:$I$89,5,0)</f>
        <v>-6.7984728957526396E-14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319.29539841078537</v>
      </c>
      <c r="FK129" s="59">
        <f t="shared" si="102"/>
        <v>327.26871144121412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37.424780128659464</v>
      </c>
      <c r="FR129" s="21">
        <f>EXP(-LN(2)/25)*FR128+(1-EXP(-LN(2)/25))/(LN(2)/25)*Calculateur!FM129*Calculateur!FO129*VLOOKUP('Données projet'!$B$16,Paramètres!$A$1:$I$89,3,0)*0.475*44/12</f>
        <v>13.747952586001155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51.172732714660619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2.2737367544323206E-13</v>
      </c>
      <c r="GA129" s="17">
        <f>FZ129*VLOOKUP('Données projet'!$B$17,Paramètres!$A$1:$I$89,3,0)*VLOOKUP('Données projet'!$B$17,Paramètres!$A$1:$I$89,5,0)</f>
        <v>1.0049916454590858E-13</v>
      </c>
      <c r="GB129" s="13">
        <f t="shared" si="103"/>
        <v>1.5089081593838289E-12</v>
      </c>
      <c r="GC129" s="20">
        <f t="shared" si="79"/>
        <v>2.8030510891776262E-12</v>
      </c>
      <c r="GD129" s="59">
        <f t="shared" si="80"/>
        <v>282.64895492607843</v>
      </c>
      <c r="GE129" s="59">
        <f ca="1">AVERAGE(OFFSET($GD$3,0,0,'Données projet'!$E$17+1,1))-AVERAGE(OFFSET($H$3,0,0,'Données projet'!$E$17+1,1))</f>
        <v>342.89128067483233</v>
      </c>
      <c r="GF129" s="59">
        <f t="shared" si="104"/>
        <v>453.47615302202996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44.665259208817936</v>
      </c>
      <c r="GM129" s="21">
        <f>EXP(-LN(2)/25)*GM128+(1-EXP(-LN(2)/25))/(LN(2)/25)*Calculateur!GH129*Calculateur!GJ129*VLOOKUP('Données projet'!$B$17,Paramètres!$A$1:$I$89,3,0)*0.475*44/12</f>
        <v>18.834873473413843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63.500132682231779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67.086078616202457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>
        <f>GU129*VLOOKUP('Données projet'!$B$18,Paramètres!$A$1:$I$89,3,0)*VLOOKUP('Données projet'!$B$18,Paramètres!$A$1:$I$89,5,0)</f>
        <v>0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375.89365709113105</v>
      </c>
      <c r="HA129" s="59">
        <f t="shared" si="106"/>
        <v>279.39056561403834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66.959238414790093</v>
      </c>
      <c r="HH129" s="21">
        <f>EXP(-LN(2)/25)*HH128+(1-EXP(-LN(2)/25))/(LN(2)/25)*Calculateur!HC129*Calculateur!HE129*VLOOKUP('Données projet'!$B$18,Paramètres!$A$1:$I$89,3,0)*0.475*44/12</f>
        <v>23.159936190759495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90.119174605549588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178.09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343.91448000000065</v>
      </c>
      <c r="P130" s="13">
        <f t="shared" si="87"/>
        <v>80.308163160675235</v>
      </c>
      <c r="Q130" s="20">
        <f t="shared" si="107"/>
        <v>738.85443683817709</v>
      </c>
      <c r="R130" s="59">
        <f t="shared" si="55"/>
        <v>1021.688741842927</v>
      </c>
      <c r="S130" s="59">
        <f ca="1">AVERAGE(OFFSET($R$3,0,0,'Données projet'!$E$9+1,1))-AVERAGE(OFFSET($H$3,0,0,'Données projet'!$E$9+1,1))</f>
        <v>631.31712308065664</v>
      </c>
      <c r="T130" s="59">
        <f t="shared" si="88"/>
        <v>290.92244624361285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60.524280525834833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60.524280525834833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129.93</v>
      </c>
      <c r="AG130" s="12">
        <f>VLOOKUP(A130,'Données projet'!$A$61:$I$81,9,0)</f>
        <v>2.7899999999999991</v>
      </c>
      <c r="AH130" s="12">
        <f t="array" ref="AH130">INDEX(AG:AG,MIN(IF(ISNUMBER(AG130:AG326),ROW(AG130:AG326),"")))</f>
        <v>2.7899999999999991</v>
      </c>
      <c r="AI130" s="13">
        <f>IF('Données projet'!$A$62&gt;35,AI129+AH130-AQ129,IF(A130&lt;'Données projet'!$A$62,$AF$205^A130,IF(A130='Données projet'!$A$62,'Données projet'!$B$62,AI129+AH130-AQ129)))</f>
        <v>129.92999999999998</v>
      </c>
      <c r="AJ130" s="13">
        <f>AI130*VLOOKUP('Données projet'!$B$10,Paramètres!$A$1:$I$89,3,0)*VLOOKUP('Données projet'!$B$10,Paramètres!$A$1:$I$89,5,0)</f>
        <v>109.45303200000001</v>
      </c>
      <c r="AK130" s="13">
        <f t="shared" si="89"/>
        <v>29.202077281958992</v>
      </c>
      <c r="AL130" s="20">
        <f t="shared" si="58"/>
        <v>241.4909819994119</v>
      </c>
      <c r="AM130" s="59">
        <f t="shared" si="59"/>
        <v>524.32528700416185</v>
      </c>
      <c r="AN130" s="59">
        <f ca="1">AVERAGE(OFFSET($AM$3,0,0,'Données projet'!$E$10+1,1))-AVERAGE(OFFSET($H$3,0,0,'Données projet'!$E$10+1,1))</f>
        <v>401.19166052471473</v>
      </c>
      <c r="AO130" s="59">
        <f t="shared" si="90"/>
        <v>271.10067497534271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39.56</v>
      </c>
      <c r="AR130" s="16">
        <f>IF(ISNA(VLOOKUP(A130,'Données projet'!$A$61:$I$81,5,0)),0%,VLOOKUP(A130,'Données projet'!$A$61:$I$81,5,0)*VLOOKUP('Données projet'!$B$10,Paramètres!$A$1:$I$89,7,0))</f>
        <v>0.25800000000000001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103.15373070529095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103.15373070529095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385.42140000000074</v>
      </c>
      <c r="BF130" s="13">
        <f t="shared" si="91"/>
        <v>88.814721741694029</v>
      </c>
      <c r="BG130" s="20">
        <f t="shared" si="61"/>
        <v>825.96124536678508</v>
      </c>
      <c r="BH130" s="59">
        <f t="shared" si="62"/>
        <v>1108.795550371535</v>
      </c>
      <c r="BI130" s="59">
        <f ca="1">AVERAGE(OFFSET($BH$3,0,0,'Données projet'!$E$11+1,1))-AVERAGE(OFFSET($H$3,0,0,'Données projet'!$E$11+1,1))</f>
        <v>695.93700574708214</v>
      </c>
      <c r="BJ130" s="59">
        <f t="shared" si="92"/>
        <v>318.31690229208471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67.828935072056296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67.828935072056296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1.7053025658242404E-13</v>
      </c>
      <c r="BZ130" s="13">
        <f>BY130*VLOOKUP('Données projet'!$B$12,Paramètres!$A$1:$I$89,3,0)*VLOOKUP('Données projet'!$B$12,Paramètres!$A$1:$I$89,5,0)</f>
        <v>1.1173142411280423E-13</v>
      </c>
      <c r="CA130" s="13">
        <f t="shared" si="93"/>
        <v>1.6569896290553793E-12</v>
      </c>
      <c r="CB130" s="20">
        <f t="shared" si="64"/>
        <v>3.0805225009345862E-12</v>
      </c>
      <c r="CC130" s="59">
        <f t="shared" si="65"/>
        <v>282.83430500475299</v>
      </c>
      <c r="CD130" s="59">
        <f ca="1">AVERAGE(OFFSET($CC$3,0,0,'Données projet'!$E$12+1,1))-AVERAGE(OFFSET($H$3,0,0,'Données projet'!$E$12+1,1))</f>
        <v>260.25859566735949</v>
      </c>
      <c r="CE130" s="59">
        <f t="shared" si="94"/>
        <v>256.93649773468667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26.564452259799353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26.564452259799353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1.7053025658242404E-13</v>
      </c>
      <c r="CU130" s="17">
        <f>CT130*VLOOKUP('Données projet'!$B$13,Paramètres!$A$1:$I$89,3,0)*VLOOKUP('Données projet'!$B$13,Paramètres!$A$1:$I$89,5,0)</f>
        <v>1.1173142411280423E-13</v>
      </c>
      <c r="CV130" s="13">
        <f t="shared" si="95"/>
        <v>1.6569896290553793E-12</v>
      </c>
      <c r="CW130" s="20">
        <f t="shared" si="67"/>
        <v>3.0805225009345862E-12</v>
      </c>
      <c r="CX130" s="59">
        <f t="shared" si="68"/>
        <v>282.83430500475299</v>
      </c>
      <c r="CY130" s="59">
        <f ca="1">AVERAGE(OFFSET($CX$3,0,0,'Données projet'!$E$13+1,1))-AVERAGE(OFFSET($H$3,0,0,'Données projet'!$E$13+1,1))</f>
        <v>260.25859566735949</v>
      </c>
      <c r="CZ130" s="59">
        <f t="shared" si="96"/>
        <v>256.93649773468667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26.564452259799353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26.564452259799353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-2.2737367544323206E-13</v>
      </c>
      <c r="DP130" s="17">
        <f>DO130*VLOOKUP('Données projet'!$B$14,Paramètres!$A$1:$I$89,3,0)*VLOOKUP('Données projet'!$B$14,Paramètres!$A$1:$I$89,5,0)</f>
        <v>-1.3005774235352875E-13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349.56396446903</v>
      </c>
      <c r="DU130" s="59">
        <f t="shared" si="98"/>
        <v>270.64279448634522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88.86322602570813</v>
      </c>
      <c r="EB130" s="21">
        <f>EXP(-LN(2)/25)*EB129+(1-EXP(-LN(2)/25))/(LN(2)/25)*Calculateur!DW130*Calculateur!DY130*VLOOKUP('Données projet'!$B$14,Paramètres!$A$1:$I$89,3,0)*0.475*44/12</f>
        <v>36.286075397823844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125.14930142353197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375.89365709113105</v>
      </c>
      <c r="EP130" s="59">
        <f t="shared" si="100"/>
        <v>279.39056561403834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65.646208590578766</v>
      </c>
      <c r="EW130" s="21">
        <f>EXP(-LN(2)/25)*EW129+(1-EXP(-LN(2)/25))/(LN(2)/25)*Calculateur!ER130*Calculateur!ET130*VLOOKUP('Données projet'!$B$15,Paramètres!$A$1:$I$89,3,0)*0.475*44/12</f>
        <v>22.526626517695064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88.17283510827383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-1.1368683772161603E-13</v>
      </c>
      <c r="FF130" s="17">
        <f>FE130*VLOOKUP('Données projet'!$B$16,Paramètres!$A$1:$I$89,3,0)*VLOOKUP('Données projet'!$B$16,Paramètres!$A$1:$I$89,5,0)</f>
        <v>-6.7984728957526396E-14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319.29539841078537</v>
      </c>
      <c r="FK130" s="59">
        <f t="shared" si="102"/>
        <v>327.26871144121412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36.690903017198366</v>
      </c>
      <c r="FR130" s="21">
        <f>EXP(-LN(2)/25)*FR129+(1-EXP(-LN(2)/25))/(LN(2)/25)*Calculateur!FM130*Calculateur!FO130*VLOOKUP('Données projet'!$B$16,Paramètres!$A$1:$I$89,3,0)*0.475*44/12</f>
        <v>13.372014099563549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50.062917116761916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2.2737367544323206E-13</v>
      </c>
      <c r="GA130" s="17">
        <f>FZ130*VLOOKUP('Données projet'!$B$17,Paramètres!$A$1:$I$89,3,0)*VLOOKUP('Données projet'!$B$17,Paramètres!$A$1:$I$89,5,0)</f>
        <v>1.0049916454590858E-13</v>
      </c>
      <c r="GB130" s="13">
        <f t="shared" si="103"/>
        <v>1.5089081593838289E-12</v>
      </c>
      <c r="GC130" s="20">
        <f t="shared" si="79"/>
        <v>2.8030510891776262E-12</v>
      </c>
      <c r="GD130" s="59">
        <f t="shared" si="80"/>
        <v>282.83430500475271</v>
      </c>
      <c r="GE130" s="59">
        <f ca="1">AVERAGE(OFFSET($GD$3,0,0,'Données projet'!$E$17+1,1))-AVERAGE(OFFSET($H$3,0,0,'Données projet'!$E$17+1,1))</f>
        <v>342.89128067483233</v>
      </c>
      <c r="GF130" s="59">
        <f t="shared" si="104"/>
        <v>453.47615302202996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43.789400718851098</v>
      </c>
      <c r="GM130" s="21">
        <f>EXP(-LN(2)/25)*GM129+(1-EXP(-LN(2)/25))/(LN(2)/25)*Calculateur!GH130*Calculateur!GJ130*VLOOKUP('Données projet'!$B$17,Paramètres!$A$1:$I$89,3,0)*0.475*44/12</f>
        <v>18.319832867800393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62.109233586651492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67.136628637659072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>
        <f>GU130*VLOOKUP('Données projet'!$B$18,Paramètres!$A$1:$I$89,3,0)*VLOOKUP('Données projet'!$B$18,Paramètres!$A$1:$I$89,5,0)</f>
        <v>0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375.89365709113105</v>
      </c>
      <c r="HA130" s="59">
        <f t="shared" si="106"/>
        <v>279.39056561403834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65.646208590578766</v>
      </c>
      <c r="HH130" s="21">
        <f>EXP(-LN(2)/25)*HH129+(1-EXP(-LN(2)/25))/(LN(2)/25)*Calculateur!HC130*Calculateur!HE130*VLOOKUP('Données projet'!$B$18,Paramètres!$A$1:$I$89,3,0)*0.475*44/12</f>
        <v>22.526626517695064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88.17283510827383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178.09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351.2162160000006</v>
      </c>
      <c r="P131" s="13">
        <f t="shared" si="87"/>
        <v>81.812892161752615</v>
      </c>
      <c r="Q131" s="20">
        <f t="shared" ref="Q131:Q153" si="108">(O131+P131)*0.475*44/12</f>
        <v>754.19236338172016</v>
      </c>
      <c r="R131" s="59">
        <f t="shared" ref="R131:R194" si="109">Q131+(I131+J131)*44/12</f>
        <v>1037.2088030556602</v>
      </c>
      <c r="S131" s="59">
        <f ca="1">AVERAGE(OFFSET($R$3,0,0,'Données projet'!$E$9+1,1))-AVERAGE(OFFSET($H$3,0,0,'Données projet'!$E$9+1,1))</f>
        <v>631.31712308065664</v>
      </c>
      <c r="T131" s="59">
        <f t="shared" si="88"/>
        <v>290.92244624361285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59.337436300889166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59.337436300889166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2.0666666666666629</v>
      </c>
      <c r="AI131" s="13">
        <f>IF('Données projet'!$A$62&gt;35,AI130+AH131-AQ130,IF(A131&lt;'Données projet'!$A$62,$AF$205^A131,IF(A131='Données projet'!$A$62,'Données projet'!$B$62,AI130+AH131-AQ130)))</f>
        <v>92.436666666666639</v>
      </c>
      <c r="AJ131" s="13">
        <f>AI131*VLOOKUP('Données projet'!$B$10,Paramètres!$A$1:$I$89,3,0)*VLOOKUP('Données projet'!$B$10,Paramètres!$A$1:$I$89,5,0)</f>
        <v>77.868647999999993</v>
      </c>
      <c r="AK131" s="13">
        <f t="shared" si="89"/>
        <v>21.615241321016015</v>
      </c>
      <c r="AL131" s="20">
        <f t="shared" si="58"/>
        <v>173.26777390076953</v>
      </c>
      <c r="AM131" s="59">
        <f t="shared" si="59"/>
        <v>456.2842135747095</v>
      </c>
      <c r="AN131" s="59">
        <f ca="1">AVERAGE(OFFSET($AM$3,0,0,'Données projet'!$E$10+1,1))-AVERAGE(OFFSET($H$3,0,0,'Données projet'!$E$10+1,1))</f>
        <v>401.19166052471473</v>
      </c>
      <c r="AO131" s="59">
        <f t="shared" si="90"/>
        <v>271.10067497534271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101.13094896372334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101.13094896372334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393.60438000000073</v>
      </c>
      <c r="BF131" s="13">
        <f t="shared" si="91"/>
        <v>90.478837595769321</v>
      </c>
      <c r="BG131" s="20">
        <f t="shared" si="61"/>
        <v>843.1116039792995</v>
      </c>
      <c r="BH131" s="59">
        <f t="shared" si="62"/>
        <v>1126.1280436532395</v>
      </c>
      <c r="BI131" s="59">
        <f ca="1">AVERAGE(OFFSET($BH$3,0,0,'Données projet'!$E$11+1,1))-AVERAGE(OFFSET($H$3,0,0,'Données projet'!$E$11+1,1))</f>
        <v>695.93700574708214</v>
      </c>
      <c r="BJ131" s="59">
        <f t="shared" si="92"/>
        <v>318.31690229208471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66.49885102685856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66.49885102685856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1.7053025658242404E-13</v>
      </c>
      <c r="BZ131" s="13">
        <f>BY131*VLOOKUP('Données projet'!$B$12,Paramètres!$A$1:$I$89,3,0)*VLOOKUP('Données projet'!$B$12,Paramètres!$A$1:$I$89,5,0)</f>
        <v>1.1173142411280423E-13</v>
      </c>
      <c r="CA131" s="13">
        <f t="shared" si="93"/>
        <v>1.6569896290553793E-12</v>
      </c>
      <c r="CB131" s="20">
        <f t="shared" si="64"/>
        <v>3.0805225009345862E-12</v>
      </c>
      <c r="CC131" s="59">
        <f t="shared" si="65"/>
        <v>283.01643967394301</v>
      </c>
      <c r="CD131" s="59">
        <f ca="1">AVERAGE(OFFSET($CC$3,0,0,'Données projet'!$E$12+1,1))-AVERAGE(OFFSET($H$3,0,0,'Données projet'!$E$12+1,1))</f>
        <v>260.25859566735949</v>
      </c>
      <c r="CE131" s="59">
        <f t="shared" si="94"/>
        <v>256.93649773468667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26.043539553700679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26.043539553700679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1.7053025658242404E-13</v>
      </c>
      <c r="CU131" s="17">
        <f>CT131*VLOOKUP('Données projet'!$B$13,Paramètres!$A$1:$I$89,3,0)*VLOOKUP('Données projet'!$B$13,Paramètres!$A$1:$I$89,5,0)</f>
        <v>1.1173142411280423E-13</v>
      </c>
      <c r="CV131" s="13">
        <f t="shared" si="95"/>
        <v>1.6569896290553793E-12</v>
      </c>
      <c r="CW131" s="20">
        <f t="shared" si="67"/>
        <v>3.0805225009345862E-12</v>
      </c>
      <c r="CX131" s="59">
        <f t="shared" si="68"/>
        <v>283.01643967394301</v>
      </c>
      <c r="CY131" s="59">
        <f ca="1">AVERAGE(OFFSET($CX$3,0,0,'Données projet'!$E$13+1,1))-AVERAGE(OFFSET($H$3,0,0,'Données projet'!$E$13+1,1))</f>
        <v>260.25859566735949</v>
      </c>
      <c r="CZ131" s="59">
        <f t="shared" si="96"/>
        <v>256.93649773468667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26.043539553700679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26.043539553700679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-2.2737367544323206E-13</v>
      </c>
      <c r="DP131" s="17">
        <f>DO131*VLOOKUP('Données projet'!$B$14,Paramètres!$A$1:$I$89,3,0)*VLOOKUP('Données projet'!$B$14,Paramètres!$A$1:$I$89,5,0)</f>
        <v>-1.3005774235352875E-13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349.56396446903</v>
      </c>
      <c r="DU131" s="59">
        <f t="shared" si="98"/>
        <v>270.64279448634522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87.120672364559937</v>
      </c>
      <c r="EB131" s="21">
        <f>EXP(-LN(2)/25)*EB130+(1-EXP(-LN(2)/25))/(LN(2)/25)*Calculateur!DW131*Calculateur!DY131*VLOOKUP('Données projet'!$B$14,Paramètres!$A$1:$I$89,3,0)*0.475*44/12</f>
        <v>35.293830757868577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122.41450312242851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375.89365709113105</v>
      </c>
      <c r="EP131" s="59">
        <f t="shared" si="100"/>
        <v>279.39056561403834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64.358926480351116</v>
      </c>
      <c r="EW131" s="21">
        <f>EXP(-LN(2)/25)*EW130+(1-EXP(-LN(2)/25))/(LN(2)/25)*Calculateur!ER131*Calculateur!ET131*VLOOKUP('Données projet'!$B$15,Paramètres!$A$1:$I$89,3,0)*0.475*44/12</f>
        <v>21.910634730944889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86.269561211296008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-1.1368683772161603E-13</v>
      </c>
      <c r="FF131" s="17">
        <f>FE131*VLOOKUP('Données projet'!$B$16,Paramètres!$A$1:$I$89,3,0)*VLOOKUP('Données projet'!$B$16,Paramètres!$A$1:$I$89,5,0)</f>
        <v>-6.7984728957526396E-14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319.29539841078537</v>
      </c>
      <c r="FK131" s="59">
        <f t="shared" si="102"/>
        <v>327.26871144121412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35.97141678827218</v>
      </c>
      <c r="FR131" s="21">
        <f>EXP(-LN(2)/25)*FR130+(1-EXP(-LN(2)/25))/(LN(2)/25)*Calculateur!FM131*Calculateur!FO131*VLOOKUP('Données projet'!$B$16,Paramètres!$A$1:$I$89,3,0)*0.475*44/12</f>
        <v>13.006355670807324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48.977772459079503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2.2737367544323206E-13</v>
      </c>
      <c r="GA131" s="17">
        <f>FZ131*VLOOKUP('Données projet'!$B$17,Paramètres!$A$1:$I$89,3,0)*VLOOKUP('Données projet'!$B$17,Paramètres!$A$1:$I$89,5,0)</f>
        <v>1.0049916454590858E-13</v>
      </c>
      <c r="GB131" s="13">
        <f t="shared" si="103"/>
        <v>1.5089081593838289E-12</v>
      </c>
      <c r="GC131" s="20">
        <f t="shared" si="79"/>
        <v>2.8030510891776262E-12</v>
      </c>
      <c r="GD131" s="59">
        <f t="shared" si="80"/>
        <v>283.01643967394273</v>
      </c>
      <c r="GE131" s="59">
        <f ca="1">AVERAGE(OFFSET($GD$3,0,0,'Données projet'!$E$17+1,1))-AVERAGE(OFFSET($H$3,0,0,'Données projet'!$E$17+1,1))</f>
        <v>342.89128067483233</v>
      </c>
      <c r="GF131" s="59">
        <f t="shared" si="104"/>
        <v>453.47615302202996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42.930717279651581</v>
      </c>
      <c r="GM131" s="21">
        <f>EXP(-LN(2)/25)*GM130+(1-EXP(-LN(2)/25))/(LN(2)/25)*Calculateur!GH131*Calculateur!GJ131*VLOOKUP('Données projet'!$B$17,Paramètres!$A$1:$I$89,3,0)*0.475*44/12</f>
        <v>17.81887607463225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60.749593354283832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67.186301729256357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>
        <f>GU131*VLOOKUP('Données projet'!$B$18,Paramètres!$A$1:$I$89,3,0)*VLOOKUP('Données projet'!$B$18,Paramètres!$A$1:$I$89,5,0)</f>
        <v>0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375.89365709113105</v>
      </c>
      <c r="HA131" s="59">
        <f t="shared" si="106"/>
        <v>279.39056561403834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64.358926480351116</v>
      </c>
      <c r="HH131" s="21">
        <f>EXP(-LN(2)/25)*HH130+(1-EXP(-LN(2)/25))/(LN(2)/25)*Calculateur!HC131*Calculateur!HE131*VLOOKUP('Données projet'!$B$18,Paramètres!$A$1:$I$89,3,0)*0.475*44/12</f>
        <v>21.910634730944889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86.269561211296008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178.09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358.51795200000061</v>
      </c>
      <c r="P132" s="13">
        <f t="shared" si="87"/>
        <v>83.313983934777241</v>
      </c>
      <c r="Q132" s="20">
        <f t="shared" si="108"/>
        <v>769.52395508640473</v>
      </c>
      <c r="R132" s="59">
        <f t="shared" si="109"/>
        <v>1052.7193698002163</v>
      </c>
      <c r="S132" s="59">
        <f ca="1">AVERAGE(OFFSET($R$3,0,0,'Données projet'!$E$9+1,1))-AVERAGE(OFFSET($H$3,0,0,'Données projet'!$E$9+1,1))</f>
        <v>631.31712308065664</v>
      </c>
      <c r="T132" s="59">
        <f t="shared" si="88"/>
        <v>290.92244624361285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58.173865367291185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58.173865367291185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2.0666666666666629</v>
      </c>
      <c r="AI132" s="13">
        <f>IF('Données projet'!$A$62&gt;35,AI131+AH132-AQ131,IF(A132&lt;'Données projet'!$A$62,$AF$205^A132,IF(A132='Données projet'!$A$62,'Données projet'!$B$62,AI131+AH132-AQ131)))</f>
        <v>94.503333333333302</v>
      </c>
      <c r="AJ132" s="13">
        <f>AI132*VLOOKUP('Données projet'!$B$10,Paramètres!$A$1:$I$89,3,0)*VLOOKUP('Données projet'!$B$10,Paramètres!$A$1:$I$89,5,0)</f>
        <v>79.60960799999998</v>
      </c>
      <c r="AK132" s="13">
        <f t="shared" si="89"/>
        <v>22.04170409618445</v>
      </c>
      <c r="AL132" s="20">
        <f t="shared" ref="AL132:AL153" si="112">(AJ132+AK132)*0.475*44/12</f>
        <v>177.0427019008545</v>
      </c>
      <c r="AM132" s="59">
        <f t="shared" ref="AM132:AM195" si="113">AL132+(AD132+AE132)*44/12</f>
        <v>460.23811661466618</v>
      </c>
      <c r="AN132" s="59">
        <f ca="1">AVERAGE(OFFSET($AM$3,0,0,'Données projet'!$E$10+1,1))-AVERAGE(OFFSET($H$3,0,0,'Données projet'!$E$10+1,1))</f>
        <v>401.19166052471473</v>
      </c>
      <c r="AO132" s="59">
        <f t="shared" si="90"/>
        <v>271.10067497534271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99.147832738332824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99.147832738332824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401.78736000000072</v>
      </c>
      <c r="BF132" s="13">
        <f t="shared" si="91"/>
        <v>92.138930952196844</v>
      </c>
      <c r="BG132" s="20">
        <f t="shared" ref="BG132:BG153" si="115">(BE132+BF132)*0.475*44/12</f>
        <v>860.25495674174408</v>
      </c>
      <c r="BH132" s="59">
        <f t="shared" ref="BH132:BH195" si="116">BG132+(AY132+AZ132)*44/12</f>
        <v>1143.4503714555558</v>
      </c>
      <c r="BI132" s="59">
        <f ca="1">AVERAGE(OFFSET($BH$3,0,0,'Données projet'!$E$11+1,1))-AVERAGE(OFFSET($H$3,0,0,'Données projet'!$E$11+1,1))</f>
        <v>695.93700574708214</v>
      </c>
      <c r="BJ132" s="59">
        <f t="shared" si="92"/>
        <v>318.31690229208471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65.19484911851599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65.19484911851599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1.7053025658242404E-13</v>
      </c>
      <c r="BZ132" s="13">
        <f>BY132*VLOOKUP('Données projet'!$B$12,Paramètres!$A$1:$I$89,3,0)*VLOOKUP('Données projet'!$B$12,Paramètres!$A$1:$I$89,5,0)</f>
        <v>1.1173142411280423E-13</v>
      </c>
      <c r="CA132" s="13">
        <f t="shared" si="93"/>
        <v>1.6569896290553793E-12</v>
      </c>
      <c r="CB132" s="20">
        <f t="shared" ref="CB132:CB153" si="118">(BZ132+CA132)*0.475*44/12</f>
        <v>3.0805225009345862E-12</v>
      </c>
      <c r="CC132" s="59">
        <f t="shared" ref="CC132:CC195" si="119">CB132+(BT132+BU132)*44/12</f>
        <v>283.19541471381473</v>
      </c>
      <c r="CD132" s="59">
        <f ca="1">AVERAGE(OFFSET($CC$3,0,0,'Données projet'!$E$12+1,1))-AVERAGE(OFFSET($H$3,0,0,'Données projet'!$E$12+1,1))</f>
        <v>260.25859566735949</v>
      </c>
      <c r="CE132" s="59">
        <f t="shared" si="94"/>
        <v>256.93649773468667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25.532841628043222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25.532841628043222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1.7053025658242404E-13</v>
      </c>
      <c r="CU132" s="17">
        <f>CT132*VLOOKUP('Données projet'!$B$13,Paramètres!$A$1:$I$89,3,0)*VLOOKUP('Données projet'!$B$13,Paramètres!$A$1:$I$89,5,0)</f>
        <v>1.1173142411280423E-13</v>
      </c>
      <c r="CV132" s="13">
        <f t="shared" si="95"/>
        <v>1.6569896290553793E-12</v>
      </c>
      <c r="CW132" s="20">
        <f t="shared" ref="CW132:CW153" si="121">(CU132+CV132)*0.475*44/12</f>
        <v>3.0805225009345862E-12</v>
      </c>
      <c r="CX132" s="59">
        <f t="shared" ref="CX132:CX195" si="122">CW132+(CO132+CP132)*44/12</f>
        <v>283.19541471381473</v>
      </c>
      <c r="CY132" s="59">
        <f ca="1">AVERAGE(OFFSET($CX$3,0,0,'Données projet'!$E$13+1,1))-AVERAGE(OFFSET($H$3,0,0,'Données projet'!$E$13+1,1))</f>
        <v>260.25859566735949</v>
      </c>
      <c r="CZ132" s="59">
        <f t="shared" si="96"/>
        <v>256.93649773468667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25.532841628043222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25.532841628043222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-2.2737367544323206E-13</v>
      </c>
      <c r="DP132" s="17">
        <f>DO132*VLOOKUP('Données projet'!$B$14,Paramètres!$A$1:$I$89,3,0)*VLOOKUP('Données projet'!$B$14,Paramètres!$A$1:$I$89,5,0)</f>
        <v>-1.3005774235352875E-13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349.56396446903</v>
      </c>
      <c r="DU132" s="59">
        <f t="shared" si="98"/>
        <v>270.64279448634522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85.412289117854087</v>
      </c>
      <c r="EB132" s="21">
        <f>EXP(-LN(2)/25)*EB131+(1-EXP(-LN(2)/25))/(LN(2)/25)*Calculateur!DW132*Calculateur!DY132*VLOOKUP('Données projet'!$B$14,Paramètres!$A$1:$I$89,3,0)*0.475*44/12</f>
        <v>34.328719099772769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119.74100821762686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375.89365709113105</v>
      </c>
      <c r="EP132" s="59">
        <f t="shared" si="100"/>
        <v>279.39056561403834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63.096887187140467</v>
      </c>
      <c r="EW132" s="21">
        <f>EXP(-LN(2)/25)*EW131+(1-EXP(-LN(2)/25))/(LN(2)/25)*Calculateur!ER132*Calculateur!ET132*VLOOKUP('Données projet'!$B$15,Paramètres!$A$1:$I$89,3,0)*0.475*44/12</f>
        <v>21.311487271996999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84.408374459137463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-1.1368683772161603E-13</v>
      </c>
      <c r="FF132" s="17">
        <f>FE132*VLOOKUP('Données projet'!$B$16,Paramètres!$A$1:$I$89,3,0)*VLOOKUP('Données projet'!$B$16,Paramètres!$A$1:$I$89,5,0)</f>
        <v>-6.7984728957526396E-14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319.29539841078537</v>
      </c>
      <c r="FK132" s="59">
        <f t="shared" si="102"/>
        <v>327.26871144121412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35.266039245451971</v>
      </c>
      <c r="FR132" s="21">
        <f>EXP(-LN(2)/25)*FR131+(1-EXP(-LN(2)/25))/(LN(2)/25)*Calculateur!FM132*Calculateur!FO132*VLOOKUP('Données projet'!$B$16,Paramètres!$A$1:$I$89,3,0)*0.475*44/12</f>
        <v>12.650696191014578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47.916735436466553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2.2737367544323206E-13</v>
      </c>
      <c r="GA132" s="17">
        <f>FZ132*VLOOKUP('Données projet'!$B$17,Paramètres!$A$1:$I$89,3,0)*VLOOKUP('Données projet'!$B$17,Paramètres!$A$1:$I$89,5,0)</f>
        <v>1.0049916454590858E-13</v>
      </c>
      <c r="GB132" s="13">
        <f t="shared" si="103"/>
        <v>1.5089081593838289E-12</v>
      </c>
      <c r="GC132" s="20">
        <f t="shared" ref="GC132:GC153" si="133">(GA132+GB132)*0.475*44/12</f>
        <v>2.8030510891776262E-12</v>
      </c>
      <c r="GD132" s="59">
        <f t="shared" ref="GD132:GD195" si="134">GC132+(FU132+FV132)*44/12</f>
        <v>283.19541471381444</v>
      </c>
      <c r="GE132" s="59">
        <f ca="1">AVERAGE(OFFSET($GD$3,0,0,'Données projet'!$E$17+1,1))-AVERAGE(OFFSET($H$3,0,0,'Données projet'!$E$17+1,1))</f>
        <v>342.89128067483233</v>
      </c>
      <c r="GF132" s="59">
        <f t="shared" si="104"/>
        <v>453.47615302202996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42.088872098949587</v>
      </c>
      <c r="GM132" s="21">
        <f>EXP(-LN(2)/25)*GM131+(1-EXP(-LN(2)/25))/(LN(2)/25)*Calculateur!GH132*Calculateur!GJ132*VLOOKUP('Données projet'!$B$17,Paramètres!$A$1:$I$89,3,0)*0.475*44/12</f>
        <v>17.331617971317463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59.42049007026705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67.235113103766807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>
        <f>GU132*VLOOKUP('Données projet'!$B$18,Paramètres!$A$1:$I$89,3,0)*VLOOKUP('Données projet'!$B$18,Paramètres!$A$1:$I$89,5,0)</f>
        <v>0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375.89365709113105</v>
      </c>
      <c r="HA132" s="59">
        <f t="shared" si="106"/>
        <v>279.39056561403834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63.096887187140467</v>
      </c>
      <c r="HH132" s="21">
        <f>EXP(-LN(2)/25)*HH131+(1-EXP(-LN(2)/25))/(LN(2)/25)*Calculateur!HC132*Calculateur!HE132*VLOOKUP('Données projet'!$B$18,Paramètres!$A$1:$I$89,3,0)*0.475*44/12</f>
        <v>21.311487271996999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84.408374459137463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178.09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365.81968800000061</v>
      </c>
      <c r="P133" s="13">
        <f t="shared" ref="P133:P196" si="141">EXP(-1.0587+0.8836*LN(O133)+0.284)</f>
        <v>84.811521093342051</v>
      </c>
      <c r="Q133" s="20">
        <f t="shared" si="108"/>
        <v>784.84935583757169</v>
      </c>
      <c r="R133" s="59">
        <f t="shared" si="109"/>
        <v>1068.2206407744413</v>
      </c>
      <c r="S133" s="59">
        <f ca="1">AVERAGE(OFFSET($R$3,0,0,'Données projet'!$E$9+1,1))-AVERAGE(OFFSET($H$3,0,0,'Données projet'!$E$9+1,1))</f>
        <v>631.31712308065664</v>
      </c>
      <c r="T133" s="59">
        <f t="shared" ref="T133:T196" si="142">$T$3</f>
        <v>290.92244624361285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57.033111349992865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57.033111349992865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96.57</v>
      </c>
      <c r="AG133" s="12">
        <f>VLOOKUP(A133,'Données projet'!$A$61:$I$81,9,0)</f>
        <v>2.0666666666666629</v>
      </c>
      <c r="AH133" s="12">
        <f t="array" ref="AH133">INDEX(AG:AG,MIN(IF(ISNUMBER(AG133:AG329),ROW(AG133:AG329),"")))</f>
        <v>2.0666666666666629</v>
      </c>
      <c r="AI133" s="13">
        <f>IF('Données projet'!$A$62&gt;35,AI132+AH133-AQ132,IF(A133&lt;'Données projet'!$A$62,$AF$205^A133,IF(A133='Données projet'!$A$62,'Données projet'!$B$62,AI132+AH133-AQ132)))</f>
        <v>96.569999999999965</v>
      </c>
      <c r="AJ133" s="13">
        <f>AI133*VLOOKUP('Données projet'!$B$10,Paramètres!$A$1:$I$89,3,0)*VLOOKUP('Données projet'!$B$10,Paramètres!$A$1:$I$89,5,0)</f>
        <v>81.350567999999981</v>
      </c>
      <c r="AK133" s="13">
        <f t="shared" ref="AK133:AK153" si="143">EXP(-1.0587+0.8836*LN(AJ133)+0.284)</f>
        <v>22.467082591541637</v>
      </c>
      <c r="AL133" s="20">
        <f t="shared" si="112"/>
        <v>180.81574144693499</v>
      </c>
      <c r="AM133" s="59">
        <f t="shared" si="113"/>
        <v>464.18702638380466</v>
      </c>
      <c r="AN133" s="59">
        <f ca="1">AVERAGE(OFFSET($AM$3,0,0,'Données projet'!$E$10+1,1))-AVERAGE(OFFSET($H$3,0,0,'Données projet'!$E$10+1,1))</f>
        <v>401.19166052471473</v>
      </c>
      <c r="AO133" s="59">
        <f t="shared" ref="AO133:AO196" si="144">$AO$3</f>
        <v>271.10067497534271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96.57</v>
      </c>
      <c r="AR133" s="16">
        <f>IF(ISNA(VLOOKUP(A133,'Données projet'!$A$61:$I$81,5,0)),0%,VLOOKUP(A133,'Données projet'!$A$61:$I$81,5,0)*VLOOKUP('Données projet'!$B$10,Paramètres!$A$1:$I$89,7,0))</f>
        <v>0.25800000000000001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120.40571017934347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120.40571017934347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409.9703400000007</v>
      </c>
      <c r="BF133" s="13">
        <f t="shared" ref="BF133:BF153" si="145">EXP(-1.0587+0.8836*LN(BE133)+0.284)</f>
        <v>93.795093175328134</v>
      </c>
      <c r="BG133" s="20">
        <f t="shared" si="115"/>
        <v>877.39146278036435</v>
      </c>
      <c r="BH133" s="59">
        <f t="shared" si="116"/>
        <v>1160.7627477172341</v>
      </c>
      <c r="BI133" s="59">
        <f ca="1">AVERAGE(OFFSET($BH$3,0,0,'Données projet'!$E$11+1,1))-AVERAGE(OFFSET($H$3,0,0,'Données projet'!$E$11+1,1))</f>
        <v>695.93700574708214</v>
      </c>
      <c r="BJ133" s="59">
        <f t="shared" ref="BJ133:BJ196" si="146">$BJ$3</f>
        <v>318.31690229208471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63.91641789223339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63.91641789223339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1.7053025658242404E-13</v>
      </c>
      <c r="BZ133" s="13">
        <f>BY133*VLOOKUP('Données projet'!$B$12,Paramètres!$A$1:$I$89,3,0)*VLOOKUP('Données projet'!$B$12,Paramètres!$A$1:$I$89,5,0)</f>
        <v>1.1173142411280423E-13</v>
      </c>
      <c r="CA133" s="13">
        <f t="shared" ref="CA133:CA153" si="147">EXP(-1.0587+0.8836*LN(BZ133)+0.284)</f>
        <v>1.6569896290553793E-12</v>
      </c>
      <c r="CB133" s="20">
        <f t="shared" si="118"/>
        <v>3.0805225009345862E-12</v>
      </c>
      <c r="CC133" s="59">
        <f t="shared" si="119"/>
        <v>283.37128493687277</v>
      </c>
      <c r="CD133" s="59">
        <f ca="1">AVERAGE(OFFSET($CC$3,0,0,'Données projet'!$E$12+1,1))-AVERAGE(OFFSET($H$3,0,0,'Données projet'!$E$12+1,1))</f>
        <v>260.25859566735949</v>
      </c>
      <c r="CE133" s="59">
        <f t="shared" ref="CE133:CE196" si="148">$CE$3</f>
        <v>256.93649773468667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25.032158177212931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25.032158177212931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1.7053025658242404E-13</v>
      </c>
      <c r="CU133" s="17">
        <f>CT133*VLOOKUP('Données projet'!$B$13,Paramètres!$A$1:$I$89,3,0)*VLOOKUP('Données projet'!$B$13,Paramètres!$A$1:$I$89,5,0)</f>
        <v>1.1173142411280423E-13</v>
      </c>
      <c r="CV133" s="13">
        <f t="shared" ref="CV133:CV153" si="149">EXP(-1.0587+0.8836*LN(CU133)+0.284)</f>
        <v>1.6569896290553793E-12</v>
      </c>
      <c r="CW133" s="20">
        <f t="shared" si="121"/>
        <v>3.0805225009345862E-12</v>
      </c>
      <c r="CX133" s="59">
        <f t="shared" si="122"/>
        <v>283.37128493687277</v>
      </c>
      <c r="CY133" s="59">
        <f ca="1">AVERAGE(OFFSET($CX$3,0,0,'Données projet'!$E$13+1,1))-AVERAGE(OFFSET($H$3,0,0,'Données projet'!$E$13+1,1))</f>
        <v>260.25859566735949</v>
      </c>
      <c r="CZ133" s="59">
        <f t="shared" ref="CZ133:CZ196" si="150">$CZ$3</f>
        <v>256.93649773468667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25.032158177212931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25.032158177212931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-2.2737367544323206E-13</v>
      </c>
      <c r="DP133" s="17">
        <f>DO133*VLOOKUP('Données projet'!$B$14,Paramètres!$A$1:$I$89,3,0)*VLOOKUP('Données projet'!$B$14,Paramètres!$A$1:$I$89,5,0)</f>
        <v>-1.3005774235352875E-13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349.56396446903</v>
      </c>
      <c r="DU133" s="59">
        <f t="shared" ref="DU133:DU196" si="152">$DU$3</f>
        <v>270.64279448634522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83.737406224605238</v>
      </c>
      <c r="EB133" s="21">
        <f>EXP(-LN(2)/25)*EB132+(1-EXP(-LN(2)/25))/(LN(2)/25)*Calculateur!DW133*Calculateur!DY133*VLOOKUP('Données projet'!$B$14,Paramètres!$A$1:$I$89,3,0)*0.475*44/12</f>
        <v>33.389998470720606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117.12740469532585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375.89365709113105</v>
      </c>
      <c r="EP133" s="59">
        <f t="shared" ref="EP133:EP196" si="154">$EP$3</f>
        <v>279.39056561403834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61.859595714701719</v>
      </c>
      <c r="EW133" s="21">
        <f>EXP(-LN(2)/25)*EW132+(1-EXP(-LN(2)/25))/(LN(2)/25)*Calculateur!ER133*Calculateur!ET133*VLOOKUP('Données projet'!$B$15,Paramètres!$A$1:$I$89,3,0)*0.475*44/12</f>
        <v>20.728723531821835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82.588319246523554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-1.1368683772161603E-13</v>
      </c>
      <c r="FF133" s="17">
        <f>FE133*VLOOKUP('Données projet'!$B$16,Paramètres!$A$1:$I$89,3,0)*VLOOKUP('Données projet'!$B$16,Paramètres!$A$1:$I$89,5,0)</f>
        <v>-6.7984728957526396E-14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319.29539841078537</v>
      </c>
      <c r="FK133" s="59">
        <f t="shared" ref="FK133:FK196" si="156">$FK$3</f>
        <v>327.26871144121412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34.574493726008647</v>
      </c>
      <c r="FR133" s="21">
        <f>EXP(-LN(2)/25)*FR132+(1-EXP(-LN(2)/25))/(LN(2)/25)*Calculateur!FM133*Calculateur!FO133*VLOOKUP('Données projet'!$B$16,Paramètres!$A$1:$I$89,3,0)*0.475*44/12</f>
        <v>12.304762238400086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46.879255964408735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2.2737367544323206E-13</v>
      </c>
      <c r="GA133" s="17">
        <f>FZ133*VLOOKUP('Données projet'!$B$17,Paramètres!$A$1:$I$89,3,0)*VLOOKUP('Données projet'!$B$17,Paramètres!$A$1:$I$89,5,0)</f>
        <v>1.0049916454590858E-13</v>
      </c>
      <c r="GB133" s="13">
        <f t="shared" ref="GB133:GB153" si="157">EXP(-1.0587+0.8836*LN(GA133)+0.284)</f>
        <v>1.5089081593838289E-12</v>
      </c>
      <c r="GC133" s="20">
        <f t="shared" si="133"/>
        <v>2.8030510891776262E-12</v>
      </c>
      <c r="GD133" s="59">
        <f t="shared" si="134"/>
        <v>283.37128493687248</v>
      </c>
      <c r="GE133" s="59">
        <f ca="1">AVERAGE(OFFSET($GD$3,0,0,'Données projet'!$E$17+1,1))-AVERAGE(OFFSET($H$3,0,0,'Données projet'!$E$17+1,1))</f>
        <v>342.89128067483233</v>
      </c>
      <c r="GF133" s="59">
        <f t="shared" ref="GF133:GF196" si="158">$GF$3</f>
        <v>453.47615302202996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41.263534988766295</v>
      </c>
      <c r="GM133" s="21">
        <f>EXP(-LN(2)/25)*GM132+(1-EXP(-LN(2)/25))/(LN(2)/25)*Calculateur!GH133*Calculateur!GJ133*VLOOKUP('Données projet'!$B$17,Paramètres!$A$1:$I$89,3,0)*0.475*44/12</f>
        <v>16.857683966461611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58.121218955227903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67.28307771005538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>
        <f>GU133*VLOOKUP('Données projet'!$B$18,Paramètres!$A$1:$I$89,3,0)*VLOOKUP('Données projet'!$B$18,Paramètres!$A$1:$I$89,5,0)</f>
        <v>0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375.89365709113105</v>
      </c>
      <c r="HA133" s="59">
        <f t="shared" ref="HA133:HA196" si="160">$HA$3</f>
        <v>279.39056561403834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61.859595714701719</v>
      </c>
      <c r="HH133" s="21">
        <f>EXP(-LN(2)/25)*HH132+(1-EXP(-LN(2)/25))/(LN(2)/25)*Calculateur!HC133*Calculateur!HE133*VLOOKUP('Données projet'!$B$18,Paramètres!$A$1:$I$89,3,0)*0.475*44/12</f>
        <v>20.728723531821835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82.588319246523554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178.09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373.12142400000062</v>
      </c>
      <c r="P134" s="13">
        <f t="shared" si="141"/>
        <v>86.305582764533938</v>
      </c>
      <c r="Q134" s="20">
        <f t="shared" si="108"/>
        <v>800.16870344823099</v>
      </c>
      <c r="R134" s="59">
        <f t="shared" si="109"/>
        <v>1083.7128076529757</v>
      </c>
      <c r="S134" s="59">
        <f ca="1">AVERAGE(OFFSET($R$3,0,0,'Données projet'!$E$9+1,1))-AVERAGE(OFFSET($H$3,0,0,'Données projet'!$E$9+1,1))</f>
        <v>631.31712308065664</v>
      </c>
      <c r="T134" s="59">
        <f t="shared" si="142"/>
        <v>290.92244624361285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55.914726823182519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55.914726823182519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-2.8421709430404007E-14</v>
      </c>
      <c r="AJ134" s="13">
        <f>AI134*VLOOKUP('Données projet'!$B$10,Paramètres!$A$1:$I$89,3,0)*VLOOKUP('Données projet'!$B$10,Paramètres!$A$1:$I$89,5,0)</f>
        <v>-2.3942448024172337E-14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401.19166052471473</v>
      </c>
      <c r="AO134" s="59">
        <f t="shared" si="144"/>
        <v>271.10067497534271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118.04462764295813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118.04462764295813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418.15332000000069</v>
      </c>
      <c r="BF134" s="13">
        <f t="shared" si="145"/>
        <v>95.44741177370463</v>
      </c>
      <c r="BG134" s="20">
        <f t="shared" si="115"/>
        <v>894.52127450587011</v>
      </c>
      <c r="BH134" s="59">
        <f t="shared" si="116"/>
        <v>1178.0653787106148</v>
      </c>
      <c r="BI134" s="59">
        <f ca="1">AVERAGE(OFFSET($BH$3,0,0,'Données projet'!$E$11+1,1))-AVERAGE(OFFSET($H$3,0,0,'Données projet'!$E$11+1,1))</f>
        <v>695.93700574708214</v>
      </c>
      <c r="BJ134" s="59">
        <f t="shared" si="146"/>
        <v>318.31690229208471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62.663055922532145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62.663055922532145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1.7053025658242404E-13</v>
      </c>
      <c r="BZ134" s="13">
        <f>BY134*VLOOKUP('Données projet'!$B$12,Paramètres!$A$1:$I$89,3,0)*VLOOKUP('Données projet'!$B$12,Paramètres!$A$1:$I$89,5,0)</f>
        <v>1.1173142411280423E-13</v>
      </c>
      <c r="CA134" s="13">
        <f t="shared" si="147"/>
        <v>1.6569896290553793E-12</v>
      </c>
      <c r="CB134" s="20">
        <f t="shared" si="118"/>
        <v>3.0805225009345862E-12</v>
      </c>
      <c r="CC134" s="59">
        <f t="shared" si="119"/>
        <v>283.54410420474778</v>
      </c>
      <c r="CD134" s="59">
        <f ca="1">AVERAGE(OFFSET($CC$3,0,0,'Données projet'!$E$12+1,1))-AVERAGE(OFFSET($H$3,0,0,'Données projet'!$E$12+1,1))</f>
        <v>260.25859566735949</v>
      </c>
      <c r="CE134" s="59">
        <f t="shared" si="148"/>
        <v>256.93649773468667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24.541292823466673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24.541292823466673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1.7053025658242404E-13</v>
      </c>
      <c r="CU134" s="17">
        <f>CT134*VLOOKUP('Données projet'!$B$13,Paramètres!$A$1:$I$89,3,0)*VLOOKUP('Données projet'!$B$13,Paramètres!$A$1:$I$89,5,0)</f>
        <v>1.1173142411280423E-13</v>
      </c>
      <c r="CV134" s="13">
        <f t="shared" si="149"/>
        <v>1.6569896290553793E-12</v>
      </c>
      <c r="CW134" s="20">
        <f t="shared" si="121"/>
        <v>3.0805225009345862E-12</v>
      </c>
      <c r="CX134" s="59">
        <f t="shared" si="122"/>
        <v>283.54410420474778</v>
      </c>
      <c r="CY134" s="59">
        <f ca="1">AVERAGE(OFFSET($CX$3,0,0,'Données projet'!$E$13+1,1))-AVERAGE(OFFSET($H$3,0,0,'Données projet'!$E$13+1,1))</f>
        <v>260.25859566735949</v>
      </c>
      <c r="CZ134" s="59">
        <f t="shared" si="150"/>
        <v>256.93649773468667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24.541292823466673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24.541292823466673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-2.2737367544323206E-13</v>
      </c>
      <c r="DP134" s="17">
        <f>DO134*VLOOKUP('Données projet'!$B$14,Paramètres!$A$1:$I$89,3,0)*VLOOKUP('Données projet'!$B$14,Paramètres!$A$1:$I$89,5,0)</f>
        <v>-1.3005774235352875E-13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349.56396446903</v>
      </c>
      <c r="DU134" s="59">
        <f t="shared" si="152"/>
        <v>270.64279448634522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82.095366763315312</v>
      </c>
      <c r="EB134" s="21">
        <f>EXP(-LN(2)/25)*EB133+(1-EXP(-LN(2)/25))/(LN(2)/25)*Calculateur!DW134*Calculateur!DY134*VLOOKUP('Données projet'!$B$14,Paramètres!$A$1:$I$89,3,0)*0.475*44/12</f>
        <v>32.476947206635046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114.57231396995036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375.89365709113105</v>
      </c>
      <c r="EP134" s="59">
        <f t="shared" si="154"/>
        <v>279.39056561403834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60.646566773364214</v>
      </c>
      <c r="EW134" s="21">
        <f>EXP(-LN(2)/25)*EW133+(1-EXP(-LN(2)/25))/(LN(2)/25)*Calculateur!ER134*Calculateur!ET134*VLOOKUP('Données projet'!$B$15,Paramètres!$A$1:$I$89,3,0)*0.475*44/12</f>
        <v>20.161895496767972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80.808462270132182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-1.1368683772161603E-13</v>
      </c>
      <c r="FF134" s="17">
        <f>FE134*VLOOKUP('Données projet'!$B$16,Paramètres!$A$1:$I$89,3,0)*VLOOKUP('Données projet'!$B$16,Paramètres!$A$1:$I$89,5,0)</f>
        <v>-6.7984728957526396E-14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319.29539841078537</v>
      </c>
      <c r="FK134" s="59">
        <f t="shared" si="156"/>
        <v>327.26871144121412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33.896508992400491</v>
      </c>
      <c r="FR134" s="21">
        <f>EXP(-LN(2)/25)*FR133+(1-EXP(-LN(2)/25))/(LN(2)/25)*Calculateur!FM134*Calculateur!FO134*VLOOKUP('Données projet'!$B$16,Paramètres!$A$1:$I$89,3,0)*0.475*44/12</f>
        <v>11.968287867911712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45.864796860312204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2.2737367544323206E-13</v>
      </c>
      <c r="GA134" s="17">
        <f>FZ134*VLOOKUP('Données projet'!$B$17,Paramètres!$A$1:$I$89,3,0)*VLOOKUP('Données projet'!$B$17,Paramètres!$A$1:$I$89,5,0)</f>
        <v>1.0049916454590858E-13</v>
      </c>
      <c r="GB134" s="13">
        <f t="shared" si="157"/>
        <v>1.5089081593838289E-12</v>
      </c>
      <c r="GC134" s="20">
        <f t="shared" si="133"/>
        <v>2.8030510891776262E-12</v>
      </c>
      <c r="GD134" s="59">
        <f t="shared" si="134"/>
        <v>283.5441042047475</v>
      </c>
      <c r="GE134" s="59">
        <f ca="1">AVERAGE(OFFSET($GD$3,0,0,'Données projet'!$E$17+1,1))-AVERAGE(OFFSET($H$3,0,0,'Données projet'!$E$17+1,1))</f>
        <v>342.89128067483233</v>
      </c>
      <c r="GF134" s="59">
        <f t="shared" si="158"/>
        <v>453.47615302202996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40.454382235907772</v>
      </c>
      <c r="GM134" s="21">
        <f>EXP(-LN(2)/25)*GM133+(1-EXP(-LN(2)/25))/(LN(2)/25)*Calculateur!GH134*Calculateur!GJ134*VLOOKUP('Données projet'!$B$17,Paramètres!$A$1:$I$89,3,0)*0.475*44/12</f>
        <v>16.396709711891646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56.851091947799418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67.330210237657653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>
        <f>GU134*VLOOKUP('Données projet'!$B$18,Paramètres!$A$1:$I$89,3,0)*VLOOKUP('Données projet'!$B$18,Paramètres!$A$1:$I$89,5,0)</f>
        <v>0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375.89365709113105</v>
      </c>
      <c r="HA134" s="59">
        <f t="shared" si="160"/>
        <v>279.39056561403834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60.646566773364214</v>
      </c>
      <c r="HH134" s="21">
        <f>EXP(-LN(2)/25)*HH133+(1-EXP(-LN(2)/25))/(LN(2)/25)*Calculateur!HC134*Calculateur!HE134*VLOOKUP('Données projet'!$B$18,Paramètres!$A$1:$I$89,3,0)*0.475*44/12</f>
        <v>20.161895496767972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80.808462270132182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178.09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380.42316000000056</v>
      </c>
      <c r="P135" s="13">
        <f t="shared" si="141"/>
        <v>87.79624480137376</v>
      </c>
      <c r="Q135" s="20">
        <f t="shared" si="108"/>
        <v>815.48213002906016</v>
      </c>
      <c r="R135" s="59">
        <f t="shared" si="109"/>
        <v>1099.1960554737484</v>
      </c>
      <c r="S135" s="59">
        <f ca="1">AVERAGE(OFFSET($R$3,0,0,'Données projet'!$E$9+1,1))-AVERAGE(OFFSET($H$3,0,0,'Données projet'!$E$9+1,1))</f>
        <v>631.31712308065664</v>
      </c>
      <c r="T135" s="59">
        <f t="shared" si="142"/>
        <v>290.92244624361285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54.818273134795724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54.818273134795724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-2.8421709430404007E-14</v>
      </c>
      <c r="AJ135" s="13">
        <f>AI135*VLOOKUP('Données projet'!$B$10,Paramètres!$A$1:$I$89,3,0)*VLOOKUP('Données projet'!$B$10,Paramètres!$A$1:$I$89,5,0)</f>
        <v>-2.3942448024172337E-14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401.19166052471473</v>
      </c>
      <c r="AO135" s="59">
        <f t="shared" si="144"/>
        <v>271.10067497534271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115.72984449499316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115.72984449499316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426.33630000000073</v>
      </c>
      <c r="BF135" s="13">
        <f t="shared" si="145"/>
        <v>97.095970634999375</v>
      </c>
      <c r="BG135" s="20">
        <f t="shared" si="115"/>
        <v>911.64453802262517</v>
      </c>
      <c r="BH135" s="59">
        <f t="shared" si="116"/>
        <v>1195.3584634673134</v>
      </c>
      <c r="BI135" s="59">
        <f ca="1">AVERAGE(OFFSET($BH$3,0,0,'Données projet'!$E$11+1,1))-AVERAGE(OFFSET($H$3,0,0,'Données projet'!$E$11+1,1))</f>
        <v>695.93700574708214</v>
      </c>
      <c r="BJ135" s="59">
        <f t="shared" si="146"/>
        <v>318.31690229208471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61.43427161658142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61.43427161658142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1.7053025658242404E-13</v>
      </c>
      <c r="BZ135" s="13">
        <f>BY135*VLOOKUP('Données projet'!$B$12,Paramètres!$A$1:$I$89,3,0)*VLOOKUP('Données projet'!$B$12,Paramètres!$A$1:$I$89,5,0)</f>
        <v>1.1173142411280423E-13</v>
      </c>
      <c r="CA135" s="13">
        <f t="shared" si="147"/>
        <v>1.6569896290553793E-12</v>
      </c>
      <c r="CB135" s="20">
        <f t="shared" si="118"/>
        <v>3.0805225009345862E-12</v>
      </c>
      <c r="CC135" s="59">
        <f t="shared" si="119"/>
        <v>283.7139254446912</v>
      </c>
      <c r="CD135" s="59">
        <f ca="1">AVERAGE(OFFSET($CC$3,0,0,'Données projet'!$E$12+1,1))-AVERAGE(OFFSET($H$3,0,0,'Données projet'!$E$12+1,1))</f>
        <v>260.25859566735949</v>
      </c>
      <c r="CE135" s="59">
        <f t="shared" si="148"/>
        <v>256.93649773468667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24.060053039909075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24.060053039909075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1.7053025658242404E-13</v>
      </c>
      <c r="CU135" s="17">
        <f>CT135*VLOOKUP('Données projet'!$B$13,Paramètres!$A$1:$I$89,3,0)*VLOOKUP('Données projet'!$B$13,Paramètres!$A$1:$I$89,5,0)</f>
        <v>1.1173142411280423E-13</v>
      </c>
      <c r="CV135" s="13">
        <f t="shared" si="149"/>
        <v>1.6569896290553793E-12</v>
      </c>
      <c r="CW135" s="20">
        <f t="shared" si="121"/>
        <v>3.0805225009345862E-12</v>
      </c>
      <c r="CX135" s="59">
        <f t="shared" si="122"/>
        <v>283.7139254446912</v>
      </c>
      <c r="CY135" s="59">
        <f ca="1">AVERAGE(OFFSET($CX$3,0,0,'Données projet'!$E$13+1,1))-AVERAGE(OFFSET($H$3,0,0,'Données projet'!$E$13+1,1))</f>
        <v>260.25859566735949</v>
      </c>
      <c r="CZ135" s="59">
        <f t="shared" si="150"/>
        <v>256.93649773468667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24.060053039909075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24.060053039909075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-2.2737367544323206E-13</v>
      </c>
      <c r="DP135" s="17">
        <f>DO135*VLOOKUP('Données projet'!$B$14,Paramètres!$A$1:$I$89,3,0)*VLOOKUP('Données projet'!$B$14,Paramètres!$A$1:$I$89,5,0)</f>
        <v>-1.3005774235352875E-13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349.56396446903</v>
      </c>
      <c r="DU135" s="59">
        <f t="shared" si="152"/>
        <v>270.64279448634522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80.485526694316107</v>
      </c>
      <c r="EB135" s="21">
        <f>EXP(-LN(2)/25)*EB134+(1-EXP(-LN(2)/25))/(LN(2)/25)*Calculateur!DW135*Calculateur!DY135*VLOOKUP('Données projet'!$B$14,Paramètres!$A$1:$I$89,3,0)*0.475*44/12</f>
        <v>31.588863377381184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112.07439007169729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375.89365709113105</v>
      </c>
      <c r="EP135" s="59">
        <f t="shared" si="154"/>
        <v>279.39056561403834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59.457324589691737</v>
      </c>
      <c r="EW135" s="21">
        <f>EXP(-LN(2)/25)*EW134+(1-EXP(-LN(2)/25))/(LN(2)/25)*Calculateur!ER135*Calculateur!ET135*VLOOKUP('Données projet'!$B$15,Paramètres!$A$1:$I$89,3,0)*0.475*44/12</f>
        <v>19.610567404140848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79.067891993832589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-1.1368683772161603E-13</v>
      </c>
      <c r="FF135" s="17">
        <f>FE135*VLOOKUP('Données projet'!$B$16,Paramètres!$A$1:$I$89,3,0)*VLOOKUP('Données projet'!$B$16,Paramètres!$A$1:$I$89,5,0)</f>
        <v>-6.7984728957526396E-14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319.29539841078537</v>
      </c>
      <c r="FK135" s="59">
        <f t="shared" si="156"/>
        <v>327.26871144121412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33.231819125888535</v>
      </c>
      <c r="FR135" s="21">
        <f>EXP(-LN(2)/25)*FR134+(1-EXP(-LN(2)/25))/(LN(2)/25)*Calculateur!FM135*Calculateur!FO135*VLOOKUP('Données projet'!$B$16,Paramètres!$A$1:$I$89,3,0)*0.475*44/12</f>
        <v>11.641014406778762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44.8728335326673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2.2737367544323206E-13</v>
      </c>
      <c r="GA135" s="17">
        <f>FZ135*VLOOKUP('Données projet'!$B$17,Paramètres!$A$1:$I$89,3,0)*VLOOKUP('Données projet'!$B$17,Paramètres!$A$1:$I$89,5,0)</f>
        <v>1.0049916454590858E-13</v>
      </c>
      <c r="GB135" s="13">
        <f t="shared" si="157"/>
        <v>1.5089081593838289E-12</v>
      </c>
      <c r="GC135" s="20">
        <f t="shared" si="133"/>
        <v>2.8030510891776262E-12</v>
      </c>
      <c r="GD135" s="59">
        <f t="shared" si="134"/>
        <v>283.71392544469091</v>
      </c>
      <c r="GE135" s="59">
        <f ca="1">AVERAGE(OFFSET($GD$3,0,0,'Données projet'!$E$17+1,1))-AVERAGE(OFFSET($H$3,0,0,'Données projet'!$E$17+1,1))</f>
        <v>342.89128067483233</v>
      </c>
      <c r="GF135" s="59">
        <f t="shared" si="158"/>
        <v>453.47615302202996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39.661096474998359</v>
      </c>
      <c r="GM135" s="21">
        <f>EXP(-LN(2)/25)*GM134+(1-EXP(-LN(2)/25))/(LN(2)/25)*Calculateur!GH135*Calculateur!GJ135*VLOOKUP('Données projet'!$B$17,Paramètres!$A$1:$I$89,3,0)*0.475*44/12</f>
        <v>15.94834082255448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55.609437297552837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67.376525121278576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>
        <f>GU135*VLOOKUP('Données projet'!$B$18,Paramètres!$A$1:$I$89,3,0)*VLOOKUP('Données projet'!$B$18,Paramètres!$A$1:$I$89,5,0)</f>
        <v>0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375.89365709113105</v>
      </c>
      <c r="HA135" s="59">
        <f t="shared" si="160"/>
        <v>279.39056561403834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59.457324589691737</v>
      </c>
      <c r="HH135" s="21">
        <f>EXP(-LN(2)/25)*HH134+(1-EXP(-LN(2)/25))/(LN(2)/25)*Calculateur!HC135*Calculateur!HE135*VLOOKUP('Données projet'!$B$18,Paramètres!$A$1:$I$89,3,0)*0.475*44/12</f>
        <v>19.610567404140848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79.067891993832589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178.09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387.72489600000057</v>
      </c>
      <c r="P136" s="13">
        <f t="shared" si="141"/>
        <v>89.283579978484866</v>
      </c>
      <c r="Q136" s="20">
        <f t="shared" si="108"/>
        <v>830.78976232919547</v>
      </c>
      <c r="R136" s="59">
        <f t="shared" si="109"/>
        <v>1114.6705629949774</v>
      </c>
      <c r="S136" s="59">
        <f ca="1">AVERAGE(OFFSET($R$3,0,0,'Données projet'!$E$9+1,1))-AVERAGE(OFFSET($H$3,0,0,'Données projet'!$E$9+1,1))</f>
        <v>631.31712308065664</v>
      </c>
      <c r="T136" s="59">
        <f t="shared" si="142"/>
        <v>290.92244624361285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53.743320234467475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53.743320234467475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-2.8421709430404007E-14</v>
      </c>
      <c r="AJ136" s="13">
        <f>AI136*VLOOKUP('Données projet'!$B$10,Paramètres!$A$1:$I$89,3,0)*VLOOKUP('Données projet'!$B$10,Paramètres!$A$1:$I$89,5,0)</f>
        <v>-2.3942448024172337E-14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401.19166052471473</v>
      </c>
      <c r="AO136" s="59">
        <f t="shared" si="144"/>
        <v>271.10067497534271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113.46045283268148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113.46045283268148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434.51928000000072</v>
      </c>
      <c r="BF136" s="13">
        <f t="shared" si="145"/>
        <v>98.740850242411952</v>
      </c>
      <c r="BG136" s="20">
        <f t="shared" si="115"/>
        <v>928.76139350553524</v>
      </c>
      <c r="BH136" s="59">
        <f t="shared" si="116"/>
        <v>1212.642194171317</v>
      </c>
      <c r="BI136" s="59">
        <f ca="1">AVERAGE(OFFSET($BH$3,0,0,'Données projet'!$E$11+1,1))-AVERAGE(OFFSET($H$3,0,0,'Données projet'!$E$11+1,1))</f>
        <v>695.93700574708214</v>
      </c>
      <c r="BJ136" s="59">
        <f t="shared" si="146"/>
        <v>318.31690229208471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60.22958302138597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60.22958302138597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1.7053025658242404E-13</v>
      </c>
      <c r="BZ136" s="13">
        <f>BY136*VLOOKUP('Données projet'!$B$12,Paramètres!$A$1:$I$89,3,0)*VLOOKUP('Données projet'!$B$12,Paramètres!$A$1:$I$89,5,0)</f>
        <v>1.1173142411280423E-13</v>
      </c>
      <c r="CA136" s="13">
        <f t="shared" si="147"/>
        <v>1.6569896290553793E-12</v>
      </c>
      <c r="CB136" s="20">
        <f t="shared" si="118"/>
        <v>3.0805225009345862E-12</v>
      </c>
      <c r="CC136" s="59">
        <f t="shared" si="119"/>
        <v>283.88080066578493</v>
      </c>
      <c r="CD136" s="59">
        <f ca="1">AVERAGE(OFFSET($CC$3,0,0,'Données projet'!$E$12+1,1))-AVERAGE(OFFSET($H$3,0,0,'Données projet'!$E$12+1,1))</f>
        <v>260.25859566735949</v>
      </c>
      <c r="CE136" s="59">
        <f t="shared" si="148"/>
        <v>256.93649773468667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23.588250074979758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23.588250074979758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1.7053025658242404E-13</v>
      </c>
      <c r="CU136" s="17">
        <f>CT136*VLOOKUP('Données projet'!$B$13,Paramètres!$A$1:$I$89,3,0)*VLOOKUP('Données projet'!$B$13,Paramètres!$A$1:$I$89,5,0)</f>
        <v>1.1173142411280423E-13</v>
      </c>
      <c r="CV136" s="13">
        <f t="shared" si="149"/>
        <v>1.6569896290553793E-12</v>
      </c>
      <c r="CW136" s="20">
        <f t="shared" si="121"/>
        <v>3.0805225009345862E-12</v>
      </c>
      <c r="CX136" s="59">
        <f t="shared" si="122"/>
        <v>283.88080066578493</v>
      </c>
      <c r="CY136" s="59">
        <f ca="1">AVERAGE(OFFSET($CX$3,0,0,'Données projet'!$E$13+1,1))-AVERAGE(OFFSET($H$3,0,0,'Données projet'!$E$13+1,1))</f>
        <v>260.25859566735949</v>
      </c>
      <c r="CZ136" s="59">
        <f t="shared" si="150"/>
        <v>256.93649773468667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23.588250074979758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23.588250074979758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-2.2737367544323206E-13</v>
      </c>
      <c r="DP136" s="17">
        <f>DO136*VLOOKUP('Données projet'!$B$14,Paramètres!$A$1:$I$89,3,0)*VLOOKUP('Données projet'!$B$14,Paramètres!$A$1:$I$89,5,0)</f>
        <v>-1.3005774235352875E-13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349.56396446903</v>
      </c>
      <c r="DU136" s="59">
        <f t="shared" si="152"/>
        <v>270.64279448634522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78.907254607164489</v>
      </c>
      <c r="EB136" s="21">
        <f>EXP(-LN(2)/25)*EB135+(1-EXP(-LN(2)/25))/(LN(2)/25)*Calculateur!DW136*Calculateur!DY136*VLOOKUP('Données projet'!$B$14,Paramètres!$A$1:$I$89,3,0)*0.475*44/12</f>
        <v>30.725064247140569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109.63231885430505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375.89365709113105</v>
      </c>
      <c r="EP136" s="59">
        <f t="shared" si="154"/>
        <v>279.39056561403834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58.291402719874974</v>
      </c>
      <c r="EW136" s="21">
        <f>EXP(-LN(2)/25)*EW135+(1-EXP(-LN(2)/25))/(LN(2)/25)*Calculateur!ER136*Calculateur!ET136*VLOOKUP('Données projet'!$B$15,Paramètres!$A$1:$I$89,3,0)*0.475*44/12</f>
        <v>19.074315407199698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77.365718127074672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-1.1368683772161603E-13</v>
      </c>
      <c r="FF136" s="17">
        <f>FE136*VLOOKUP('Données projet'!$B$16,Paramètres!$A$1:$I$89,3,0)*VLOOKUP('Données projet'!$B$16,Paramètres!$A$1:$I$89,5,0)</f>
        <v>-6.7984728957526396E-14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319.29539841078537</v>
      </c>
      <c r="FK136" s="59">
        <f t="shared" si="156"/>
        <v>327.26871144121412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32.580163422238087</v>
      </c>
      <c r="FR136" s="21">
        <f>EXP(-LN(2)/25)*FR135+(1-EXP(-LN(2)/25))/(LN(2)/25)*Calculateur!FM136*Calculateur!FO136*VLOOKUP('Données projet'!$B$16,Paramètres!$A$1:$I$89,3,0)*0.475*44/12</f>
        <v>11.322690255651056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43.902853677889141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2.2737367544323206E-13</v>
      </c>
      <c r="GA136" s="17">
        <f>FZ136*VLOOKUP('Données projet'!$B$17,Paramètres!$A$1:$I$89,3,0)*VLOOKUP('Données projet'!$B$17,Paramètres!$A$1:$I$89,5,0)</f>
        <v>1.0049916454590858E-13</v>
      </c>
      <c r="GB136" s="13">
        <f t="shared" si="157"/>
        <v>1.5089081593838289E-12</v>
      </c>
      <c r="GC136" s="20">
        <f t="shared" si="133"/>
        <v>2.8030510891776262E-12</v>
      </c>
      <c r="GD136" s="59">
        <f t="shared" si="134"/>
        <v>283.88080066578465</v>
      </c>
      <c r="GE136" s="59">
        <f ca="1">AVERAGE(OFFSET($GD$3,0,0,'Données projet'!$E$17+1,1))-AVERAGE(OFFSET($H$3,0,0,'Données projet'!$E$17+1,1))</f>
        <v>342.89128067483233</v>
      </c>
      <c r="GF136" s="59">
        <f t="shared" si="158"/>
        <v>453.47615302202996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38.883366564003843</v>
      </c>
      <c r="GM136" s="21">
        <f>EXP(-LN(2)/25)*GM135+(1-EXP(-LN(2)/25))/(LN(2)/25)*Calculateur!GH136*Calculateur!GJ136*VLOOKUP('Données projet'!$B$17,Paramètres!$A$1:$I$89,3,0)*0.475*44/12</f>
        <v>15.512232604074933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54.395599168078775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67.422036545213231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>
        <f>GU136*VLOOKUP('Données projet'!$B$18,Paramètres!$A$1:$I$89,3,0)*VLOOKUP('Données projet'!$B$18,Paramètres!$A$1:$I$89,5,0)</f>
        <v>0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375.89365709113105</v>
      </c>
      <c r="HA136" s="59">
        <f t="shared" si="160"/>
        <v>279.39056561403834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58.291402719874974</v>
      </c>
      <c r="HH136" s="21">
        <f>EXP(-LN(2)/25)*HH135+(1-EXP(-LN(2)/25))/(LN(2)/25)*Calculateur!HC136*Calculateur!HE136*VLOOKUP('Données projet'!$B$18,Paramètres!$A$1:$I$89,3,0)*0.475*44/12</f>
        <v>19.074315407199698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77.365718127074672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178.09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395.02663200000057</v>
      </c>
      <c r="P137" s="13">
        <f t="shared" si="141"/>
        <v>90.767658172605465</v>
      </c>
      <c r="Q137" s="20">
        <f t="shared" si="108"/>
        <v>846.09172205062214</v>
      </c>
      <c r="R137" s="59">
        <f t="shared" si="109"/>
        <v>1130.1365030254888</v>
      </c>
      <c r="S137" s="59">
        <f ca="1">AVERAGE(OFFSET($R$3,0,0,'Données projet'!$E$9+1,1))-AVERAGE(OFFSET($H$3,0,0,'Données projet'!$E$9+1,1))</f>
        <v>631.31712308065664</v>
      </c>
      <c r="T137" s="59">
        <f t="shared" si="142"/>
        <v>290.92244624361285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66.869801558531918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66.869801558531918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-2.8421709430404007E-14</v>
      </c>
      <c r="AJ137" s="13">
        <f>AI137*VLOOKUP('Données projet'!$B$10,Paramètres!$A$1:$I$89,3,0)*VLOOKUP('Données projet'!$B$10,Paramètres!$A$1:$I$89,5,0)</f>
        <v>-2.3942448024172337E-14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401.19166052471473</v>
      </c>
      <c r="AO137" s="59">
        <f t="shared" si="144"/>
        <v>271.10067497534271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111.23556255667549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111.23556255667549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442.70226000000071</v>
      </c>
      <c r="BF137" s="13">
        <f t="shared" si="145"/>
        <v>100.38212787430139</v>
      </c>
      <c r="BG137" s="20">
        <f t="shared" si="115"/>
        <v>945.87197554774275</v>
      </c>
      <c r="BH137" s="59">
        <f t="shared" si="116"/>
        <v>1229.9167565226094</v>
      </c>
      <c r="BI137" s="59">
        <f ca="1">AVERAGE(OFFSET($BH$3,0,0,'Données projet'!$E$11+1,1))-AVERAGE(OFFSET($H$3,0,0,'Données projet'!$E$11+1,1))</f>
        <v>695.93700574708214</v>
      </c>
      <c r="BJ137" s="59">
        <f t="shared" si="146"/>
        <v>318.31690229208471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74.940294850078871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74.940294850078871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1.7053025658242404E-13</v>
      </c>
      <c r="BZ137" s="13">
        <f>BY137*VLOOKUP('Données projet'!$B$12,Paramètres!$A$1:$I$89,3,0)*VLOOKUP('Données projet'!$B$12,Paramètres!$A$1:$I$89,5,0)</f>
        <v>1.1173142411280423E-13</v>
      </c>
      <c r="CA137" s="13">
        <f t="shared" si="147"/>
        <v>1.6569896290553793E-12</v>
      </c>
      <c r="CB137" s="20">
        <f t="shared" si="118"/>
        <v>3.0805225009345862E-12</v>
      </c>
      <c r="CC137" s="59">
        <f t="shared" si="119"/>
        <v>284.04478097486975</v>
      </c>
      <c r="CD137" s="59">
        <f ca="1">AVERAGE(OFFSET($CC$3,0,0,'Données projet'!$E$12+1,1))-AVERAGE(OFFSET($H$3,0,0,'Données projet'!$E$12+1,1))</f>
        <v>260.25859566735949</v>
      </c>
      <c r="CE137" s="59">
        <f t="shared" si="148"/>
        <v>256.93649773468667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23.125698878421311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23.125698878421311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1.7053025658242404E-13</v>
      </c>
      <c r="CU137" s="17">
        <f>CT137*VLOOKUP('Données projet'!$B$13,Paramètres!$A$1:$I$89,3,0)*VLOOKUP('Données projet'!$B$13,Paramètres!$A$1:$I$89,5,0)</f>
        <v>1.1173142411280423E-13</v>
      </c>
      <c r="CV137" s="13">
        <f t="shared" si="149"/>
        <v>1.6569896290553793E-12</v>
      </c>
      <c r="CW137" s="20">
        <f t="shared" si="121"/>
        <v>3.0805225009345862E-12</v>
      </c>
      <c r="CX137" s="59">
        <f t="shared" si="122"/>
        <v>284.04478097486975</v>
      </c>
      <c r="CY137" s="59">
        <f ca="1">AVERAGE(OFFSET($CX$3,0,0,'Données projet'!$E$13+1,1))-AVERAGE(OFFSET($H$3,0,0,'Données projet'!$E$13+1,1))</f>
        <v>260.25859566735949</v>
      </c>
      <c r="CZ137" s="59">
        <f t="shared" si="150"/>
        <v>256.93649773468667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23.125698878421311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23.125698878421311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-2.2737367544323206E-13</v>
      </c>
      <c r="DP137" s="17">
        <f>DO137*VLOOKUP('Données projet'!$B$14,Paramètres!$A$1:$I$89,3,0)*VLOOKUP('Données projet'!$B$14,Paramètres!$A$1:$I$89,5,0)</f>
        <v>-1.3005774235352875E-13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349.56396446903</v>
      </c>
      <c r="DU137" s="59">
        <f t="shared" si="152"/>
        <v>270.64279448634522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77.359931472990993</v>
      </c>
      <c r="EB137" s="21">
        <f>EXP(-LN(2)/25)*EB136+(1-EXP(-LN(2)/25))/(LN(2)/25)*Calculateur!DW137*Calculateur!DY137*VLOOKUP('Données projet'!$B$14,Paramètres!$A$1:$I$89,3,0)*0.475*44/12</f>
        <v>29.884885749541606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107.2448172225326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375.89365709113105</v>
      </c>
      <c r="EP137" s="59">
        <f t="shared" si="154"/>
        <v>279.39056561403834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57.148343866783193</v>
      </c>
      <c r="EW137" s="21">
        <f>EXP(-LN(2)/25)*EW136+(1-EXP(-LN(2)/25))/(LN(2)/25)*Calculateur!ER137*Calculateur!ET137*VLOOKUP('Données projet'!$B$15,Paramètres!$A$1:$I$89,3,0)*0.475*44/12</f>
        <v>18.552727249315168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75.701071116098362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-1.1368683772161603E-13</v>
      </c>
      <c r="FF137" s="17">
        <f>FE137*VLOOKUP('Données projet'!$B$16,Paramètres!$A$1:$I$89,3,0)*VLOOKUP('Données projet'!$B$16,Paramètres!$A$1:$I$89,5,0)</f>
        <v>-6.7984728957526396E-14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319.29539841078537</v>
      </c>
      <c r="FK137" s="59">
        <f t="shared" si="156"/>
        <v>327.26871144121412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31.941286289465495</v>
      </c>
      <c r="FR137" s="21">
        <f>EXP(-LN(2)/25)*FR136+(1-EXP(-LN(2)/25))/(LN(2)/25)*Calculateur!FM137*Calculateur!FO137*VLOOKUP('Données projet'!$B$16,Paramètres!$A$1:$I$89,3,0)*0.475*44/12</f>
        <v>11.013070695175875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42.954356984641372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2.2737367544323206E-13</v>
      </c>
      <c r="GA137" s="17">
        <f>FZ137*VLOOKUP('Données projet'!$B$17,Paramètres!$A$1:$I$89,3,0)*VLOOKUP('Données projet'!$B$17,Paramètres!$A$1:$I$89,5,0)</f>
        <v>1.0049916454590858E-13</v>
      </c>
      <c r="GB137" s="13">
        <f t="shared" si="157"/>
        <v>1.5089081593838289E-12</v>
      </c>
      <c r="GC137" s="20">
        <f t="shared" si="133"/>
        <v>2.8030510891776262E-12</v>
      </c>
      <c r="GD137" s="59">
        <f t="shared" si="134"/>
        <v>284.04478097486947</v>
      </c>
      <c r="GE137" s="59">
        <f ca="1">AVERAGE(OFFSET($GD$3,0,0,'Données projet'!$E$17+1,1))-AVERAGE(OFFSET($H$3,0,0,'Données projet'!$E$17+1,1))</f>
        <v>342.89128067483233</v>
      </c>
      <c r="GF137" s="59">
        <f t="shared" si="158"/>
        <v>453.47615302202996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38.120887462195519</v>
      </c>
      <c r="GM137" s="21">
        <f>EXP(-LN(2)/25)*GM136+(1-EXP(-LN(2)/25))/(LN(2)/25)*Calculateur!GH137*Calculateur!GJ137*VLOOKUP('Données projet'!$B$17,Paramètres!$A$1:$I$89,3,0)*0.475*44/12</f>
        <v>15.088049787763644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53.208937249959163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67.466758447690921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>
        <f>GU137*VLOOKUP('Données projet'!$B$18,Paramètres!$A$1:$I$89,3,0)*VLOOKUP('Données projet'!$B$18,Paramètres!$A$1:$I$89,5,0)</f>
        <v>0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375.89365709113105</v>
      </c>
      <c r="HA137" s="59">
        <f t="shared" si="160"/>
        <v>279.39056561403834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57.148343866783193</v>
      </c>
      <c r="HH137" s="21">
        <f>EXP(-LN(2)/25)*HH136+(1-EXP(-LN(2)/25))/(LN(2)/25)*Calculateur!HC137*Calculateur!HE137*VLOOKUP('Données projet'!$B$18,Paramètres!$A$1:$I$89,3,0)*0.475*44/12</f>
        <v>18.552727249315168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75.701071116098362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178.09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352.69013520000055</v>
      </c>
      <c r="P138" s="13">
        <f t="shared" si="141"/>
        <v>82.116190931394016</v>
      </c>
      <c r="Q138" s="20">
        <f t="shared" si="108"/>
        <v>757.28768467884549</v>
      </c>
      <c r="R138" s="59">
        <f t="shared" si="109"/>
        <v>1041.4936012710396</v>
      </c>
      <c r="S138" s="59">
        <f ca="1">AVERAGE(OFFSET($R$3,0,0,'Données projet'!$E$9+1,1))-AVERAGE(OFFSET($H$3,0,0,'Données projet'!$E$9+1,1))</f>
        <v>631.31712308065664</v>
      </c>
      <c r="T138" s="59">
        <f t="shared" si="142"/>
        <v>290.92244624361285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65.558525536520719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65.558525536520719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-2.8421709430404007E-14</v>
      </c>
      <c r="AJ138" s="13">
        <f>AI138*VLOOKUP('Données projet'!$B$10,Paramètres!$A$1:$I$89,3,0)*VLOOKUP('Données projet'!$B$10,Paramètres!$A$1:$I$89,5,0)</f>
        <v>-2.3942448024172337E-14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401.19166052471473</v>
      </c>
      <c r="AO138" s="59">
        <f t="shared" si="144"/>
        <v>271.10067497534271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109.05430102193291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109.05430102193291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395.2561860000007</v>
      </c>
      <c r="BF138" s="13">
        <f t="shared" si="145"/>
        <v>90.814262971847356</v>
      </c>
      <c r="BG138" s="20">
        <f t="shared" si="115"/>
        <v>846.57269862596866</v>
      </c>
      <c r="BH138" s="59">
        <f t="shared" si="116"/>
        <v>1130.7786152181627</v>
      </c>
      <c r="BI138" s="59">
        <f ca="1">AVERAGE(OFFSET($BH$3,0,0,'Données projet'!$E$11+1,1))-AVERAGE(OFFSET($H$3,0,0,'Données projet'!$E$11+1,1))</f>
        <v>695.93700574708214</v>
      </c>
      <c r="BJ138" s="59">
        <f t="shared" si="146"/>
        <v>318.31690229208471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73.47076137713529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73.47076137713529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1.7053025658242404E-13</v>
      </c>
      <c r="BZ138" s="13">
        <f>BY138*VLOOKUP('Données projet'!$B$12,Paramètres!$A$1:$I$89,3,0)*VLOOKUP('Données projet'!$B$12,Paramètres!$A$1:$I$89,5,0)</f>
        <v>1.1173142411280423E-13</v>
      </c>
      <c r="CA138" s="13">
        <f t="shared" si="147"/>
        <v>1.6569896290553793E-12</v>
      </c>
      <c r="CB138" s="20">
        <f t="shared" si="118"/>
        <v>3.0805225009345862E-12</v>
      </c>
      <c r="CC138" s="59">
        <f t="shared" si="119"/>
        <v>284.20591659219707</v>
      </c>
      <c r="CD138" s="59">
        <f ca="1">AVERAGE(OFFSET($CC$3,0,0,'Données projet'!$E$12+1,1))-AVERAGE(OFFSET($H$3,0,0,'Données projet'!$E$12+1,1))</f>
        <v>260.25859566735949</v>
      </c>
      <c r="CE138" s="59">
        <f t="shared" si="148"/>
        <v>256.93649773468667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22.672218028699003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22.672218028699003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1.7053025658242404E-13</v>
      </c>
      <c r="CU138" s="17">
        <f>CT138*VLOOKUP('Données projet'!$B$13,Paramètres!$A$1:$I$89,3,0)*VLOOKUP('Données projet'!$B$13,Paramètres!$A$1:$I$89,5,0)</f>
        <v>1.1173142411280423E-13</v>
      </c>
      <c r="CV138" s="13">
        <f t="shared" si="149"/>
        <v>1.6569896290553793E-12</v>
      </c>
      <c r="CW138" s="20">
        <f t="shared" si="121"/>
        <v>3.0805225009345862E-12</v>
      </c>
      <c r="CX138" s="59">
        <f t="shared" si="122"/>
        <v>284.20591659219707</v>
      </c>
      <c r="CY138" s="59">
        <f ca="1">AVERAGE(OFFSET($CX$3,0,0,'Données projet'!$E$13+1,1))-AVERAGE(OFFSET($H$3,0,0,'Données projet'!$E$13+1,1))</f>
        <v>260.25859566735949</v>
      </c>
      <c r="CZ138" s="59">
        <f t="shared" si="150"/>
        <v>256.93649773468667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22.672218028699003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22.672218028699003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-2.2737367544323206E-13</v>
      </c>
      <c r="DP138" s="17">
        <f>DO138*VLOOKUP('Données projet'!$B$14,Paramètres!$A$1:$I$89,3,0)*VLOOKUP('Données projet'!$B$14,Paramètres!$A$1:$I$89,5,0)</f>
        <v>-1.3005774235352875E-13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349.56396446903</v>
      </c>
      <c r="DU138" s="59">
        <f t="shared" si="152"/>
        <v>270.64279448634522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75.842950401704712</v>
      </c>
      <c r="EB138" s="21">
        <f>EXP(-LN(2)/25)*EB137+(1-EXP(-LN(2)/25))/(LN(2)/25)*Calculateur!DW138*Calculateur!DY138*VLOOKUP('Données projet'!$B$14,Paramètres!$A$1:$I$89,3,0)*0.475*44/12</f>
        <v>29.067681977142552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104.91063237884727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375.89365709113105</v>
      </c>
      <c r="EP138" s="59">
        <f t="shared" si="154"/>
        <v>279.39056561403834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56.027699700603485</v>
      </c>
      <c r="EW138" s="21">
        <f>EXP(-LN(2)/25)*EW137+(1-EXP(-LN(2)/25))/(LN(2)/25)*Calculateur!ER138*Calculateur!ET138*VLOOKUP('Données projet'!$B$15,Paramètres!$A$1:$I$89,3,0)*0.475*44/12</f>
        <v>18.045401947037121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74.073101647640613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-1.1368683772161603E-13</v>
      </c>
      <c r="FF138" s="17">
        <f>FE138*VLOOKUP('Données projet'!$B$16,Paramètres!$A$1:$I$89,3,0)*VLOOKUP('Données projet'!$B$16,Paramètres!$A$1:$I$89,5,0)</f>
        <v>-6.7984728957526396E-14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319.29539841078537</v>
      </c>
      <c r="FK138" s="59">
        <f t="shared" si="156"/>
        <v>327.26871144121412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31.314937147590001</v>
      </c>
      <c r="FR138" s="21">
        <f>EXP(-LN(2)/25)*FR137+(1-EXP(-LN(2)/25))/(LN(2)/25)*Calculateur!FM138*Calculateur!FO138*VLOOKUP('Données projet'!$B$16,Paramètres!$A$1:$I$89,3,0)*0.475*44/12</f>
        <v>10.711917697864074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42.026854845454075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2.2737367544323206E-13</v>
      </c>
      <c r="GA138" s="17">
        <f>FZ138*VLOOKUP('Données projet'!$B$17,Paramètres!$A$1:$I$89,3,0)*VLOOKUP('Données projet'!$B$17,Paramètres!$A$1:$I$89,5,0)</f>
        <v>1.0049916454590858E-13</v>
      </c>
      <c r="GB138" s="13">
        <f t="shared" si="157"/>
        <v>1.5089081593838289E-12</v>
      </c>
      <c r="GC138" s="20">
        <f t="shared" si="133"/>
        <v>2.8030510891776262E-12</v>
      </c>
      <c r="GD138" s="59">
        <f t="shared" si="134"/>
        <v>284.20591659219679</v>
      </c>
      <c r="GE138" s="59">
        <f ca="1">AVERAGE(OFFSET($GD$3,0,0,'Données projet'!$E$17+1,1))-AVERAGE(OFFSET($H$3,0,0,'Données projet'!$E$17+1,1))</f>
        <v>342.89128067483233</v>
      </c>
      <c r="GF138" s="59">
        <f t="shared" si="158"/>
        <v>453.47615302202996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37.373360110507328</v>
      </c>
      <c r="GM138" s="21">
        <f>EXP(-LN(2)/25)*GM137+(1-EXP(-LN(2)/25))/(LN(2)/25)*Calculateur!GH138*Calculateur!GJ138*VLOOKUP('Données projet'!$B$17,Paramètres!$A$1:$I$89,3,0)*0.475*44/12</f>
        <v>14.675466272871194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52.048826383378525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67.510704525143822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>
        <f>GU138*VLOOKUP('Données projet'!$B$18,Paramètres!$A$1:$I$89,3,0)*VLOOKUP('Données projet'!$B$18,Paramètres!$A$1:$I$89,5,0)</f>
        <v>0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375.89365709113105</v>
      </c>
      <c r="HA138" s="59">
        <f t="shared" si="160"/>
        <v>279.39056561403834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56.027699700603485</v>
      </c>
      <c r="HH138" s="21">
        <f>EXP(-LN(2)/25)*HH137+(1-EXP(-LN(2)/25))/(LN(2)/25)*Calculateur!HC138*Calculateur!HE138*VLOOKUP('Données projet'!$B$18,Paramètres!$A$1:$I$89,3,0)*0.475*44/12</f>
        <v>18.045401947037121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74.073101647640613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178.09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360.07239840000057</v>
      </c>
      <c r="P139" s="13">
        <f t="shared" si="141"/>
        <v>83.633085567444908</v>
      </c>
      <c r="Q139" s="20">
        <f t="shared" si="108"/>
        <v>772.78705124330099</v>
      </c>
      <c r="R139" s="59">
        <f t="shared" si="109"/>
        <v>1057.151308110107</v>
      </c>
      <c r="S139" s="59">
        <f ca="1">AVERAGE(OFFSET($R$3,0,0,'Données projet'!$E$9+1,1))-AVERAGE(OFFSET($H$3,0,0,'Données projet'!$E$9+1,1))</f>
        <v>631.31712308065664</v>
      </c>
      <c r="T139" s="59">
        <f t="shared" si="142"/>
        <v>290.92244624361285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64.272962837501765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64.272962837501765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-2.8421709430404007E-14</v>
      </c>
      <c r="AJ139" s="13">
        <f>AI139*VLOOKUP('Données projet'!$B$10,Paramètres!$A$1:$I$89,3,0)*VLOOKUP('Données projet'!$B$10,Paramètres!$A$1:$I$89,5,0)</f>
        <v>-2.3942448024172337E-14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401.19166052471473</v>
      </c>
      <c r="AO139" s="59">
        <f t="shared" si="144"/>
        <v>271.10067497534271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106.91581269544847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106.91581269544847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403.52941200000066</v>
      </c>
      <c r="BF139" s="13">
        <f t="shared" si="145"/>
        <v>92.491833093116057</v>
      </c>
      <c r="BG139" s="20">
        <f t="shared" si="115"/>
        <v>863.90366853717831</v>
      </c>
      <c r="BH139" s="59">
        <f t="shared" si="116"/>
        <v>1148.2679254039842</v>
      </c>
      <c r="BI139" s="59">
        <f ca="1">AVERAGE(OFFSET($BH$3,0,0,'Données projet'!$E$11+1,1))-AVERAGE(OFFSET($H$3,0,0,'Données projet'!$E$11+1,1))</f>
        <v>695.93700574708214</v>
      </c>
      <c r="BJ139" s="59">
        <f t="shared" si="146"/>
        <v>318.31690229208471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72.030044559269214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72.030044559269214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1.7053025658242404E-13</v>
      </c>
      <c r="BZ139" s="13">
        <f>BY139*VLOOKUP('Données projet'!$B$12,Paramètres!$A$1:$I$89,3,0)*VLOOKUP('Données projet'!$B$12,Paramètres!$A$1:$I$89,5,0)</f>
        <v>1.1173142411280423E-13</v>
      </c>
      <c r="CA139" s="13">
        <f t="shared" si="147"/>
        <v>1.6569896290553793E-12</v>
      </c>
      <c r="CB139" s="20">
        <f t="shared" si="118"/>
        <v>3.0805225009345862E-12</v>
      </c>
      <c r="CC139" s="59">
        <f t="shared" si="119"/>
        <v>284.36425686680906</v>
      </c>
      <c r="CD139" s="59">
        <f ca="1">AVERAGE(OFFSET($CC$3,0,0,'Données projet'!$E$12+1,1))-AVERAGE(OFFSET($H$3,0,0,'Données projet'!$E$12+1,1))</f>
        <v>260.25859566735949</v>
      </c>
      <c r="CE139" s="59">
        <f t="shared" si="148"/>
        <v>256.93649773468667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22.227629661843743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22.227629661843743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1.7053025658242404E-13</v>
      </c>
      <c r="CU139" s="17">
        <f>CT139*VLOOKUP('Données projet'!$B$13,Paramètres!$A$1:$I$89,3,0)*VLOOKUP('Données projet'!$B$13,Paramètres!$A$1:$I$89,5,0)</f>
        <v>1.1173142411280423E-13</v>
      </c>
      <c r="CV139" s="13">
        <f t="shared" si="149"/>
        <v>1.6569896290553793E-12</v>
      </c>
      <c r="CW139" s="20">
        <f t="shared" si="121"/>
        <v>3.0805225009345862E-12</v>
      </c>
      <c r="CX139" s="59">
        <f t="shared" si="122"/>
        <v>284.36425686680906</v>
      </c>
      <c r="CY139" s="59">
        <f ca="1">AVERAGE(OFFSET($CX$3,0,0,'Données projet'!$E$13+1,1))-AVERAGE(OFFSET($H$3,0,0,'Données projet'!$E$13+1,1))</f>
        <v>260.25859566735949</v>
      </c>
      <c r="CZ139" s="59">
        <f t="shared" si="150"/>
        <v>256.93649773468667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22.227629661843743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22.227629661843743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-2.2737367544323206E-13</v>
      </c>
      <c r="DP139" s="17">
        <f>DO139*VLOOKUP('Données projet'!$B$14,Paramètres!$A$1:$I$89,3,0)*VLOOKUP('Données projet'!$B$14,Paramètres!$A$1:$I$89,5,0)</f>
        <v>-1.3005774235352875E-13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349.56396446903</v>
      </c>
      <c r="DU139" s="59">
        <f t="shared" si="152"/>
        <v>270.64279448634522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74.355716403959264</v>
      </c>
      <c r="EB139" s="21">
        <f>EXP(-LN(2)/25)*EB138+(1-EXP(-LN(2)/25))/(LN(2)/25)*Calculateur!DW139*Calculateur!DY139*VLOOKUP('Données projet'!$B$14,Paramètres!$A$1:$I$89,3,0)*0.475*44/12</f>
        <v>28.272824684874628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102.62854108883388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375.89365709113105</v>
      </c>
      <c r="EP139" s="59">
        <f t="shared" si="154"/>
        <v>279.39056561403834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54.929030682997116</v>
      </c>
      <c r="EW139" s="21">
        <f>EXP(-LN(2)/25)*EW138+(1-EXP(-LN(2)/25))/(LN(2)/25)*Calculateur!ER139*Calculateur!ET139*VLOOKUP('Données projet'!$B$15,Paramètres!$A$1:$I$89,3,0)*0.475*44/12</f>
        <v>17.551949481828945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72.480980164826065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-1.1368683772161603E-13</v>
      </c>
      <c r="FF139" s="17">
        <f>FE139*VLOOKUP('Données projet'!$B$16,Paramètres!$A$1:$I$89,3,0)*VLOOKUP('Données projet'!$B$16,Paramètres!$A$1:$I$89,5,0)</f>
        <v>-6.7984728957526396E-14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319.29539841078537</v>
      </c>
      <c r="FK139" s="59">
        <f t="shared" si="156"/>
        <v>327.26871144121412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30.700870330351432</v>
      </c>
      <c r="FR139" s="21">
        <f>EXP(-LN(2)/25)*FR138+(1-EXP(-LN(2)/25))/(LN(2)/25)*Calculateur!FM139*Calculateur!FO139*VLOOKUP('Données projet'!$B$16,Paramètres!$A$1:$I$89,3,0)*0.475*44/12</f>
        <v>10.418999745100711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41.119870075452141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2.2737367544323206E-13</v>
      </c>
      <c r="GA139" s="17">
        <f>FZ139*VLOOKUP('Données projet'!$B$17,Paramètres!$A$1:$I$89,3,0)*VLOOKUP('Données projet'!$B$17,Paramètres!$A$1:$I$89,5,0)</f>
        <v>1.0049916454590858E-13</v>
      </c>
      <c r="GB139" s="13">
        <f t="shared" si="157"/>
        <v>1.5089081593838289E-12</v>
      </c>
      <c r="GC139" s="20">
        <f t="shared" si="133"/>
        <v>2.8030510891776262E-12</v>
      </c>
      <c r="GD139" s="59">
        <f t="shared" si="134"/>
        <v>284.36425686680877</v>
      </c>
      <c r="GE139" s="59">
        <f ca="1">AVERAGE(OFFSET($GD$3,0,0,'Données projet'!$E$17+1,1))-AVERAGE(OFFSET($H$3,0,0,'Données projet'!$E$17+1,1))</f>
        <v>342.89128067483233</v>
      </c>
      <c r="GF139" s="59">
        <f t="shared" si="158"/>
        <v>453.47615302202996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36.640491314239078</v>
      </c>
      <c r="GM139" s="21">
        <f>EXP(-LN(2)/25)*GM138+(1-EXP(-LN(2)/25))/(LN(2)/25)*Calculateur!GH139*Calculateur!GJ139*VLOOKUP('Données projet'!$B$17,Paramètres!$A$1:$I$89,3,0)*0.475*44/12</f>
        <v>14.274164875890301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50.914656190129378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67.553888236401633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>
        <f>GU139*VLOOKUP('Données projet'!$B$18,Paramètres!$A$1:$I$89,3,0)*VLOOKUP('Données projet'!$B$18,Paramètres!$A$1:$I$89,5,0)</f>
        <v>0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375.89365709113105</v>
      </c>
      <c r="HA139" s="59">
        <f t="shared" si="160"/>
        <v>279.39056561403834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54.929030682997116</v>
      </c>
      <c r="HH139" s="21">
        <f>EXP(-LN(2)/25)*HH138+(1-EXP(-LN(2)/25))/(LN(2)/25)*Calculateur!HC139*Calculateur!HE139*VLOOKUP('Données projet'!$B$18,Paramètres!$A$1:$I$89,3,0)*0.475*44/12</f>
        <v>17.551949481828945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72.480980164826065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178.09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367.45466160000058</v>
      </c>
      <c r="P140" s="13">
        <f t="shared" si="141"/>
        <v>85.146364255773364</v>
      </c>
      <c r="Q140" s="20">
        <f t="shared" si="108"/>
        <v>788.28012003213962</v>
      </c>
      <c r="R140" s="59">
        <f t="shared" si="109"/>
        <v>1072.7999703237888</v>
      </c>
      <c r="S140" s="59">
        <f ca="1">AVERAGE(OFFSET($R$3,0,0,'Données projet'!$E$9+1,1))-AVERAGE(OFFSET($H$3,0,0,'Données projet'!$E$9+1,1))</f>
        <v>631.31712308065664</v>
      </c>
      <c r="T140" s="59">
        <f t="shared" si="142"/>
        <v>290.92244624361285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63.012609238894747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63.012609238894747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-2.8421709430404007E-14</v>
      </c>
      <c r="AJ140" s="13">
        <f>AI140*VLOOKUP('Données projet'!$B$10,Paramètres!$A$1:$I$89,3,0)*VLOOKUP('Données projet'!$B$10,Paramètres!$A$1:$I$89,5,0)</f>
        <v>-2.3942448024172337E-14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401.19166052471473</v>
      </c>
      <c r="AO140" s="59">
        <f t="shared" si="144"/>
        <v>271.10067497534271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104.8192588206973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104.8192588206973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411.80263800000068</v>
      </c>
      <c r="BF140" s="13">
        <f t="shared" si="145"/>
        <v>94.165404251164176</v>
      </c>
      <c r="BG140" s="20">
        <f t="shared" si="115"/>
        <v>881.22767358744534</v>
      </c>
      <c r="BH140" s="59">
        <f t="shared" si="116"/>
        <v>1165.7475238790946</v>
      </c>
      <c r="BI140" s="59">
        <f ca="1">AVERAGE(OFFSET($BH$3,0,0,'Données projet'!$E$11+1,1))-AVERAGE(OFFSET($H$3,0,0,'Données projet'!$E$11+1,1))</f>
        <v>695.93700574708214</v>
      </c>
      <c r="BJ140" s="59">
        <f t="shared" si="146"/>
        <v>318.31690229208471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70.617579319451011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70.617579319451011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1.7053025658242404E-13</v>
      </c>
      <c r="BZ140" s="13">
        <f>BY140*VLOOKUP('Données projet'!$B$12,Paramètres!$A$1:$I$89,3,0)*VLOOKUP('Données projet'!$B$12,Paramètres!$A$1:$I$89,5,0)</f>
        <v>1.1173142411280423E-13</v>
      </c>
      <c r="CA140" s="13">
        <f t="shared" si="147"/>
        <v>1.6569896290553793E-12</v>
      </c>
      <c r="CB140" s="20">
        <f t="shared" si="118"/>
        <v>3.0805225009345862E-12</v>
      </c>
      <c r="CC140" s="59">
        <f t="shared" si="119"/>
        <v>284.51985029165229</v>
      </c>
      <c r="CD140" s="59">
        <f ca="1">AVERAGE(OFFSET($CC$3,0,0,'Données projet'!$E$12+1,1))-AVERAGE(OFFSET($H$3,0,0,'Données projet'!$E$12+1,1))</f>
        <v>260.25859566735949</v>
      </c>
      <c r="CE140" s="59">
        <f t="shared" si="148"/>
        <v>256.93649773468667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21.791759401690388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21.791759401690388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1.7053025658242404E-13</v>
      </c>
      <c r="CU140" s="17">
        <f>CT140*VLOOKUP('Données projet'!$B$13,Paramètres!$A$1:$I$89,3,0)*VLOOKUP('Données projet'!$B$13,Paramètres!$A$1:$I$89,5,0)</f>
        <v>1.1173142411280423E-13</v>
      </c>
      <c r="CV140" s="13">
        <f t="shared" si="149"/>
        <v>1.6569896290553793E-12</v>
      </c>
      <c r="CW140" s="20">
        <f t="shared" si="121"/>
        <v>3.0805225009345862E-12</v>
      </c>
      <c r="CX140" s="59">
        <f t="shared" si="122"/>
        <v>284.51985029165229</v>
      </c>
      <c r="CY140" s="59">
        <f ca="1">AVERAGE(OFFSET($CX$3,0,0,'Données projet'!$E$13+1,1))-AVERAGE(OFFSET($H$3,0,0,'Données projet'!$E$13+1,1))</f>
        <v>260.25859566735949</v>
      </c>
      <c r="CZ140" s="59">
        <f t="shared" si="150"/>
        <v>256.93649773468667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21.791759401690388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21.791759401690388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-2.2737367544323206E-13</v>
      </c>
      <c r="DP140" s="17">
        <f>DO140*VLOOKUP('Données projet'!$B$14,Paramètres!$A$1:$I$89,3,0)*VLOOKUP('Données projet'!$B$14,Paramètres!$A$1:$I$89,5,0)</f>
        <v>-1.3005774235352875E-13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349.56396446903</v>
      </c>
      <c r="DU140" s="59">
        <f t="shared" si="152"/>
        <v>270.64279448634522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72.89764615778644</v>
      </c>
      <c r="EB140" s="21">
        <f>EXP(-LN(2)/25)*EB139+(1-EXP(-LN(2)/25))/(LN(2)/25)*Calculateur!DW140*Calculateur!DY140*VLOOKUP('Données projet'!$B$14,Paramètres!$A$1:$I$89,3,0)*0.475*44/12</f>
        <v>27.4997028070635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100.39734896484994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375.89365709113105</v>
      </c>
      <c r="EP140" s="59">
        <f t="shared" si="154"/>
        <v>279.39056561403834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53.851905894704075</v>
      </c>
      <c r="EW140" s="21">
        <f>EXP(-LN(2)/25)*EW139+(1-EXP(-LN(2)/25))/(LN(2)/25)*Calculateur!ER140*Calculateur!ET140*VLOOKUP('Données projet'!$B$15,Paramètres!$A$1:$I$89,3,0)*0.475*44/12</f>
        <v>17.071990500231426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70.923896394935497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-1.1368683772161603E-13</v>
      </c>
      <c r="FF140" s="17">
        <f>FE140*VLOOKUP('Données projet'!$B$16,Paramètres!$A$1:$I$89,3,0)*VLOOKUP('Données projet'!$B$16,Paramètres!$A$1:$I$89,5,0)</f>
        <v>-6.7984728957526396E-14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319.29539841078537</v>
      </c>
      <c r="FK140" s="59">
        <f t="shared" si="156"/>
        <v>327.26871144121412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30.098844988855134</v>
      </c>
      <c r="FR140" s="21">
        <f>EXP(-LN(2)/25)*FR139+(1-EXP(-LN(2)/25))/(LN(2)/25)*Calculateur!FM140*Calculateur!FO140*VLOOKUP('Données projet'!$B$16,Paramètres!$A$1:$I$89,3,0)*0.475*44/12</f>
        <v>10.134091649159549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40.232936638014685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2.2737367544323206E-13</v>
      </c>
      <c r="GA140" s="17">
        <f>FZ140*VLOOKUP('Données projet'!$B$17,Paramètres!$A$1:$I$89,3,0)*VLOOKUP('Données projet'!$B$17,Paramètres!$A$1:$I$89,5,0)</f>
        <v>1.0049916454590858E-13</v>
      </c>
      <c r="GB140" s="13">
        <f t="shared" si="157"/>
        <v>1.5089081593838289E-12</v>
      </c>
      <c r="GC140" s="20">
        <f t="shared" si="133"/>
        <v>2.8030510891776262E-12</v>
      </c>
      <c r="GD140" s="59">
        <f t="shared" si="134"/>
        <v>284.51985029165201</v>
      </c>
      <c r="GE140" s="59">
        <f ca="1">AVERAGE(OFFSET($GD$3,0,0,'Données projet'!$E$17+1,1))-AVERAGE(OFFSET($H$3,0,0,'Données projet'!$E$17+1,1))</f>
        <v>342.89128067483233</v>
      </c>
      <c r="GF140" s="59">
        <f t="shared" si="158"/>
        <v>453.47615302202996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35.921993628059823</v>
      </c>
      <c r="GM140" s="21">
        <f>EXP(-LN(2)/25)*GM139+(1-EXP(-LN(2)/25))/(LN(2)/25)*Calculateur!GH140*Calculateur!GJ140*VLOOKUP('Données projet'!$B$17,Paramètres!$A$1:$I$89,3,0)*0.475*44/12</f>
        <v>13.883837086713374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49.805830714773194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67.596322806813419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>
        <f>GU140*VLOOKUP('Données projet'!$B$18,Paramètres!$A$1:$I$89,3,0)*VLOOKUP('Données projet'!$B$18,Paramètres!$A$1:$I$89,5,0)</f>
        <v>0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375.89365709113105</v>
      </c>
      <c r="HA140" s="59">
        <f t="shared" si="160"/>
        <v>279.39056561403834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53.851905894704075</v>
      </c>
      <c r="HH140" s="21">
        <f>EXP(-LN(2)/25)*HH139+(1-EXP(-LN(2)/25))/(LN(2)/25)*Calculateur!HC140*Calculateur!HE140*VLOOKUP('Données projet'!$B$18,Paramètres!$A$1:$I$89,3,0)*0.475*44/12</f>
        <v>17.071990500231426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70.923896394935497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178.09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374.83692480000053</v>
      </c>
      <c r="P141" s="13">
        <f t="shared" si="141"/>
        <v>86.656108013910185</v>
      </c>
      <c r="Q141" s="20">
        <f t="shared" si="108"/>
        <v>803.76703215089447</v>
      </c>
      <c r="R141" s="59">
        <f t="shared" si="109"/>
        <v>1088.4397766693207</v>
      </c>
      <c r="S141" s="59">
        <f ca="1">AVERAGE(OFFSET($R$3,0,0,'Données projet'!$E$9+1,1))-AVERAGE(OFFSET($H$3,0,0,'Données projet'!$E$9+1,1))</f>
        <v>631.31712308065664</v>
      </c>
      <c r="T141" s="59">
        <f t="shared" si="142"/>
        <v>290.92244624361285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61.776970405616623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61.776970405616623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-2.8421709430404007E-14</v>
      </c>
      <c r="AJ141" s="13">
        <f>AI141*VLOOKUP('Données projet'!$B$10,Paramètres!$A$1:$I$89,3,0)*VLOOKUP('Données projet'!$B$10,Paramètres!$A$1:$I$89,5,0)</f>
        <v>-2.3942448024172337E-14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401.19166052471473</v>
      </c>
      <c r="AO141" s="59">
        <f t="shared" si="144"/>
        <v>271.10067497534271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102.7638170886584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102.7638170886584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420.07586400000065</v>
      </c>
      <c r="BF141" s="13">
        <f t="shared" si="145"/>
        <v>95.835066045220003</v>
      </c>
      <c r="BG141" s="20">
        <f t="shared" si="115"/>
        <v>898.54486982875926</v>
      </c>
      <c r="BH141" s="59">
        <f t="shared" si="116"/>
        <v>1183.2176143471854</v>
      </c>
      <c r="BI141" s="59">
        <f ca="1">AVERAGE(OFFSET($BH$3,0,0,'Données projet'!$E$11+1,1))-AVERAGE(OFFSET($H$3,0,0,'Données projet'!$E$11+1,1))</f>
        <v>695.93700574708214</v>
      </c>
      <c r="BJ141" s="59">
        <f t="shared" si="146"/>
        <v>318.31690229208471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69.232811661466911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69.232811661466911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1.7053025658242404E-13</v>
      </c>
      <c r="BZ141" s="13">
        <f>BY141*VLOOKUP('Données projet'!$B$12,Paramètres!$A$1:$I$89,3,0)*VLOOKUP('Données projet'!$B$12,Paramètres!$A$1:$I$89,5,0)</f>
        <v>1.1173142411280423E-13</v>
      </c>
      <c r="CA141" s="13">
        <f t="shared" si="147"/>
        <v>1.6569896290553793E-12</v>
      </c>
      <c r="CB141" s="20">
        <f t="shared" si="118"/>
        <v>3.0805225009345862E-12</v>
      </c>
      <c r="CC141" s="59">
        <f t="shared" si="119"/>
        <v>284.67274451842928</v>
      </c>
      <c r="CD141" s="59">
        <f ca="1">AVERAGE(OFFSET($CC$3,0,0,'Données projet'!$E$12+1,1))-AVERAGE(OFFSET($H$3,0,0,'Données projet'!$E$12+1,1))</f>
        <v>260.25859566735949</v>
      </c>
      <c r="CE141" s="59">
        <f t="shared" si="148"/>
        <v>256.93649773468667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21.364436291484033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21.364436291484033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1.7053025658242404E-13</v>
      </c>
      <c r="CU141" s="17">
        <f>CT141*VLOOKUP('Données projet'!$B$13,Paramètres!$A$1:$I$89,3,0)*VLOOKUP('Données projet'!$B$13,Paramètres!$A$1:$I$89,5,0)</f>
        <v>1.1173142411280423E-13</v>
      </c>
      <c r="CV141" s="13">
        <f t="shared" si="149"/>
        <v>1.6569896290553793E-12</v>
      </c>
      <c r="CW141" s="20">
        <f t="shared" si="121"/>
        <v>3.0805225009345862E-12</v>
      </c>
      <c r="CX141" s="59">
        <f t="shared" si="122"/>
        <v>284.67274451842928</v>
      </c>
      <c r="CY141" s="59">
        <f ca="1">AVERAGE(OFFSET($CX$3,0,0,'Données projet'!$E$13+1,1))-AVERAGE(OFFSET($H$3,0,0,'Données projet'!$E$13+1,1))</f>
        <v>260.25859566735949</v>
      </c>
      <c r="CZ141" s="59">
        <f t="shared" si="150"/>
        <v>256.93649773468667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21.364436291484033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21.364436291484033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-2.2737367544323206E-13</v>
      </c>
      <c r="DP141" s="17">
        <f>DO141*VLOOKUP('Données projet'!$B$14,Paramètres!$A$1:$I$89,3,0)*VLOOKUP('Données projet'!$B$14,Paramètres!$A$1:$I$89,5,0)</f>
        <v>-1.3005774235352875E-13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349.56396446903</v>
      </c>
      <c r="DU141" s="59">
        <f t="shared" si="152"/>
        <v>270.64279448634522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71.468167779806024</v>
      </c>
      <c r="EB141" s="21">
        <f>EXP(-LN(2)/25)*EB140+(1-EXP(-LN(2)/25))/(LN(2)/25)*Calculateur!DW141*Calculateur!DY141*VLOOKUP('Données projet'!$B$14,Paramètres!$A$1:$I$89,3,0)*0.475*44/12</f>
        <v>26.74772198765783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98.21588976746385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375.89365709113105</v>
      </c>
      <c r="EP141" s="59">
        <f t="shared" si="154"/>
        <v>279.39056561403834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52.795902866528209</v>
      </c>
      <c r="EW141" s="21">
        <f>EXP(-LN(2)/25)*EW140+(1-EXP(-LN(2)/25))/(LN(2)/25)*Calculateur!ER141*Calculateur!ET141*VLOOKUP('Données projet'!$B$15,Paramètres!$A$1:$I$89,3,0)*0.475*44/12</f>
        <v>16.605156022225636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69.401058888753852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-1.1368683772161603E-13</v>
      </c>
      <c r="FF141" s="17">
        <f>FE141*VLOOKUP('Données projet'!$B$16,Paramètres!$A$1:$I$89,3,0)*VLOOKUP('Données projet'!$B$16,Paramètres!$A$1:$I$89,5,0)</f>
        <v>-6.7984728957526396E-14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319.29539841078537</v>
      </c>
      <c r="FK141" s="59">
        <f t="shared" si="156"/>
        <v>327.26871144121412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29.508624997106377</v>
      </c>
      <c r="FR141" s="21">
        <f>EXP(-LN(2)/25)*FR140+(1-EXP(-LN(2)/25))/(LN(2)/25)*Calculateur!FM141*Calculateur!FO141*VLOOKUP('Données projet'!$B$16,Paramètres!$A$1:$I$89,3,0)*0.475*44/12</f>
        <v>9.8569743800845622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39.365599377190939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2.2737367544323206E-13</v>
      </c>
      <c r="GA141" s="17">
        <f>FZ141*VLOOKUP('Données projet'!$B$17,Paramètres!$A$1:$I$89,3,0)*VLOOKUP('Données projet'!$B$17,Paramètres!$A$1:$I$89,5,0)</f>
        <v>1.0049916454590858E-13</v>
      </c>
      <c r="GB141" s="13">
        <f t="shared" si="157"/>
        <v>1.5089081593838289E-12</v>
      </c>
      <c r="GC141" s="20">
        <f t="shared" si="133"/>
        <v>2.8030510891776262E-12</v>
      </c>
      <c r="GD141" s="59">
        <f t="shared" si="134"/>
        <v>284.672744518429</v>
      </c>
      <c r="GE141" s="59">
        <f ca="1">AVERAGE(OFFSET($GD$3,0,0,'Données projet'!$E$17+1,1))-AVERAGE(OFFSET($H$3,0,0,'Données projet'!$E$17+1,1))</f>
        <v>342.89128067483233</v>
      </c>
      <c r="GF141" s="59">
        <f t="shared" si="158"/>
        <v>453.47615302202996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35.217585243266228</v>
      </c>
      <c r="GM141" s="21">
        <f>EXP(-LN(2)/25)*GM140+(1-EXP(-LN(2)/25))/(LN(2)/25)*Calculateur!GH141*Calculateur!GJ141*VLOOKUP('Données projet'!$B$17,Paramètres!$A$1:$I$89,3,0)*0.475*44/12</f>
        <v>13.504182831457936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48.721768074724167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67.638021232298058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>
        <f>GU141*VLOOKUP('Données projet'!$B$18,Paramètres!$A$1:$I$89,3,0)*VLOOKUP('Données projet'!$B$18,Paramètres!$A$1:$I$89,5,0)</f>
        <v>0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375.89365709113105</v>
      </c>
      <c r="HA141" s="59">
        <f t="shared" si="160"/>
        <v>279.39056561403834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52.795902866528209</v>
      </c>
      <c r="HH141" s="21">
        <f>EXP(-LN(2)/25)*HH140+(1-EXP(-LN(2)/25))/(LN(2)/25)*Calculateur!HC141*Calculateur!HE141*VLOOKUP('Données projet'!$B$18,Paramètres!$A$1:$I$89,3,0)*0.475*44/12</f>
        <v>16.605156022225636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69.401058888753852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178.09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382.21918800000054</v>
      </c>
      <c r="P142" s="13">
        <f t="shared" si="141"/>
        <v>88.162394485655341</v>
      </c>
      <c r="Q142" s="20">
        <f t="shared" si="108"/>
        <v>819.24792282918395</v>
      </c>
      <c r="R142" s="59">
        <f t="shared" si="109"/>
        <v>1104.0709092013728</v>
      </c>
      <c r="S142" s="59">
        <f ca="1">AVERAGE(OFFSET($R$3,0,0,'Données projet'!$E$9+1,1))-AVERAGE(OFFSET($H$3,0,0,'Données projet'!$E$9+1,1))</f>
        <v>631.31712308065664</v>
      </c>
      <c r="T142" s="59">
        <f t="shared" si="142"/>
        <v>290.92244624361285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60.565561696193818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60.565561696193818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-2.8421709430404007E-14</v>
      </c>
      <c r="AJ142" s="13">
        <f>AI142*VLOOKUP('Données projet'!$B$10,Paramètres!$A$1:$I$89,3,0)*VLOOKUP('Données projet'!$B$10,Paramètres!$A$1:$I$89,5,0)</f>
        <v>-2.3942448024172337E-14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401.19166052471473</v>
      </c>
      <c r="AO142" s="59">
        <f t="shared" si="144"/>
        <v>271.10067497534271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100.74868131528912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100.74868131528912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428.34909000000067</v>
      </c>
      <c r="BF142" s="13">
        <f t="shared" si="145"/>
        <v>97.500904343422292</v>
      </c>
      <c r="BG142" s="20">
        <f t="shared" si="115"/>
        <v>915.85540681479506</v>
      </c>
      <c r="BH142" s="59">
        <f t="shared" si="116"/>
        <v>1200.6783931869841</v>
      </c>
      <c r="BI142" s="59">
        <f ca="1">AVERAGE(OFFSET($BH$3,0,0,'Données projet'!$E$11+1,1))-AVERAGE(OFFSET($H$3,0,0,'Données projet'!$E$11+1,1))</f>
        <v>695.93700574708214</v>
      </c>
      <c r="BJ142" s="59">
        <f t="shared" si="146"/>
        <v>318.31690229208471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67.875198452631011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67.875198452631011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1.7053025658242404E-13</v>
      </c>
      <c r="BZ142" s="13">
        <f>BY142*VLOOKUP('Données projet'!$B$12,Paramètres!$A$1:$I$89,3,0)*VLOOKUP('Données projet'!$B$12,Paramètres!$A$1:$I$89,5,0)</f>
        <v>1.1173142411280423E-13</v>
      </c>
      <c r="CA142" s="13">
        <f t="shared" si="147"/>
        <v>1.6569896290553793E-12</v>
      </c>
      <c r="CB142" s="20">
        <f t="shared" si="118"/>
        <v>3.0805225009345862E-12</v>
      </c>
      <c r="CC142" s="59">
        <f t="shared" si="119"/>
        <v>284.82298637219202</v>
      </c>
      <c r="CD142" s="59">
        <f ca="1">AVERAGE(OFFSET($CC$3,0,0,'Données projet'!$E$12+1,1))-AVERAGE(OFFSET($H$3,0,0,'Données projet'!$E$12+1,1))</f>
        <v>260.25859566735949</v>
      </c>
      <c r="CE142" s="59">
        <f t="shared" si="148"/>
        <v>256.93649773468667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20.945492726827464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20.945492726827464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1.7053025658242404E-13</v>
      </c>
      <c r="CU142" s="17">
        <f>CT142*VLOOKUP('Données projet'!$B$13,Paramètres!$A$1:$I$89,3,0)*VLOOKUP('Données projet'!$B$13,Paramètres!$A$1:$I$89,5,0)</f>
        <v>1.1173142411280423E-13</v>
      </c>
      <c r="CV142" s="13">
        <f t="shared" si="149"/>
        <v>1.6569896290553793E-12</v>
      </c>
      <c r="CW142" s="20">
        <f t="shared" si="121"/>
        <v>3.0805225009345862E-12</v>
      </c>
      <c r="CX142" s="59">
        <f t="shared" si="122"/>
        <v>284.82298637219202</v>
      </c>
      <c r="CY142" s="59">
        <f ca="1">AVERAGE(OFFSET($CX$3,0,0,'Données projet'!$E$13+1,1))-AVERAGE(OFFSET($H$3,0,0,'Données projet'!$E$13+1,1))</f>
        <v>260.25859566735949</v>
      </c>
      <c r="CZ142" s="59">
        <f t="shared" si="150"/>
        <v>256.93649773468667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20.945492726827464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20.945492726827464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-2.2737367544323206E-13</v>
      </c>
      <c r="DP142" s="17">
        <f>DO142*VLOOKUP('Données projet'!$B$14,Paramètres!$A$1:$I$89,3,0)*VLOOKUP('Données projet'!$B$14,Paramètres!$A$1:$I$89,5,0)</f>
        <v>-1.3005774235352875E-13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349.56396446903</v>
      </c>
      <c r="DU142" s="59">
        <f t="shared" si="152"/>
        <v>270.64279448634522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70.066720600922096</v>
      </c>
      <c r="EB142" s="21">
        <f>EXP(-LN(2)/25)*EB141+(1-EXP(-LN(2)/25))/(LN(2)/25)*Calculateur!DW142*Calculateur!DY142*VLOOKUP('Données projet'!$B$14,Paramètres!$A$1:$I$89,3,0)*0.475*44/12</f>
        <v>26.016304123303758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96.083024724225851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375.89365709113105</v>
      </c>
      <c r="EP142" s="59">
        <f t="shared" si="154"/>
        <v>279.39056561403834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51.760607413636627</v>
      </c>
      <c r="EW142" s="21">
        <f>EXP(-LN(2)/25)*EW141+(1-EXP(-LN(2)/25))/(LN(2)/25)*Calculateur!ER142*Calculateur!ET142*VLOOKUP('Données projet'!$B$15,Paramètres!$A$1:$I$89,3,0)*0.475*44/12</f>
        <v>16.151087157570672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67.911694571207306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-1.1368683772161603E-13</v>
      </c>
      <c r="FF142" s="17">
        <f>FE142*VLOOKUP('Données projet'!$B$16,Paramètres!$A$1:$I$89,3,0)*VLOOKUP('Données projet'!$B$16,Paramètres!$A$1:$I$89,5,0)</f>
        <v>-6.7984728957526396E-14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319.29539841078537</v>
      </c>
      <c r="FK142" s="59">
        <f t="shared" si="156"/>
        <v>327.26871144121412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28.929978859397167</v>
      </c>
      <c r="FR142" s="21">
        <f>EXP(-LN(2)/25)*FR141+(1-EXP(-LN(2)/25))/(LN(2)/25)*Calculateur!FM142*Calculateur!FO142*VLOOKUP('Données projet'!$B$16,Paramètres!$A$1:$I$89,3,0)*0.475*44/12</f>
        <v>9.5874348973053962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38.517413756702567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2.2737367544323206E-13</v>
      </c>
      <c r="GA142" s="17">
        <f>FZ142*VLOOKUP('Données projet'!$B$17,Paramètres!$A$1:$I$89,3,0)*VLOOKUP('Données projet'!$B$17,Paramètres!$A$1:$I$89,5,0)</f>
        <v>1.0049916454590858E-13</v>
      </c>
      <c r="GB142" s="13">
        <f t="shared" si="157"/>
        <v>1.5089081593838289E-12</v>
      </c>
      <c r="GC142" s="20">
        <f t="shared" si="133"/>
        <v>2.8030510891776262E-12</v>
      </c>
      <c r="GD142" s="59">
        <f t="shared" si="134"/>
        <v>284.82298637219174</v>
      </c>
      <c r="GE142" s="59">
        <f ca="1">AVERAGE(OFFSET($GD$3,0,0,'Données projet'!$E$17+1,1))-AVERAGE(OFFSET($H$3,0,0,'Données projet'!$E$17+1,1))</f>
        <v>342.89128067483233</v>
      </c>
      <c r="GF142" s="59">
        <f t="shared" si="158"/>
        <v>453.47615302202996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34.526989877251744</v>
      </c>
      <c r="GM142" s="21">
        <f>EXP(-LN(2)/25)*GM141+(1-EXP(-LN(2)/25))/(LN(2)/25)*Calculateur!GH142*Calculateur!GJ142*VLOOKUP('Données projet'!$B$17,Paramètres!$A$1:$I$89,3,0)*0.475*44/12</f>
        <v>13.134910241777607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47.661900119029355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67.678996283324253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>
        <f>GU142*VLOOKUP('Données projet'!$B$18,Paramètres!$A$1:$I$89,3,0)*VLOOKUP('Données projet'!$B$18,Paramètres!$A$1:$I$89,5,0)</f>
        <v>0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375.89365709113105</v>
      </c>
      <c r="HA142" s="59">
        <f t="shared" si="160"/>
        <v>279.39056561403834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51.760607413636627</v>
      </c>
      <c r="HH142" s="21">
        <f>EXP(-LN(2)/25)*HH141+(1-EXP(-LN(2)/25))/(LN(2)/25)*Calculateur!HC142*Calculateur!HE142*VLOOKUP('Données projet'!$B$18,Paramètres!$A$1:$I$89,3,0)*0.475*44/12</f>
        <v>16.151087157570672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67.911694571207306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178.09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389.60145120000055</v>
      </c>
      <c r="P143" s="13">
        <f t="shared" si="141"/>
        <v>89.665298143968485</v>
      </c>
      <c r="Q143" s="20">
        <f t="shared" si="108"/>
        <v>834.72292177407928</v>
      </c>
      <c r="R143" s="59">
        <f t="shared" si="109"/>
        <v>1119.6935436397587</v>
      </c>
      <c r="S143" s="59">
        <f ca="1">AVERAGE(OFFSET($R$3,0,0,'Données projet'!$E$9+1,1))-AVERAGE(OFFSET($H$3,0,0,'Données projet'!$E$9+1,1))</f>
        <v>631.31712308065664</v>
      </c>
      <c r="T143" s="59">
        <f t="shared" si="142"/>
        <v>290.92244624361285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59.377907972676439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59.377907972676439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-2.8421709430404007E-14</v>
      </c>
      <c r="AJ143" s="13">
        <f>AI143*VLOOKUP('Données projet'!$B$10,Paramètres!$A$1:$I$89,3,0)*VLOOKUP('Données projet'!$B$10,Paramètres!$A$1:$I$89,5,0)</f>
        <v>-2.3942448024172337E-14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401.19166052471473</v>
      </c>
      <c r="AO143" s="59">
        <f t="shared" si="144"/>
        <v>271.10067497534271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98.773061125324162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98.773061125324162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436.62231600000064</v>
      </c>
      <c r="BF143" s="13">
        <f t="shared" si="145"/>
        <v>99.163001507201159</v>
      </c>
      <c r="BG143" s="20">
        <f t="shared" si="115"/>
        <v>933.15942799170989</v>
      </c>
      <c r="BH143" s="59">
        <f t="shared" si="116"/>
        <v>1218.1300498573892</v>
      </c>
      <c r="BI143" s="59">
        <f ca="1">AVERAGE(OFFSET($BH$3,0,0,'Données projet'!$E$11+1,1))-AVERAGE(OFFSET($H$3,0,0,'Données projet'!$E$11+1,1))</f>
        <v>695.93700574708214</v>
      </c>
      <c r="BJ143" s="59">
        <f t="shared" si="146"/>
        <v>318.31690229208471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66.544207210758088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66.544207210758088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1.7053025658242404E-13</v>
      </c>
      <c r="BZ143" s="13">
        <f>BY143*VLOOKUP('Données projet'!$B$12,Paramètres!$A$1:$I$89,3,0)*VLOOKUP('Données projet'!$B$12,Paramètres!$A$1:$I$89,5,0)</f>
        <v>1.1173142411280423E-13</v>
      </c>
      <c r="CA143" s="13">
        <f t="shared" si="147"/>
        <v>1.6569896290553793E-12</v>
      </c>
      <c r="CB143" s="20">
        <f t="shared" si="118"/>
        <v>3.0805225009345862E-12</v>
      </c>
      <c r="CC143" s="59">
        <f t="shared" si="119"/>
        <v>284.9706218656824</v>
      </c>
      <c r="CD143" s="59">
        <f ca="1">AVERAGE(OFFSET($CC$3,0,0,'Données projet'!$E$12+1,1))-AVERAGE(OFFSET($H$3,0,0,'Données projet'!$E$12+1,1))</f>
        <v>260.25859566735949</v>
      </c>
      <c r="CE143" s="59">
        <f t="shared" si="148"/>
        <v>256.93649773468667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20.534764389943465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20.534764389943465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1.7053025658242404E-13</v>
      </c>
      <c r="CU143" s="17">
        <f>CT143*VLOOKUP('Données projet'!$B$13,Paramètres!$A$1:$I$89,3,0)*VLOOKUP('Données projet'!$B$13,Paramètres!$A$1:$I$89,5,0)</f>
        <v>1.1173142411280423E-13</v>
      </c>
      <c r="CV143" s="13">
        <f t="shared" si="149"/>
        <v>1.6569896290553793E-12</v>
      </c>
      <c r="CW143" s="20">
        <f t="shared" si="121"/>
        <v>3.0805225009345862E-12</v>
      </c>
      <c r="CX143" s="59">
        <f t="shared" si="122"/>
        <v>284.9706218656824</v>
      </c>
      <c r="CY143" s="59">
        <f ca="1">AVERAGE(OFFSET($CX$3,0,0,'Données projet'!$E$13+1,1))-AVERAGE(OFFSET($H$3,0,0,'Données projet'!$E$13+1,1))</f>
        <v>260.25859566735949</v>
      </c>
      <c r="CZ143" s="59">
        <f t="shared" si="150"/>
        <v>256.93649773468667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20.534764389943465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20.534764389943465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-2.2737367544323206E-13</v>
      </c>
      <c r="DP143" s="17">
        <f>DO143*VLOOKUP('Données projet'!$B$14,Paramètres!$A$1:$I$89,3,0)*VLOOKUP('Données projet'!$B$14,Paramètres!$A$1:$I$89,5,0)</f>
        <v>-1.3005774235352875E-13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349.56396446903</v>
      </c>
      <c r="DU143" s="59">
        <f t="shared" si="152"/>
        <v>270.64279448634522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68.692754946417708</v>
      </c>
      <c r="EB143" s="21">
        <f>EXP(-LN(2)/25)*EB142+(1-EXP(-LN(2)/25))/(LN(2)/25)*Calculateur!DW143*Calculateur!DY143*VLOOKUP('Données projet'!$B$14,Paramètres!$A$1:$I$89,3,0)*0.475*44/12</f>
        <v>25.304886918914043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93.997641865331758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375.89365709113105</v>
      </c>
      <c r="EP143" s="59">
        <f t="shared" si="154"/>
        <v>279.39056561403834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50.745613473108371</v>
      </c>
      <c r="EW143" s="21">
        <f>EXP(-LN(2)/25)*EW142+(1-EXP(-LN(2)/25))/(LN(2)/25)*Calculateur!ER143*Calculateur!ET143*VLOOKUP('Données projet'!$B$15,Paramètres!$A$1:$I$89,3,0)*0.475*44/12</f>
        <v>15.709434829898141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66.455048303006507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-1.1368683772161603E-13</v>
      </c>
      <c r="FF143" s="17">
        <f>FE143*VLOOKUP('Données projet'!$B$16,Paramètres!$A$1:$I$89,3,0)*VLOOKUP('Données projet'!$B$16,Paramètres!$A$1:$I$89,5,0)</f>
        <v>-6.7984728957526396E-14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319.29539841078537</v>
      </c>
      <c r="FK143" s="59">
        <f t="shared" si="156"/>
        <v>327.26871144121412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28.362679619509141</v>
      </c>
      <c r="FR143" s="21">
        <f>EXP(-LN(2)/25)*FR142+(1-EXP(-LN(2)/25))/(LN(2)/25)*Calculateur!FM143*Calculateur!FO143*VLOOKUP('Données projet'!$B$16,Paramètres!$A$1:$I$89,3,0)*0.475*44/12</f>
        <v>9.3252659858572908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37.68794560536643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2.2737367544323206E-13</v>
      </c>
      <c r="GA143" s="17">
        <f>FZ143*VLOOKUP('Données projet'!$B$17,Paramètres!$A$1:$I$89,3,0)*VLOOKUP('Données projet'!$B$17,Paramètres!$A$1:$I$89,5,0)</f>
        <v>1.0049916454590858E-13</v>
      </c>
      <c r="GB143" s="13">
        <f t="shared" si="157"/>
        <v>1.5089081593838289E-12</v>
      </c>
      <c r="GC143" s="20">
        <f t="shared" si="133"/>
        <v>2.8030510891776262E-12</v>
      </c>
      <c r="GD143" s="59">
        <f t="shared" si="134"/>
        <v>284.97062186568212</v>
      </c>
      <c r="GE143" s="59">
        <f ca="1">AVERAGE(OFFSET($GD$3,0,0,'Données projet'!$E$17+1,1))-AVERAGE(OFFSET($H$3,0,0,'Données projet'!$E$17+1,1))</f>
        <v>342.89128067483233</v>
      </c>
      <c r="GF143" s="59">
        <f t="shared" si="158"/>
        <v>453.47615302202996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33.849936665143218</v>
      </c>
      <c r="GM143" s="21">
        <f>EXP(-LN(2)/25)*GM142+(1-EXP(-LN(2)/25))/(LN(2)/25)*Calculateur!GH143*Calculateur!GJ143*VLOOKUP('Données projet'!$B$17,Paramètres!$A$1:$I$89,3,0)*0.475*44/12</f>
        <v>12.775735430481289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46.625672095624509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67.719260508821634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>
        <f>GU143*VLOOKUP('Données projet'!$B$18,Paramètres!$A$1:$I$89,3,0)*VLOOKUP('Données projet'!$B$18,Paramètres!$A$1:$I$89,5,0)</f>
        <v>0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375.89365709113105</v>
      </c>
      <c r="HA143" s="59">
        <f t="shared" si="160"/>
        <v>279.39056561403834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50.745613473108371</v>
      </c>
      <c r="HH143" s="21">
        <f>EXP(-LN(2)/25)*HH142+(1-EXP(-LN(2)/25))/(LN(2)/25)*Calculateur!HC143*Calculateur!HE143*VLOOKUP('Données projet'!$B$18,Paramètres!$A$1:$I$89,3,0)*0.475*44/12</f>
        <v>15.709434829898141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66.455048303006507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178.09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396.98371440000057</v>
      </c>
      <c r="P144" s="13">
        <f t="shared" si="141"/>
        <v>91.164890478045521</v>
      </c>
      <c r="Q144" s="20">
        <f t="shared" si="108"/>
        <v>850.19215349593026</v>
      </c>
      <c r="R144" s="59">
        <f t="shared" si="109"/>
        <v>1135.3078497093516</v>
      </c>
      <c r="S144" s="59">
        <f ca="1">AVERAGE(OFFSET($R$3,0,0,'Données projet'!$E$9+1,1))-AVERAGE(OFFSET($H$3,0,0,'Données projet'!$E$9+1,1))</f>
        <v>631.31712308065664</v>
      </c>
      <c r="T144" s="59">
        <f t="shared" si="142"/>
        <v>290.92244624361285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58.213543414279989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58.213543414279989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-2.8421709430404007E-14</v>
      </c>
      <c r="AJ144" s="13">
        <f>AI144*VLOOKUP('Données projet'!$B$10,Paramètres!$A$1:$I$89,3,0)*VLOOKUP('Données projet'!$B$10,Paramètres!$A$1:$I$89,5,0)</f>
        <v>-2.3942448024172337E-14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401.19166052471473</v>
      </c>
      <c r="AO144" s="59">
        <f t="shared" si="144"/>
        <v>271.10067497534271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96.836181642275079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96.836181642275079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444.89554200000066</v>
      </c>
      <c r="BF144" s="13">
        <f t="shared" si="145"/>
        <v>100.82143659817152</v>
      </c>
      <c r="BG144" s="20">
        <f t="shared" si="115"/>
        <v>950.45707105848317</v>
      </c>
      <c r="BH144" s="59">
        <f t="shared" si="116"/>
        <v>1235.5727672719045</v>
      </c>
      <c r="BI144" s="59">
        <f ca="1">AVERAGE(OFFSET($BH$3,0,0,'Données projet'!$E$11+1,1))-AVERAGE(OFFSET($H$3,0,0,'Données projet'!$E$11+1,1))</f>
        <v>695.93700574708214</v>
      </c>
      <c r="BJ144" s="59">
        <f t="shared" si="146"/>
        <v>318.31690229208471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65.239315895313794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65.239315895313794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1.7053025658242404E-13</v>
      </c>
      <c r="BZ144" s="13">
        <f>BY144*VLOOKUP('Données projet'!$B$12,Paramètres!$A$1:$I$89,3,0)*VLOOKUP('Données projet'!$B$12,Paramètres!$A$1:$I$89,5,0)</f>
        <v>1.1173142411280423E-13</v>
      </c>
      <c r="CA144" s="13">
        <f t="shared" si="147"/>
        <v>1.6569896290553793E-12</v>
      </c>
      <c r="CB144" s="20">
        <f t="shared" si="118"/>
        <v>3.0805225009345862E-12</v>
      </c>
      <c r="CC144" s="59">
        <f t="shared" si="119"/>
        <v>285.11569621342426</v>
      </c>
      <c r="CD144" s="59">
        <f ca="1">AVERAGE(OFFSET($CC$3,0,0,'Données projet'!$E$12+1,1))-AVERAGE(OFFSET($H$3,0,0,'Données projet'!$E$12+1,1))</f>
        <v>260.25859566735949</v>
      </c>
      <c r="CE144" s="59">
        <f t="shared" si="148"/>
        <v>256.93649773468667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20.132090185226215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20.132090185226215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1.7053025658242404E-13</v>
      </c>
      <c r="CU144" s="17">
        <f>CT144*VLOOKUP('Données projet'!$B$13,Paramètres!$A$1:$I$89,3,0)*VLOOKUP('Données projet'!$B$13,Paramètres!$A$1:$I$89,5,0)</f>
        <v>1.1173142411280423E-13</v>
      </c>
      <c r="CV144" s="13">
        <f t="shared" si="149"/>
        <v>1.6569896290553793E-12</v>
      </c>
      <c r="CW144" s="20">
        <f t="shared" si="121"/>
        <v>3.0805225009345862E-12</v>
      </c>
      <c r="CX144" s="59">
        <f t="shared" si="122"/>
        <v>285.11569621342426</v>
      </c>
      <c r="CY144" s="59">
        <f ca="1">AVERAGE(OFFSET($CX$3,0,0,'Données projet'!$E$13+1,1))-AVERAGE(OFFSET($H$3,0,0,'Données projet'!$E$13+1,1))</f>
        <v>260.25859566735949</v>
      </c>
      <c r="CZ144" s="59">
        <f t="shared" si="150"/>
        <v>256.93649773468667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20.132090185226215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20.132090185226215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-2.2737367544323206E-13</v>
      </c>
      <c r="DP144" s="17">
        <f>DO144*VLOOKUP('Données projet'!$B$14,Paramètres!$A$1:$I$89,3,0)*VLOOKUP('Données projet'!$B$14,Paramètres!$A$1:$I$89,5,0)</f>
        <v>-1.3005774235352875E-13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349.56396446903</v>
      </c>
      <c r="DU144" s="59">
        <f t="shared" si="152"/>
        <v>270.64279448634522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67.345731920361843</v>
      </c>
      <c r="EB144" s="21">
        <f>EXP(-LN(2)/25)*EB143+(1-EXP(-LN(2)/25))/(LN(2)/25)*Calculateur!DW144*Calculateur!DY144*VLOOKUP('Données projet'!$B$14,Paramètres!$A$1:$I$89,3,0)*0.475*44/12</f>
        <v>24.61292345539017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91.958655375752016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375.89365709113105</v>
      </c>
      <c r="EP144" s="59">
        <f t="shared" si="154"/>
        <v>279.39056561403834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49.750522944668703</v>
      </c>
      <c r="EW144" s="21">
        <f>EXP(-LN(2)/25)*EW143+(1-EXP(-LN(2)/25))/(LN(2)/25)*Calculateur!ER144*Calculateur!ET144*VLOOKUP('Données projet'!$B$15,Paramètres!$A$1:$I$89,3,0)*0.475*44/12</f>
        <v>15.279859508351302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65.03038245302001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-1.1368683772161603E-13</v>
      </c>
      <c r="FF144" s="17">
        <f>FE144*VLOOKUP('Données projet'!$B$16,Paramètres!$A$1:$I$89,3,0)*VLOOKUP('Données projet'!$B$16,Paramètres!$A$1:$I$89,5,0)</f>
        <v>-6.7984728957526396E-14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319.29539841078537</v>
      </c>
      <c r="FK144" s="59">
        <f t="shared" si="156"/>
        <v>327.26871144121412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27.806504771696947</v>
      </c>
      <c r="FR144" s="21">
        <f>EXP(-LN(2)/25)*FR143+(1-EXP(-LN(2)/25))/(LN(2)/25)*Calculateur!FM144*Calculateur!FO144*VLOOKUP('Données projet'!$B$16,Paramètres!$A$1:$I$89,3,0)*0.475*44/12</f>
        <v>9.0702660970795979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36.876770868776546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2.2737367544323206E-13</v>
      </c>
      <c r="GA144" s="17">
        <f>FZ144*VLOOKUP('Données projet'!$B$17,Paramètres!$A$1:$I$89,3,0)*VLOOKUP('Données projet'!$B$17,Paramètres!$A$1:$I$89,5,0)</f>
        <v>1.0049916454590858E-13</v>
      </c>
      <c r="GB144" s="13">
        <f t="shared" si="157"/>
        <v>1.5089081593838289E-12</v>
      </c>
      <c r="GC144" s="20">
        <f t="shared" si="133"/>
        <v>2.8030510891776262E-12</v>
      </c>
      <c r="GD144" s="59">
        <f t="shared" si="134"/>
        <v>285.11569621342397</v>
      </c>
      <c r="GE144" s="59">
        <f ca="1">AVERAGE(OFFSET($GD$3,0,0,'Données projet'!$E$17+1,1))-AVERAGE(OFFSET($H$3,0,0,'Données projet'!$E$17+1,1))</f>
        <v>342.89128067483233</v>
      </c>
      <c r="GF144" s="59">
        <f t="shared" si="158"/>
        <v>453.47615302202996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33.18616005356246</v>
      </c>
      <c r="GM144" s="21">
        <f>EXP(-LN(2)/25)*GM143+(1-EXP(-LN(2)/25))/(LN(2)/25)*Calculateur!GH144*Calculateur!GJ144*VLOOKUP('Données projet'!$B$17,Paramètres!$A$1:$I$89,3,0)*0.475*44/12</f>
        <v>12.42638227328805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45.612542326850509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67.758826240023964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>
        <f>GU144*VLOOKUP('Données projet'!$B$18,Paramètres!$A$1:$I$89,3,0)*VLOOKUP('Données projet'!$B$18,Paramètres!$A$1:$I$89,5,0)</f>
        <v>0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375.89365709113105</v>
      </c>
      <c r="HA144" s="59">
        <f t="shared" si="160"/>
        <v>279.39056561403834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49.750522944668703</v>
      </c>
      <c r="HH144" s="21">
        <f>EXP(-LN(2)/25)*HH143+(1-EXP(-LN(2)/25))/(LN(2)/25)*Calculateur!HC144*Calculateur!HE144*VLOOKUP('Données projet'!$B$18,Paramètres!$A$1:$I$89,3,0)*0.475*44/12</f>
        <v>15.279859508351302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65.03038245302001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178.09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404.36597760000052</v>
      </c>
      <c r="P145" s="13">
        <f t="shared" si="141"/>
        <v>92.66124016608812</v>
      </c>
      <c r="Q145" s="20">
        <f t="shared" si="108"/>
        <v>865.655737609271</v>
      </c>
      <c r="R145" s="59">
        <f t="shared" si="109"/>
        <v>1150.9139914548384</v>
      </c>
      <c r="S145" s="59">
        <f ca="1">AVERAGE(OFFSET($R$3,0,0,'Données projet'!$E$9+1,1))-AVERAGE(OFFSET($H$3,0,0,'Données projet'!$E$9+1,1))</f>
        <v>631.31712308065664</v>
      </c>
      <c r="T145" s="59">
        <f t="shared" si="142"/>
        <v>290.92244624361285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57.072011334681441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57.072011334681441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-2.8421709430404007E-14</v>
      </c>
      <c r="AJ145" s="13">
        <f>AI145*VLOOKUP('Données projet'!$B$10,Paramètres!$A$1:$I$89,3,0)*VLOOKUP('Données projet'!$B$10,Paramètres!$A$1:$I$89,5,0)</f>
        <v>-2.3942448024172337E-14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401.19166052471473</v>
      </c>
      <c r="AO145" s="59">
        <f t="shared" si="144"/>
        <v>271.10067497534271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94.937283184508757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94.937283184508757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453.16876800000063</v>
      </c>
      <c r="BF145" s="13">
        <f t="shared" si="145"/>
        <v>102.47628556920169</v>
      </c>
      <c r="BG145" s="20">
        <f t="shared" si="115"/>
        <v>967.74846829969408</v>
      </c>
      <c r="BH145" s="59">
        <f t="shared" si="116"/>
        <v>1253.0067221452614</v>
      </c>
      <c r="BI145" s="59">
        <f ca="1">AVERAGE(OFFSET($BH$3,0,0,'Données projet'!$E$11+1,1))-AVERAGE(OFFSET($H$3,0,0,'Données projet'!$E$11+1,1))</f>
        <v>695.93700574708214</v>
      </c>
      <c r="BJ145" s="59">
        <f t="shared" si="146"/>
        <v>318.31690229208471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63.960012702660251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63.960012702660251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1.7053025658242404E-13</v>
      </c>
      <c r="BZ145" s="13">
        <f>BY145*VLOOKUP('Données projet'!$B$12,Paramètres!$A$1:$I$89,3,0)*VLOOKUP('Données projet'!$B$12,Paramètres!$A$1:$I$89,5,0)</f>
        <v>1.1173142411280423E-13</v>
      </c>
      <c r="CA145" s="13">
        <f t="shared" si="147"/>
        <v>1.6569896290553793E-12</v>
      </c>
      <c r="CB145" s="20">
        <f t="shared" si="118"/>
        <v>3.0805225009345862E-12</v>
      </c>
      <c r="CC145" s="59">
        <f t="shared" si="119"/>
        <v>285.25825384557049</v>
      </c>
      <c r="CD145" s="59">
        <f ca="1">AVERAGE(OFFSET($CC$3,0,0,'Données projet'!$E$12+1,1))-AVERAGE(OFFSET($H$3,0,0,'Données projet'!$E$12+1,1))</f>
        <v>260.25859566735949</v>
      </c>
      <c r="CE145" s="59">
        <f t="shared" si="148"/>
        <v>256.93649773468667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19.737312176056456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19.737312176056456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1.7053025658242404E-13</v>
      </c>
      <c r="CU145" s="17">
        <f>CT145*VLOOKUP('Données projet'!$B$13,Paramètres!$A$1:$I$89,3,0)*VLOOKUP('Données projet'!$B$13,Paramètres!$A$1:$I$89,5,0)</f>
        <v>1.1173142411280423E-13</v>
      </c>
      <c r="CV145" s="13">
        <f t="shared" si="149"/>
        <v>1.6569896290553793E-12</v>
      </c>
      <c r="CW145" s="20">
        <f t="shared" si="121"/>
        <v>3.0805225009345862E-12</v>
      </c>
      <c r="CX145" s="59">
        <f t="shared" si="122"/>
        <v>285.25825384557049</v>
      </c>
      <c r="CY145" s="59">
        <f ca="1">AVERAGE(OFFSET($CX$3,0,0,'Données projet'!$E$13+1,1))-AVERAGE(OFFSET($H$3,0,0,'Données projet'!$E$13+1,1))</f>
        <v>260.25859566735949</v>
      </c>
      <c r="CZ145" s="59">
        <f t="shared" si="150"/>
        <v>256.93649773468667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19.737312176056456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19.737312176056456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-2.2737367544323206E-13</v>
      </c>
      <c r="DP145" s="17">
        <f>DO145*VLOOKUP('Données projet'!$B$14,Paramètres!$A$1:$I$89,3,0)*VLOOKUP('Données projet'!$B$14,Paramètres!$A$1:$I$89,5,0)</f>
        <v>-1.3005774235352875E-13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349.56396446903</v>
      </c>
      <c r="DU145" s="59">
        <f t="shared" si="152"/>
        <v>270.64279448634522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66.025123194244017</v>
      </c>
      <c r="EB145" s="21">
        <f>EXP(-LN(2)/25)*EB144+(1-EXP(-LN(2)/25))/(LN(2)/25)*Calculateur!DW145*Calculateur!DY145*VLOOKUP('Données projet'!$B$14,Paramètres!$A$1:$I$89,3,0)*0.475*44/12</f>
        <v>23.939881769165137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89.965004963409157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375.89365709113105</v>
      </c>
      <c r="EP145" s="59">
        <f t="shared" si="154"/>
        <v>279.39056561403834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48.77494553454644</v>
      </c>
      <c r="EW145" s="21">
        <f>EXP(-LN(2)/25)*EW144+(1-EXP(-LN(2)/25))/(LN(2)/25)*Calculateur!ER145*Calculateur!ET145*VLOOKUP('Données projet'!$B$15,Paramètres!$A$1:$I$89,3,0)*0.475*44/12</f>
        <v>14.862030946562546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63.636976481108988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-1.1368683772161603E-13</v>
      </c>
      <c r="FF145" s="17">
        <f>FE145*VLOOKUP('Données projet'!$B$16,Paramètres!$A$1:$I$89,3,0)*VLOOKUP('Données projet'!$B$16,Paramètres!$A$1:$I$89,5,0)</f>
        <v>-6.7984728957526396E-14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319.29539841078537</v>
      </c>
      <c r="FK145" s="59">
        <f t="shared" si="156"/>
        <v>327.26871144121412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27.261236173417192</v>
      </c>
      <c r="FR145" s="21">
        <f>EXP(-LN(2)/25)*FR144+(1-EXP(-LN(2)/25))/(LN(2)/25)*Calculateur!FM145*Calculateur!FO145*VLOOKUP('Données projet'!$B$16,Paramètres!$A$1:$I$89,3,0)*0.475*44/12</f>
        <v>8.8222391936703932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36.083475367087587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2.2737367544323206E-13</v>
      </c>
      <c r="GA145" s="17">
        <f>FZ145*VLOOKUP('Données projet'!$B$17,Paramètres!$A$1:$I$89,3,0)*VLOOKUP('Données projet'!$B$17,Paramètres!$A$1:$I$89,5,0)</f>
        <v>1.0049916454590858E-13</v>
      </c>
      <c r="GB145" s="13">
        <f t="shared" si="157"/>
        <v>1.5089081593838289E-12</v>
      </c>
      <c r="GC145" s="20">
        <f t="shared" si="133"/>
        <v>2.8030510891776262E-12</v>
      </c>
      <c r="GD145" s="59">
        <f t="shared" si="134"/>
        <v>285.25825384557021</v>
      </c>
      <c r="GE145" s="59">
        <f ca="1">AVERAGE(OFFSET($GD$3,0,0,'Données projet'!$E$17+1,1))-AVERAGE(OFFSET($H$3,0,0,'Données projet'!$E$17+1,1))</f>
        <v>342.89128067483233</v>
      </c>
      <c r="GF145" s="59">
        <f t="shared" si="158"/>
        <v>453.47615302202996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32.535399696471046</v>
      </c>
      <c r="GM145" s="21">
        <f>EXP(-LN(2)/25)*GM144+(1-EXP(-LN(2)/25))/(LN(2)/25)*Calculateur!GH145*Calculateur!GJ145*VLOOKUP('Données projet'!$B$17,Paramètres!$A$1:$I$89,3,0)*0.475*44/12</f>
        <v>12.086582196549946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44.621981893020994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67.797705594245656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>
        <f>GU145*VLOOKUP('Données projet'!$B$18,Paramètres!$A$1:$I$89,3,0)*VLOOKUP('Données projet'!$B$18,Paramètres!$A$1:$I$89,5,0)</f>
        <v>0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375.89365709113105</v>
      </c>
      <c r="HA145" s="59">
        <f t="shared" si="160"/>
        <v>279.39056561403834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48.77494553454644</v>
      </c>
      <c r="HH145" s="21">
        <f>EXP(-LN(2)/25)*HH144+(1-EXP(-LN(2)/25))/(LN(2)/25)*Calculateur!HC145*Calculateur!HE145*VLOOKUP('Données projet'!$B$18,Paramètres!$A$1:$I$89,3,0)*0.475*44/12</f>
        <v>14.862030946562546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63.636976481108988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178.09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411.74824080000053</v>
      </c>
      <c r="P146" s="13">
        <f t="shared" si="141"/>
        <v>94.15441323509782</v>
      </c>
      <c r="Q146" s="20">
        <f t="shared" si="108"/>
        <v>881.11378911112968</v>
      </c>
      <c r="R146" s="59">
        <f t="shared" si="109"/>
        <v>1166.5121275326367</v>
      </c>
      <c r="S146" s="59">
        <f ca="1">AVERAGE(OFFSET($R$3,0,0,'Données projet'!$E$9+1,1))-AVERAGE(OFFSET($H$3,0,0,'Données projet'!$E$9+1,1))</f>
        <v>631.31712308065664</v>
      </c>
      <c r="T146" s="59">
        <f t="shared" si="142"/>
        <v>290.92244624361285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55.952864002898004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55.952864002898004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-2.8421709430404007E-14</v>
      </c>
      <c r="AJ146" s="13">
        <f>AI146*VLOOKUP('Données projet'!$B$10,Paramètres!$A$1:$I$89,3,0)*VLOOKUP('Données projet'!$B$10,Paramètres!$A$1:$I$89,5,0)</f>
        <v>-2.3942448024172337E-14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401.19166052471473</v>
      </c>
      <c r="AO146" s="59">
        <f t="shared" si="144"/>
        <v>271.10067497534271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93.075620967285545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93.075620967285545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461.44199400000065</v>
      </c>
      <c r="BF146" s="13">
        <f t="shared" si="145"/>
        <v>104.12762144113498</v>
      </c>
      <c r="BG146" s="20">
        <f t="shared" si="115"/>
        <v>985.03374689331122</v>
      </c>
      <c r="BH146" s="59">
        <f t="shared" si="116"/>
        <v>1270.4320853148181</v>
      </c>
      <c r="BI146" s="59">
        <f ca="1">AVERAGE(OFFSET($BH$3,0,0,'Données projet'!$E$11+1,1))-AVERAGE(OFFSET($H$3,0,0,'Données projet'!$E$11+1,1))</f>
        <v>695.93700574708214</v>
      </c>
      <c r="BJ146" s="59">
        <f t="shared" si="146"/>
        <v>318.31690229208471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62.705795865316738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62.705795865316738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1.7053025658242404E-13</v>
      </c>
      <c r="BZ146" s="13">
        <f>BY146*VLOOKUP('Données projet'!$B$12,Paramètres!$A$1:$I$89,3,0)*VLOOKUP('Données projet'!$B$12,Paramètres!$A$1:$I$89,5,0)</f>
        <v>1.1173142411280423E-13</v>
      </c>
      <c r="CA146" s="13">
        <f t="shared" si="147"/>
        <v>1.6569896290553793E-12</v>
      </c>
      <c r="CB146" s="20">
        <f t="shared" si="118"/>
        <v>3.0805225009345862E-12</v>
      </c>
      <c r="CC146" s="59">
        <f t="shared" si="119"/>
        <v>285.39833842151</v>
      </c>
      <c r="CD146" s="59">
        <f ca="1">AVERAGE(OFFSET($CC$3,0,0,'Données projet'!$E$12+1,1))-AVERAGE(OFFSET($H$3,0,0,'Données projet'!$E$12+1,1))</f>
        <v>260.25859566735949</v>
      </c>
      <c r="CE146" s="59">
        <f t="shared" si="148"/>
        <v>256.93649773468667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19.350275522855707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19.350275522855707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1.7053025658242404E-13</v>
      </c>
      <c r="CU146" s="17">
        <f>CT146*VLOOKUP('Données projet'!$B$13,Paramètres!$A$1:$I$89,3,0)*VLOOKUP('Données projet'!$B$13,Paramètres!$A$1:$I$89,5,0)</f>
        <v>1.1173142411280423E-13</v>
      </c>
      <c r="CV146" s="13">
        <f t="shared" si="149"/>
        <v>1.6569896290553793E-12</v>
      </c>
      <c r="CW146" s="20">
        <f t="shared" si="121"/>
        <v>3.0805225009345862E-12</v>
      </c>
      <c r="CX146" s="59">
        <f t="shared" si="122"/>
        <v>285.39833842151</v>
      </c>
      <c r="CY146" s="59">
        <f ca="1">AVERAGE(OFFSET($CX$3,0,0,'Données projet'!$E$13+1,1))-AVERAGE(OFFSET($H$3,0,0,'Données projet'!$E$13+1,1))</f>
        <v>260.25859566735949</v>
      </c>
      <c r="CZ146" s="59">
        <f t="shared" si="150"/>
        <v>256.93649773468667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19.350275522855707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19.350275522855707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-2.2737367544323206E-13</v>
      </c>
      <c r="DP146" s="17">
        <f>DO146*VLOOKUP('Données projet'!$B$14,Paramètres!$A$1:$I$89,3,0)*VLOOKUP('Données projet'!$B$14,Paramètres!$A$1:$I$89,5,0)</f>
        <v>-1.3005774235352875E-13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349.56396446903</v>
      </c>
      <c r="DU146" s="59">
        <f t="shared" si="152"/>
        <v>270.64279448634522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64.730410799753571</v>
      </c>
      <c r="EB146" s="21">
        <f>EXP(-LN(2)/25)*EB145+(1-EXP(-LN(2)/25))/(LN(2)/25)*Calculateur!DW146*Calculateur!DY146*VLOOKUP('Données projet'!$B$14,Paramètres!$A$1:$I$89,3,0)*0.475*44/12</f>
        <v>23.285244443243649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88.015655242997212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375.89365709113105</v>
      </c>
      <c r="EP146" s="59">
        <f t="shared" si="154"/>
        <v>279.39056561403834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47.818498602393213</v>
      </c>
      <c r="EW146" s="21">
        <f>EXP(-LN(2)/25)*EW145+(1-EXP(-LN(2)/25))/(LN(2)/25)*Calculateur!ER146*Calculateur!ET146*VLOOKUP('Données projet'!$B$15,Paramètres!$A$1:$I$89,3,0)*0.475*44/12</f>
        <v>14.455627928768553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62.27412653116177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-1.1368683772161603E-13</v>
      </c>
      <c r="FF146" s="17">
        <f>FE146*VLOOKUP('Données projet'!$B$16,Paramètres!$A$1:$I$89,3,0)*VLOOKUP('Données projet'!$B$16,Paramètres!$A$1:$I$89,5,0)</f>
        <v>-6.7984728957526396E-14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319.29539841078537</v>
      </c>
      <c r="FK146" s="59">
        <f t="shared" si="156"/>
        <v>327.26871144121412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26.726659959768696</v>
      </c>
      <c r="FR146" s="21">
        <f>EXP(-LN(2)/25)*FR145+(1-EXP(-LN(2)/25))/(LN(2)/25)*Calculateur!FM146*Calculateur!FO146*VLOOKUP('Données projet'!$B$16,Paramètres!$A$1:$I$89,3,0)*0.475*44/12</f>
        <v>8.58099459897808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35.307654558746776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2.2737367544323206E-13</v>
      </c>
      <c r="GA146" s="17">
        <f>FZ146*VLOOKUP('Données projet'!$B$17,Paramètres!$A$1:$I$89,3,0)*VLOOKUP('Données projet'!$B$17,Paramètres!$A$1:$I$89,5,0)</f>
        <v>1.0049916454590858E-13</v>
      </c>
      <c r="GB146" s="13">
        <f t="shared" si="157"/>
        <v>1.5089081593838289E-12</v>
      </c>
      <c r="GC146" s="20">
        <f t="shared" si="133"/>
        <v>2.8030510891776262E-12</v>
      </c>
      <c r="GD146" s="59">
        <f t="shared" si="134"/>
        <v>285.39833842150972</v>
      </c>
      <c r="GE146" s="59">
        <f ca="1">AVERAGE(OFFSET($GD$3,0,0,'Données projet'!$E$17+1,1))-AVERAGE(OFFSET($H$3,0,0,'Données projet'!$E$17+1,1))</f>
        <v>342.89128067483233</v>
      </c>
      <c r="GF146" s="59">
        <f t="shared" si="158"/>
        <v>453.47615302202996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31.89740035305757</v>
      </c>
      <c r="GM146" s="21">
        <f>EXP(-LN(2)/25)*GM145+(1-EXP(-LN(2)/25))/(LN(2)/25)*Calculateur!GH146*Calculateur!GJ146*VLOOKUP('Données projet'!$B$17,Paramètres!$A$1:$I$89,3,0)*0.475*44/12</f>
        <v>11.756073970779555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43.653474323837123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67.835910478592808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>
        <f>GU146*VLOOKUP('Données projet'!$B$18,Paramètres!$A$1:$I$89,3,0)*VLOOKUP('Données projet'!$B$18,Paramètres!$A$1:$I$89,5,0)</f>
        <v>0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375.89365709113105</v>
      </c>
      <c r="HA146" s="59">
        <f t="shared" si="160"/>
        <v>279.39056561403834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47.818498602393213</v>
      </c>
      <c r="HH146" s="21">
        <f>EXP(-LN(2)/25)*HH145+(1-EXP(-LN(2)/25))/(LN(2)/25)*Calculateur!HC146*Calculateur!HE146*VLOOKUP('Données projet'!$B$18,Paramètres!$A$1:$I$89,3,0)*0.475*44/12</f>
        <v>14.455627928768553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62.27412653116177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178.09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419.13050400000049</v>
      </c>
      <c r="P147" s="13">
        <f t="shared" si="141"/>
        <v>95.644473208887277</v>
      </c>
      <c r="Q147" s="20">
        <f t="shared" si="108"/>
        <v>896.56641863881293</v>
      </c>
      <c r="R147" s="59">
        <f t="shared" si="109"/>
        <v>1182.1024114820491</v>
      </c>
      <c r="S147" s="59">
        <f ca="1">AVERAGE(OFFSET($R$3,0,0,'Données projet'!$E$9+1,1))-AVERAGE(OFFSET($H$3,0,0,'Données projet'!$E$9+1,1))</f>
        <v>631.31712308065664</v>
      </c>
      <c r="T147" s="59">
        <f t="shared" si="142"/>
        <v>290.92244624361285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69.309560312196439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69.309560312196439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-2.8421709430404007E-14</v>
      </c>
      <c r="AJ147" s="13">
        <f>AI147*VLOOKUP('Données projet'!$B$10,Paramètres!$A$1:$I$89,3,0)*VLOOKUP('Données projet'!$B$10,Paramètres!$A$1:$I$89,5,0)</f>
        <v>-2.3942448024172337E-14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401.19166052471473</v>
      </c>
      <c r="AO147" s="59">
        <f t="shared" si="144"/>
        <v>271.10067497534271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91.250464810640239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91.250464810640239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469.71522000000061</v>
      </c>
      <c r="BF147" s="13">
        <f t="shared" si="145"/>
        <v>105.77551446647743</v>
      </c>
      <c r="BG147" s="20">
        <f t="shared" si="115"/>
        <v>1002.3130291957826</v>
      </c>
      <c r="BH147" s="59">
        <f t="shared" si="116"/>
        <v>1287.8490220390188</v>
      </c>
      <c r="BI147" s="59">
        <f ca="1">AVERAGE(OFFSET($BH$3,0,0,'Données projet'!$E$11+1,1))-AVERAGE(OFFSET($H$3,0,0,'Données projet'!$E$11+1,1))</f>
        <v>695.93700574708214</v>
      </c>
      <c r="BJ147" s="59">
        <f t="shared" si="146"/>
        <v>318.31690229208471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77.674507246427055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77.674507246427055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1.7053025658242404E-13</v>
      </c>
      <c r="BZ147" s="13">
        <f>BY147*VLOOKUP('Données projet'!$B$12,Paramètres!$A$1:$I$89,3,0)*VLOOKUP('Données projet'!$B$12,Paramètres!$A$1:$I$89,5,0)</f>
        <v>1.1173142411280423E-13</v>
      </c>
      <c r="CA147" s="13">
        <f t="shared" si="147"/>
        <v>1.6569896290553793E-12</v>
      </c>
      <c r="CB147" s="20">
        <f t="shared" si="118"/>
        <v>3.0805225009345862E-12</v>
      </c>
      <c r="CC147" s="59">
        <f t="shared" si="119"/>
        <v>285.53599284323928</v>
      </c>
      <c r="CD147" s="59">
        <f ca="1">AVERAGE(OFFSET($CC$3,0,0,'Données projet'!$E$12+1,1))-AVERAGE(OFFSET($H$3,0,0,'Données projet'!$E$12+1,1))</f>
        <v>260.25859566735949</v>
      </c>
      <c r="CE147" s="59">
        <f t="shared" si="148"/>
        <v>256.93649773468667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18.970828422355176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18.970828422355176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1.7053025658242404E-13</v>
      </c>
      <c r="CU147" s="17">
        <f>CT147*VLOOKUP('Données projet'!$B$13,Paramètres!$A$1:$I$89,3,0)*VLOOKUP('Données projet'!$B$13,Paramètres!$A$1:$I$89,5,0)</f>
        <v>1.1173142411280423E-13</v>
      </c>
      <c r="CV147" s="13">
        <f t="shared" si="149"/>
        <v>1.6569896290553793E-12</v>
      </c>
      <c r="CW147" s="20">
        <f t="shared" si="121"/>
        <v>3.0805225009345862E-12</v>
      </c>
      <c r="CX147" s="59">
        <f t="shared" si="122"/>
        <v>285.53599284323928</v>
      </c>
      <c r="CY147" s="59">
        <f ca="1">AVERAGE(OFFSET($CX$3,0,0,'Données projet'!$E$13+1,1))-AVERAGE(OFFSET($H$3,0,0,'Données projet'!$E$13+1,1))</f>
        <v>260.25859566735949</v>
      </c>
      <c r="CZ147" s="59">
        <f t="shared" si="150"/>
        <v>256.93649773468667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18.970828422355176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18.970828422355176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-2.2737367544323206E-13</v>
      </c>
      <c r="DP147" s="17">
        <f>DO147*VLOOKUP('Données projet'!$B$14,Paramètres!$A$1:$I$89,3,0)*VLOOKUP('Données projet'!$B$14,Paramètres!$A$1:$I$89,5,0)</f>
        <v>-1.3005774235352875E-13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349.56396446903</v>
      </c>
      <c r="DU147" s="59">
        <f t="shared" si="152"/>
        <v>270.64279448634522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63.461086925622503</v>
      </c>
      <c r="EB147" s="21">
        <f>EXP(-LN(2)/25)*EB146+(1-EXP(-LN(2)/25))/(LN(2)/25)*Calculateur!DW147*Calculateur!DY147*VLOOKUP('Données projet'!$B$14,Paramètres!$A$1:$I$89,3,0)*0.475*44/12</f>
        <v>22.648508209425366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86.109595135047869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375.89365709113105</v>
      </c>
      <c r="EP147" s="59">
        <f t="shared" si="154"/>
        <v>279.39056561403834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46.880807011204489</v>
      </c>
      <c r="EW147" s="21">
        <f>EXP(-LN(2)/25)*EW146+(1-EXP(-LN(2)/25))/(LN(2)/25)*Calculateur!ER147*Calculateur!ET147*VLOOKUP('Données projet'!$B$15,Paramètres!$A$1:$I$89,3,0)*0.475*44/12</f>
        <v>14.060338022867944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60.941145034072434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-1.1368683772161603E-13</v>
      </c>
      <c r="FF147" s="17">
        <f>FE147*VLOOKUP('Données projet'!$B$16,Paramètres!$A$1:$I$89,3,0)*VLOOKUP('Données projet'!$B$16,Paramètres!$A$1:$I$89,5,0)</f>
        <v>-6.7984728957526396E-14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319.29539841078537</v>
      </c>
      <c r="FK147" s="59">
        <f t="shared" si="156"/>
        <v>327.26871144121412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26.202566459610551</v>
      </c>
      <c r="FR147" s="21">
        <f>EXP(-LN(2)/25)*FR146+(1-EXP(-LN(2)/25))/(LN(2)/25)*Calculateur!FM147*Calculateur!FO147*VLOOKUP('Données projet'!$B$16,Paramètres!$A$1:$I$89,3,0)*0.475*44/12</f>
        <v>8.3463468504141307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34.54891331002468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2.2737367544323206E-13</v>
      </c>
      <c r="GA147" s="17">
        <f>FZ147*VLOOKUP('Données projet'!$B$17,Paramètres!$A$1:$I$89,3,0)*VLOOKUP('Données projet'!$B$17,Paramètres!$A$1:$I$89,5,0)</f>
        <v>1.0049916454590858E-13</v>
      </c>
      <c r="GB147" s="13">
        <f t="shared" si="157"/>
        <v>1.5089081593838289E-12</v>
      </c>
      <c r="GC147" s="20">
        <f t="shared" si="133"/>
        <v>2.8030510891776262E-12</v>
      </c>
      <c r="GD147" s="59">
        <f t="shared" si="134"/>
        <v>285.535992843239</v>
      </c>
      <c r="GE147" s="59">
        <f ca="1">AVERAGE(OFFSET($GD$3,0,0,'Données projet'!$E$17+1,1))-AVERAGE(OFFSET($H$3,0,0,'Données projet'!$E$17+1,1))</f>
        <v>342.89128067483233</v>
      </c>
      <c r="GF147" s="59">
        <f t="shared" si="158"/>
        <v>453.47615302202996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31.271911787627257</v>
      </c>
      <c r="GM147" s="21">
        <f>EXP(-LN(2)/25)*GM146+(1-EXP(-LN(2)/25))/(LN(2)/25)*Calculateur!GH147*Calculateur!GJ147*VLOOKUP('Données projet'!$B$17,Paramètres!$A$1:$I$89,3,0)*0.475*44/12</f>
        <v>11.434603509823527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42.706515297450785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67.873452593609869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>
        <f>GU147*VLOOKUP('Données projet'!$B$18,Paramètres!$A$1:$I$89,3,0)*VLOOKUP('Données projet'!$B$18,Paramètres!$A$1:$I$89,5,0)</f>
        <v>0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375.89365709113105</v>
      </c>
      <c r="HA147" s="59">
        <f t="shared" si="160"/>
        <v>279.39056561403834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46.880807011204489</v>
      </c>
      <c r="HH147" s="21">
        <f>EXP(-LN(2)/25)*HH146+(1-EXP(-LN(2)/25))/(LN(2)/25)*Calculateur!HC147*Calculateur!HE147*VLOOKUP('Données projet'!$B$18,Paramètres!$A$1:$I$89,3,0)*0.475*44/12</f>
        <v>14.060338022867944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60.941145034072434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178.09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375.98511600000052</v>
      </c>
      <c r="P148" s="13">
        <f t="shared" si="141"/>
        <v>86.890611547517153</v>
      </c>
      <c r="Q148" s="20">
        <f t="shared" si="108"/>
        <v>806.17522547859323</v>
      </c>
      <c r="R148" s="59">
        <f t="shared" si="109"/>
        <v>1091.8464847470907</v>
      </c>
      <c r="S148" s="59">
        <f ca="1">AVERAGE(OFFSET($R$3,0,0,'Données projet'!$E$9+1,1))-AVERAGE(OFFSET($H$3,0,0,'Données projet'!$E$9+1,1))</f>
        <v>631.31712308065664</v>
      </c>
      <c r="T148" s="59">
        <f t="shared" si="142"/>
        <v>290.92244624361285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67.950442109131785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67.950442109131785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-2.8421709430404007E-14</v>
      </c>
      <c r="AJ148" s="13">
        <f>AI148*VLOOKUP('Données projet'!$B$10,Paramètres!$A$1:$I$89,3,0)*VLOOKUP('Données projet'!$B$10,Paramètres!$A$1:$I$89,5,0)</f>
        <v>-2.3942448024172337E-14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401.19166052471473</v>
      </c>
      <c r="AO148" s="59">
        <f t="shared" si="144"/>
        <v>271.10067497534271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89.461098852991412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89.461098852991412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421.36263000000059</v>
      </c>
      <c r="BF148" s="13">
        <f t="shared" si="145"/>
        <v>96.094409121503247</v>
      </c>
      <c r="BG148" s="20">
        <f t="shared" si="115"/>
        <v>901.23767646995248</v>
      </c>
      <c r="BH148" s="59">
        <f t="shared" si="116"/>
        <v>1186.9089357384501</v>
      </c>
      <c r="BI148" s="59">
        <f ca="1">AVERAGE(OFFSET($BH$3,0,0,'Données projet'!$E$11+1,1))-AVERAGE(OFFSET($H$3,0,0,'Données projet'!$E$11+1,1))</f>
        <v>695.93700574708214</v>
      </c>
      <c r="BJ148" s="59">
        <f t="shared" si="146"/>
        <v>318.31690229208471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76.151357536095972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76.151357536095972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1.7053025658242404E-13</v>
      </c>
      <c r="BZ148" s="13">
        <f>BY148*VLOOKUP('Données projet'!$B$12,Paramètres!$A$1:$I$89,3,0)*VLOOKUP('Données projet'!$B$12,Paramètres!$A$1:$I$89,5,0)</f>
        <v>1.1173142411280423E-13</v>
      </c>
      <c r="CA148" s="13">
        <f t="shared" si="147"/>
        <v>1.6569896290553793E-12</v>
      </c>
      <c r="CB148" s="20">
        <f t="shared" si="118"/>
        <v>3.0805225009345862E-12</v>
      </c>
      <c r="CC148" s="59">
        <f t="shared" si="119"/>
        <v>285.67125926850059</v>
      </c>
      <c r="CD148" s="59">
        <f ca="1">AVERAGE(OFFSET($CC$3,0,0,'Données projet'!$E$12+1,1))-AVERAGE(OFFSET($H$3,0,0,'Données projet'!$E$12+1,1))</f>
        <v>260.25859566735949</v>
      </c>
      <c r="CE148" s="59">
        <f t="shared" si="148"/>
        <v>256.93649773468667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18.598822048055581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18.598822048055581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1.7053025658242404E-13</v>
      </c>
      <c r="CU148" s="17">
        <f>CT148*VLOOKUP('Données projet'!$B$13,Paramètres!$A$1:$I$89,3,0)*VLOOKUP('Données projet'!$B$13,Paramètres!$A$1:$I$89,5,0)</f>
        <v>1.1173142411280423E-13</v>
      </c>
      <c r="CV148" s="13">
        <f t="shared" si="149"/>
        <v>1.6569896290553793E-12</v>
      </c>
      <c r="CW148" s="20">
        <f t="shared" si="121"/>
        <v>3.0805225009345862E-12</v>
      </c>
      <c r="CX148" s="59">
        <f t="shared" si="122"/>
        <v>285.67125926850059</v>
      </c>
      <c r="CY148" s="59">
        <f ca="1">AVERAGE(OFFSET($CX$3,0,0,'Données projet'!$E$13+1,1))-AVERAGE(OFFSET($H$3,0,0,'Données projet'!$E$13+1,1))</f>
        <v>260.25859566735949</v>
      </c>
      <c r="CZ148" s="59">
        <f t="shared" si="150"/>
        <v>256.93649773468667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18.598822048055581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18.598822048055581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-2.2737367544323206E-13</v>
      </c>
      <c r="DP148" s="17">
        <f>DO148*VLOOKUP('Données projet'!$B$14,Paramètres!$A$1:$I$89,3,0)*VLOOKUP('Données projet'!$B$14,Paramètres!$A$1:$I$89,5,0)</f>
        <v>-1.3005774235352875E-13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349.56396446903</v>
      </c>
      <c r="DU148" s="59">
        <f t="shared" si="152"/>
        <v>270.64279448634522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62.216653718452029</v>
      </c>
      <c r="EB148" s="21">
        <f>EXP(-LN(2)/25)*EB147+(1-EXP(-LN(2)/25))/(LN(2)/25)*Calculateur!DW148*Calculateur!DY148*VLOOKUP('Données projet'!$B$14,Paramètres!$A$1:$I$89,3,0)*0.475*44/12</f>
        <v>22.029183561405347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84.245837279857369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375.89365709113105</v>
      </c>
      <c r="EP148" s="59">
        <f t="shared" si="154"/>
        <v>279.39056561403834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45.961502980183575</v>
      </c>
      <c r="EW148" s="21">
        <f>EXP(-LN(2)/25)*EW147+(1-EXP(-LN(2)/25))/(LN(2)/25)*Calculateur!ER148*Calculateur!ET148*VLOOKUP('Données projet'!$B$15,Paramètres!$A$1:$I$89,3,0)*0.475*44/12</f>
        <v>13.675857340231579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59.637360320415155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-1.1368683772161603E-13</v>
      </c>
      <c r="FF148" s="17">
        <f>FE148*VLOOKUP('Données projet'!$B$16,Paramètres!$A$1:$I$89,3,0)*VLOOKUP('Données projet'!$B$16,Paramètres!$A$1:$I$89,5,0)</f>
        <v>-6.7984728957526396E-14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319.29539841078537</v>
      </c>
      <c r="FK148" s="59">
        <f t="shared" si="156"/>
        <v>327.26871144121412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25.688750113325039</v>
      </c>
      <c r="FR148" s="21">
        <f>EXP(-LN(2)/25)*FR147+(1-EXP(-LN(2)/25))/(LN(2)/25)*Calculateur!FM148*Calculateur!FO148*VLOOKUP('Données projet'!$B$16,Paramètres!$A$1:$I$89,3,0)*0.475*44/12</f>
        <v>8.1181155568742511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33.806865670199286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2.2737367544323206E-13</v>
      </c>
      <c r="GA148" s="17">
        <f>FZ148*VLOOKUP('Données projet'!$B$17,Paramètres!$A$1:$I$89,3,0)*VLOOKUP('Données projet'!$B$17,Paramètres!$A$1:$I$89,5,0)</f>
        <v>1.0049916454590858E-13</v>
      </c>
      <c r="GB148" s="13">
        <f t="shared" si="157"/>
        <v>1.5089081593838289E-12</v>
      </c>
      <c r="GC148" s="20">
        <f t="shared" si="133"/>
        <v>2.8030510891776262E-12</v>
      </c>
      <c r="GD148" s="59">
        <f t="shared" si="134"/>
        <v>285.67125926850031</v>
      </c>
      <c r="GE148" s="59">
        <f ca="1">AVERAGE(OFFSET($GD$3,0,0,'Données projet'!$E$17+1,1))-AVERAGE(OFFSET($H$3,0,0,'Données projet'!$E$17+1,1))</f>
        <v>342.89128067483233</v>
      </c>
      <c r="GF148" s="59">
        <f t="shared" si="158"/>
        <v>453.47615302202996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30.658688671454676</v>
      </c>
      <c r="GM148" s="21">
        <f>EXP(-LN(2)/25)*GM147+(1-EXP(-LN(2)/25))/(LN(2)/25)*Calculateur!GH148*Calculateur!GJ148*VLOOKUP('Données projet'!$B$17,Paramètres!$A$1:$I$89,3,0)*0.475*44/12</f>
        <v>11.121923675527738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41.780612346982416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67.910343436862959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>
        <f>GU148*VLOOKUP('Données projet'!$B$18,Paramètres!$A$1:$I$89,3,0)*VLOOKUP('Données projet'!$B$18,Paramètres!$A$1:$I$89,5,0)</f>
        <v>0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375.89365709113105</v>
      </c>
      <c r="HA148" s="59">
        <f t="shared" si="160"/>
        <v>279.39056561403834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45.961502980183575</v>
      </c>
      <c r="HH148" s="21">
        <f>EXP(-LN(2)/25)*HH147+(1-EXP(-LN(2)/25))/(LN(2)/25)*Calculateur!HC148*Calculateur!HE148*VLOOKUP('Données projet'!$B$18,Paramètres!$A$1:$I$89,3,0)*0.475*44/12</f>
        <v>13.675857340231579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59.637360320415155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178.09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383.51757600000053</v>
      </c>
      <c r="P149" s="13">
        <f t="shared" si="141"/>
        <v>88.426967368766455</v>
      </c>
      <c r="Q149" s="20">
        <f t="shared" si="108"/>
        <v>821.97007970060247</v>
      </c>
      <c r="R149" s="59">
        <f t="shared" si="109"/>
        <v>1107.7742588242936</v>
      </c>
      <c r="S149" s="59">
        <f ca="1">AVERAGE(OFFSET($R$3,0,0,'Données projet'!$E$9+1,1))-AVERAGE(OFFSET($H$3,0,0,'Données projet'!$E$9+1,1))</f>
        <v>631.31712308065664</v>
      </c>
      <c r="T149" s="59">
        <f t="shared" si="142"/>
        <v>290.92244624361285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66.617975385048979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66.617975385048979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-2.8421709430404007E-14</v>
      </c>
      <c r="AJ149" s="13">
        <f>AI149*VLOOKUP('Données projet'!$B$10,Paramètres!$A$1:$I$89,3,0)*VLOOKUP('Données projet'!$B$10,Paramètres!$A$1:$I$89,5,0)</f>
        <v>-2.3942448024172337E-14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401.19166052471473</v>
      </c>
      <c r="AO149" s="59">
        <f t="shared" si="144"/>
        <v>271.10067497534271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87.706821270366618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87.706821270366618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429.8041800000006</v>
      </c>
      <c r="BF149" s="13">
        <f t="shared" si="145"/>
        <v>97.793501833753268</v>
      </c>
      <c r="BG149" s="20">
        <f t="shared" si="115"/>
        <v>918.89929586045457</v>
      </c>
      <c r="BH149" s="59">
        <f t="shared" si="116"/>
        <v>1204.7034749841457</v>
      </c>
      <c r="BI149" s="59">
        <f ca="1">AVERAGE(OFFSET($BH$3,0,0,'Données projet'!$E$11+1,1))-AVERAGE(OFFSET($H$3,0,0,'Données projet'!$E$11+1,1))</f>
        <v>695.93700574708214</v>
      </c>
      <c r="BJ149" s="59">
        <f t="shared" si="146"/>
        <v>318.31690229208471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74.658075862554895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74.658075862554895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1.7053025658242404E-13</v>
      </c>
      <c r="BZ149" s="13">
        <f>BY149*VLOOKUP('Données projet'!$B$12,Paramètres!$A$1:$I$89,3,0)*VLOOKUP('Données projet'!$B$12,Paramètres!$A$1:$I$89,5,0)</f>
        <v>1.1173142411280423E-13</v>
      </c>
      <c r="CA149" s="13">
        <f t="shared" si="147"/>
        <v>1.6569896290553793E-12</v>
      </c>
      <c r="CB149" s="20">
        <f t="shared" si="118"/>
        <v>3.0805225009345862E-12</v>
      </c>
      <c r="CC149" s="59">
        <f t="shared" si="119"/>
        <v>285.80417912369415</v>
      </c>
      <c r="CD149" s="59">
        <f ca="1">AVERAGE(OFFSET($CC$3,0,0,'Données projet'!$E$12+1,1))-AVERAGE(OFFSET($H$3,0,0,'Données projet'!$E$12+1,1))</f>
        <v>260.25859566735949</v>
      </c>
      <c r="CE149" s="59">
        <f t="shared" si="148"/>
        <v>256.93649773468667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18.234110491854519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18.234110491854519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1.7053025658242404E-13</v>
      </c>
      <c r="CU149" s="17">
        <f>CT149*VLOOKUP('Données projet'!$B$13,Paramètres!$A$1:$I$89,3,0)*VLOOKUP('Données projet'!$B$13,Paramètres!$A$1:$I$89,5,0)</f>
        <v>1.1173142411280423E-13</v>
      </c>
      <c r="CV149" s="13">
        <f t="shared" si="149"/>
        <v>1.6569896290553793E-12</v>
      </c>
      <c r="CW149" s="20">
        <f t="shared" si="121"/>
        <v>3.0805225009345862E-12</v>
      </c>
      <c r="CX149" s="59">
        <f t="shared" si="122"/>
        <v>285.80417912369415</v>
      </c>
      <c r="CY149" s="59">
        <f ca="1">AVERAGE(OFFSET($CX$3,0,0,'Données projet'!$E$13+1,1))-AVERAGE(OFFSET($H$3,0,0,'Données projet'!$E$13+1,1))</f>
        <v>260.25859566735949</v>
      </c>
      <c r="CZ149" s="59">
        <f t="shared" si="150"/>
        <v>256.93649773468667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18.234110491854519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18.234110491854519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-2.2737367544323206E-13</v>
      </c>
      <c r="DP149" s="17">
        <f>DO149*VLOOKUP('Données projet'!$B$14,Paramètres!$A$1:$I$89,3,0)*VLOOKUP('Données projet'!$B$14,Paramètres!$A$1:$I$89,5,0)</f>
        <v>-1.3005774235352875E-13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349.56396446903</v>
      </c>
      <c r="DU149" s="59">
        <f t="shared" si="152"/>
        <v>270.64279448634522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60.99662308744486</v>
      </c>
      <c r="EB149" s="21">
        <f>EXP(-LN(2)/25)*EB148+(1-EXP(-LN(2)/25))/(LN(2)/25)*Calculateur!DW149*Calculateur!DY149*VLOOKUP('Données projet'!$B$14,Paramètres!$A$1:$I$89,3,0)*0.475*44/12</f>
        <v>21.426794378454304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82.423417465899163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375.89365709113105</v>
      </c>
      <c r="EP149" s="59">
        <f t="shared" si="154"/>
        <v>279.39056561403834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45.060225940490888</v>
      </c>
      <c r="EW149" s="21">
        <f>EXP(-LN(2)/25)*EW148+(1-EXP(-LN(2)/25))/(LN(2)/25)*Calculateur!ER149*Calculateur!ET149*VLOOKUP('Données projet'!$B$15,Paramètres!$A$1:$I$89,3,0)*0.475*44/12</f>
        <v>13.301890302080865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58.362116242571751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-1.1368683772161603E-13</v>
      </c>
      <c r="FF149" s="17">
        <f>FE149*VLOOKUP('Données projet'!$B$16,Paramètres!$A$1:$I$89,3,0)*VLOOKUP('Données projet'!$B$16,Paramètres!$A$1:$I$89,5,0)</f>
        <v>-6.7984728957526396E-14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319.29539841078537</v>
      </c>
      <c r="FK149" s="59">
        <f t="shared" si="156"/>
        <v>327.26871144121412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25.185009392193159</v>
      </c>
      <c r="FR149" s="21">
        <f>EXP(-LN(2)/25)*FR148+(1-EXP(-LN(2)/25))/(LN(2)/25)*Calculateur!FM149*Calculateur!FO149*VLOOKUP('Données projet'!$B$16,Paramètres!$A$1:$I$89,3,0)*0.475*44/12</f>
        <v>7.8961252600583816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33.081134652251542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2.2737367544323206E-13</v>
      </c>
      <c r="GA149" s="17">
        <f>FZ149*VLOOKUP('Données projet'!$B$17,Paramètres!$A$1:$I$89,3,0)*VLOOKUP('Données projet'!$B$17,Paramètres!$A$1:$I$89,5,0)</f>
        <v>1.0049916454590858E-13</v>
      </c>
      <c r="GB149" s="13">
        <f t="shared" si="157"/>
        <v>1.5089081593838289E-12</v>
      </c>
      <c r="GC149" s="20">
        <f t="shared" si="133"/>
        <v>2.8030510891776262E-12</v>
      </c>
      <c r="GD149" s="59">
        <f t="shared" si="134"/>
        <v>285.80417912369387</v>
      </c>
      <c r="GE149" s="59">
        <f ca="1">AVERAGE(OFFSET($GD$3,0,0,'Données projet'!$E$17+1,1))-AVERAGE(OFFSET($H$3,0,0,'Données projet'!$E$17+1,1))</f>
        <v>342.89128067483233</v>
      </c>
      <c r="GF149" s="59">
        <f t="shared" si="158"/>
        <v>453.47615302202996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30.057490486561072</v>
      </c>
      <c r="GM149" s="21">
        <f>EXP(-LN(2)/25)*GM148+(1-EXP(-LN(2)/25))/(LN(2)/25)*Calculateur!GH149*Calculateur!GJ149*VLOOKUP('Données projet'!$B$17,Paramètres!$A$1:$I$89,3,0)*0.475*44/12</f>
        <v>10.817794087743884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40.875284574304956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67.946594306461208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>
        <f>GU149*VLOOKUP('Données projet'!$B$18,Paramètres!$A$1:$I$89,3,0)*VLOOKUP('Données projet'!$B$18,Paramètres!$A$1:$I$89,5,0)</f>
        <v>0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375.89365709113105</v>
      </c>
      <c r="HA149" s="59">
        <f t="shared" si="160"/>
        <v>279.39056561403834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45.060225940490888</v>
      </c>
      <c r="HH149" s="21">
        <f>EXP(-LN(2)/25)*HH148+(1-EXP(-LN(2)/25))/(LN(2)/25)*Calculateur!HC149*Calculateur!HE149*VLOOKUP('Données projet'!$B$18,Paramètres!$A$1:$I$89,3,0)*0.475*44/12</f>
        <v>13.301890302080865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58.362116242571751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178.09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391.05003600000049</v>
      </c>
      <c r="P150" s="13">
        <f t="shared" si="141"/>
        <v>89.959814624965674</v>
      </c>
      <c r="Q150" s="20">
        <f t="shared" si="108"/>
        <v>837.75882317181595</v>
      </c>
      <c r="R150" s="59">
        <f t="shared" si="109"/>
        <v>1123.6936162883771</v>
      </c>
      <c r="S150" s="59">
        <f ca="1">AVERAGE(OFFSET($R$3,0,0,'Données projet'!$E$9+1,1))-AVERAGE(OFFSET($H$3,0,0,'Données projet'!$E$9+1,1))</f>
        <v>631.31712308065664</v>
      </c>
      <c r="T150" s="59">
        <f t="shared" si="142"/>
        <v>290.92244624361285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65.311637520700984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65.311637520700984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-2.8421709430404007E-14</v>
      </c>
      <c r="AJ150" s="13">
        <f>AI150*VLOOKUP('Données projet'!$B$10,Paramètres!$A$1:$I$89,3,0)*VLOOKUP('Données projet'!$B$10,Paramètres!$A$1:$I$89,5,0)</f>
        <v>-2.3942448024172337E-14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401.19166052471473</v>
      </c>
      <c r="AO150" s="59">
        <f t="shared" si="144"/>
        <v>271.10067497534271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85.986944001133423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85.986944001133423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438.24573000000061</v>
      </c>
      <c r="BF150" s="13">
        <f t="shared" si="145"/>
        <v>99.488714339852734</v>
      </c>
      <c r="BG150" s="20">
        <f t="shared" si="115"/>
        <v>936.55415722524458</v>
      </c>
      <c r="BH150" s="59">
        <f t="shared" si="116"/>
        <v>1222.4889503418058</v>
      </c>
      <c r="BI150" s="59">
        <f ca="1">AVERAGE(OFFSET($BH$3,0,0,'Données projet'!$E$11+1,1))-AVERAGE(OFFSET($H$3,0,0,'Données projet'!$E$11+1,1))</f>
        <v>695.93700574708214</v>
      </c>
      <c r="BJ150" s="59">
        <f t="shared" si="146"/>
        <v>318.31690229208471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73.194076531820073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73.194076531820073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1.7053025658242404E-13</v>
      </c>
      <c r="BZ150" s="13">
        <f>BY150*VLOOKUP('Données projet'!$B$12,Paramètres!$A$1:$I$89,3,0)*VLOOKUP('Données projet'!$B$12,Paramètres!$A$1:$I$89,5,0)</f>
        <v>1.1173142411280423E-13</v>
      </c>
      <c r="CA150" s="13">
        <f t="shared" si="147"/>
        <v>1.6569896290553793E-12</v>
      </c>
      <c r="CB150" s="20">
        <f t="shared" si="118"/>
        <v>3.0805225009345862E-12</v>
      </c>
      <c r="CC150" s="59">
        <f t="shared" si="119"/>
        <v>285.93479311656432</v>
      </c>
      <c r="CD150" s="59">
        <f ca="1">AVERAGE(OFFSET($CC$3,0,0,'Données projet'!$E$12+1,1))-AVERAGE(OFFSET($H$3,0,0,'Données projet'!$E$12+1,1))</f>
        <v>260.25859566735949</v>
      </c>
      <c r="CE150" s="59">
        <f t="shared" si="148"/>
        <v>256.93649773468667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17.876550706818474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17.876550706818474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1.7053025658242404E-13</v>
      </c>
      <c r="CU150" s="17">
        <f>CT150*VLOOKUP('Données projet'!$B$13,Paramètres!$A$1:$I$89,3,0)*VLOOKUP('Données projet'!$B$13,Paramètres!$A$1:$I$89,5,0)</f>
        <v>1.1173142411280423E-13</v>
      </c>
      <c r="CV150" s="13">
        <f t="shared" si="149"/>
        <v>1.6569896290553793E-12</v>
      </c>
      <c r="CW150" s="20">
        <f t="shared" si="121"/>
        <v>3.0805225009345862E-12</v>
      </c>
      <c r="CX150" s="59">
        <f t="shared" si="122"/>
        <v>285.93479311656432</v>
      </c>
      <c r="CY150" s="59">
        <f ca="1">AVERAGE(OFFSET($CX$3,0,0,'Données projet'!$E$13+1,1))-AVERAGE(OFFSET($H$3,0,0,'Données projet'!$E$13+1,1))</f>
        <v>260.25859566735949</v>
      </c>
      <c r="CZ150" s="59">
        <f t="shared" si="150"/>
        <v>256.93649773468667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17.876550706818474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17.876550706818474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-2.2737367544323206E-13</v>
      </c>
      <c r="DP150" s="17">
        <f>DO150*VLOOKUP('Données projet'!$B$14,Paramètres!$A$1:$I$89,3,0)*VLOOKUP('Données projet'!$B$14,Paramètres!$A$1:$I$89,5,0)</f>
        <v>-1.3005774235352875E-13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349.56396446903</v>
      </c>
      <c r="DU150" s="59">
        <f t="shared" si="152"/>
        <v>270.64279448634522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59.800516512966531</v>
      </c>
      <c r="EB150" s="21">
        <f>EXP(-LN(2)/25)*EB149+(1-EXP(-LN(2)/25))/(LN(2)/25)*Calculateur!DW150*Calculateur!DY150*VLOOKUP('Données projet'!$B$14,Paramètres!$A$1:$I$89,3,0)*0.475*44/12</f>
        <v>20.840877559389327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80.641394072355865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375.89365709113105</v>
      </c>
      <c r="EP150" s="59">
        <f t="shared" si="154"/>
        <v>279.39056561403834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44.176622393821866</v>
      </c>
      <c r="EW150" s="21">
        <f>EXP(-LN(2)/25)*EW149+(1-EXP(-LN(2)/25))/(LN(2)/25)*Calculateur!ER150*Calculateur!ET150*VLOOKUP('Données projet'!$B$15,Paramètres!$A$1:$I$89,3,0)*0.475*44/12</f>
        <v>12.938149412254456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57.11477180607632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-1.1368683772161603E-13</v>
      </c>
      <c r="FF150" s="17">
        <f>FE150*VLOOKUP('Données projet'!$B$16,Paramètres!$A$1:$I$89,3,0)*VLOOKUP('Données projet'!$B$16,Paramètres!$A$1:$I$89,5,0)</f>
        <v>-6.7984728957526396E-14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319.29539841078537</v>
      </c>
      <c r="FK150" s="59">
        <f t="shared" si="156"/>
        <v>327.26871144121412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24.691146719351174</v>
      </c>
      <c r="FR150" s="21">
        <f>EXP(-LN(2)/25)*FR149+(1-EXP(-LN(2)/25))/(LN(2)/25)*Calculateur!FM150*Calculateur!FO150*VLOOKUP('Données projet'!$B$16,Paramètres!$A$1:$I$89,3,0)*0.475*44/12</f>
        <v>7.6802052995829042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32.371352018934076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2.2737367544323206E-13</v>
      </c>
      <c r="GA150" s="17">
        <f>FZ150*VLOOKUP('Données projet'!$B$17,Paramètres!$A$1:$I$89,3,0)*VLOOKUP('Données projet'!$B$17,Paramètres!$A$1:$I$89,5,0)</f>
        <v>1.0049916454590858E-13</v>
      </c>
      <c r="GB150" s="13">
        <f t="shared" si="157"/>
        <v>1.5089081593838289E-12</v>
      </c>
      <c r="GC150" s="20">
        <f t="shared" si="133"/>
        <v>2.8030510891776262E-12</v>
      </c>
      <c r="GD150" s="59">
        <f t="shared" si="134"/>
        <v>285.93479311656404</v>
      </c>
      <c r="GE150" s="59">
        <f ca="1">AVERAGE(OFFSET($GD$3,0,0,'Données projet'!$E$17+1,1))-AVERAGE(OFFSET($H$3,0,0,'Données projet'!$E$17+1,1))</f>
        <v>342.89128067483233</v>
      </c>
      <c r="GF150" s="59">
        <f t="shared" si="158"/>
        <v>453.47615302202996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29.468081431378547</v>
      </c>
      <c r="GM150" s="21">
        <f>EXP(-LN(2)/25)*GM149+(1-EXP(-LN(2)/25))/(LN(2)/25)*Calculateur!GH150*Calculateur!GJ150*VLOOKUP('Données projet'!$B$17,Paramètres!$A$1:$I$89,3,0)*0.475*44/12</f>
        <v>10.521980939531462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39.99006237091001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67.982216304516712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>
        <f>GU150*VLOOKUP('Données projet'!$B$18,Paramètres!$A$1:$I$89,3,0)*VLOOKUP('Données projet'!$B$18,Paramètres!$A$1:$I$89,5,0)</f>
        <v>0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375.89365709113105</v>
      </c>
      <c r="HA150" s="59">
        <f t="shared" si="160"/>
        <v>279.39056561403834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44.176622393821866</v>
      </c>
      <c r="HH150" s="21">
        <f>EXP(-LN(2)/25)*HH149+(1-EXP(-LN(2)/25))/(LN(2)/25)*Calculateur!HC150*Calculateur!HE150*VLOOKUP('Données projet'!$B$18,Paramètres!$A$1:$I$89,3,0)*0.475*44/12</f>
        <v>12.938149412254456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57.11477180607632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178.09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398.5824960000005</v>
      </c>
      <c r="P151" s="13">
        <f t="shared" si="141"/>
        <v>91.489228690064536</v>
      </c>
      <c r="Q151" s="20">
        <f t="shared" si="108"/>
        <v>853.54158716852999</v>
      </c>
      <c r="R151" s="59">
        <f t="shared" si="109"/>
        <v>1139.6047284171943</v>
      </c>
      <c r="S151" s="59">
        <f ca="1">AVERAGE(OFFSET($R$3,0,0,'Données projet'!$E$9+1,1))-AVERAGE(OFFSET($H$3,0,0,'Données projet'!$E$9+1,1))</f>
        <v>631.31712308065664</v>
      </c>
      <c r="T151" s="59">
        <f t="shared" si="142"/>
        <v>290.92244624361285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64.030916145085428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64.030916145085428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-2.8421709430404007E-14</v>
      </c>
      <c r="AJ151" s="13">
        <f>AI151*VLOOKUP('Données projet'!$B$10,Paramètres!$A$1:$I$89,3,0)*VLOOKUP('Données projet'!$B$10,Paramètres!$A$1:$I$89,5,0)</f>
        <v>-2.3942448024172337E-14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401.19166052471473</v>
      </c>
      <c r="AO151" s="59">
        <f t="shared" si="144"/>
        <v>271.10067497534271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84.300792476128336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84.300792476128336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446.68728000000056</v>
      </c>
      <c r="BF151" s="13">
        <f t="shared" si="145"/>
        <v>101.18012999765861</v>
      </c>
      <c r="BG151" s="20">
        <f t="shared" si="115"/>
        <v>954.20240574592299</v>
      </c>
      <c r="BH151" s="59">
        <f t="shared" si="116"/>
        <v>1240.2655469945873</v>
      </c>
      <c r="BI151" s="59">
        <f ca="1">AVERAGE(OFFSET($BH$3,0,0,'Données projet'!$E$11+1,1))-AVERAGE(OFFSET($H$3,0,0,'Données projet'!$E$11+1,1))</f>
        <v>695.93700574708214</v>
      </c>
      <c r="BJ151" s="59">
        <f t="shared" si="146"/>
        <v>318.31690229208471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71.758785335009534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71.758785335009534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1.7053025658242404E-13</v>
      </c>
      <c r="BZ151" s="13">
        <f>BY151*VLOOKUP('Données projet'!$B$12,Paramètres!$A$1:$I$89,3,0)*VLOOKUP('Données projet'!$B$12,Paramètres!$A$1:$I$89,5,0)</f>
        <v>1.1173142411280423E-13</v>
      </c>
      <c r="CA151" s="13">
        <f t="shared" si="147"/>
        <v>1.6569896290553793E-12</v>
      </c>
      <c r="CB151" s="20">
        <f t="shared" si="118"/>
        <v>3.0805225009345862E-12</v>
      </c>
      <c r="CC151" s="59">
        <f t="shared" si="119"/>
        <v>286.06314124866736</v>
      </c>
      <c r="CD151" s="59">
        <f ca="1">AVERAGE(OFFSET($CC$3,0,0,'Données projet'!$E$12+1,1))-AVERAGE(OFFSET($H$3,0,0,'Données projet'!$E$12+1,1))</f>
        <v>260.25859566735949</v>
      </c>
      <c r="CE151" s="59">
        <f t="shared" si="148"/>
        <v>256.93649773468667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17.526002451077051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17.526002451077051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1.7053025658242404E-13</v>
      </c>
      <c r="CU151" s="17">
        <f>CT151*VLOOKUP('Données projet'!$B$13,Paramètres!$A$1:$I$89,3,0)*VLOOKUP('Données projet'!$B$13,Paramètres!$A$1:$I$89,5,0)</f>
        <v>1.1173142411280423E-13</v>
      </c>
      <c r="CV151" s="13">
        <f t="shared" si="149"/>
        <v>1.6569896290553793E-12</v>
      </c>
      <c r="CW151" s="20">
        <f t="shared" si="121"/>
        <v>3.0805225009345862E-12</v>
      </c>
      <c r="CX151" s="59">
        <f t="shared" si="122"/>
        <v>286.06314124866736</v>
      </c>
      <c r="CY151" s="59">
        <f ca="1">AVERAGE(OFFSET($CX$3,0,0,'Données projet'!$E$13+1,1))-AVERAGE(OFFSET($H$3,0,0,'Données projet'!$E$13+1,1))</f>
        <v>260.25859566735949</v>
      </c>
      <c r="CZ151" s="59">
        <f t="shared" si="150"/>
        <v>256.93649773468667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17.526002451077051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17.526002451077051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-2.2737367544323206E-13</v>
      </c>
      <c r="DP151" s="17">
        <f>DO151*VLOOKUP('Données projet'!$B$14,Paramètres!$A$1:$I$89,3,0)*VLOOKUP('Données projet'!$B$14,Paramètres!$A$1:$I$89,5,0)</f>
        <v>-1.3005774235352875E-13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349.56396446903</v>
      </c>
      <c r="DU151" s="59">
        <f t="shared" si="152"/>
        <v>270.64279448634522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58.627864858860754</v>
      </c>
      <c r="EB151" s="21">
        <f>EXP(-LN(2)/25)*EB150+(1-EXP(-LN(2)/25))/(LN(2)/25)*Calculateur!DW151*Calculateur!DY151*VLOOKUP('Données projet'!$B$14,Paramètres!$A$1:$I$89,3,0)*0.475*44/12</f>
        <v>20.270982666553707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78.898847525414453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375.89365709113105</v>
      </c>
      <c r="EP151" s="59">
        <f t="shared" si="154"/>
        <v>279.39056561403834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43.310345773758073</v>
      </c>
      <c r="EW151" s="21">
        <f>EXP(-LN(2)/25)*EW150+(1-EXP(-LN(2)/25))/(LN(2)/25)*Calculateur!ER151*Calculateur!ET151*VLOOKUP('Données projet'!$B$15,Paramètres!$A$1:$I$89,3,0)*0.475*44/12</f>
        <v>12.584355036188651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55.894700809946727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-1.1368683772161603E-13</v>
      </c>
      <c r="FF151" s="17">
        <f>FE151*VLOOKUP('Données projet'!$B$16,Paramètres!$A$1:$I$89,3,0)*VLOOKUP('Données projet'!$B$16,Paramètres!$A$1:$I$89,5,0)</f>
        <v>-6.7984728957526396E-14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319.29539841078537</v>
      </c>
      <c r="FK151" s="59">
        <f t="shared" si="156"/>
        <v>327.26871144121412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24.206968392297135</v>
      </c>
      <c r="FR151" s="21">
        <f>EXP(-LN(2)/25)*FR150+(1-EXP(-LN(2)/25))/(LN(2)/25)*Calculateur!FM151*Calculateur!FO151*VLOOKUP('Données projet'!$B$16,Paramètres!$A$1:$I$89,3,0)*0.475*44/12</f>
        <v>7.470189681781366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31.677158074078502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2.2737367544323206E-13</v>
      </c>
      <c r="GA151" s="17">
        <f>FZ151*VLOOKUP('Données projet'!$B$17,Paramètres!$A$1:$I$89,3,0)*VLOOKUP('Données projet'!$B$17,Paramètres!$A$1:$I$89,5,0)</f>
        <v>1.0049916454590858E-13</v>
      </c>
      <c r="GB151" s="13">
        <f t="shared" si="157"/>
        <v>1.5089081593838289E-12</v>
      </c>
      <c r="GC151" s="20">
        <f t="shared" si="133"/>
        <v>2.8030510891776262E-12</v>
      </c>
      <c r="GD151" s="59">
        <f t="shared" si="134"/>
        <v>286.06314124866708</v>
      </c>
      <c r="GE151" s="59">
        <f ca="1">AVERAGE(OFFSET($GD$3,0,0,'Données projet'!$E$17+1,1))-AVERAGE(OFFSET($H$3,0,0,'Données projet'!$E$17+1,1))</f>
        <v>342.89128067483233</v>
      </c>
      <c r="GF151" s="59">
        <f t="shared" si="158"/>
        <v>453.47615302202996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28.890230328264124</v>
      </c>
      <c r="GM151" s="21">
        <f>EXP(-LN(2)/25)*GM150+(1-EXP(-LN(2)/25))/(LN(2)/25)*Calculateur!GH151*Calculateur!GJ151*VLOOKUP('Données projet'!$B$17,Paramètres!$A$1:$I$89,3,0)*0.475*44/12</f>
        <v>10.234256817413044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39.124487145677165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68.01722034054481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>
        <f>GU151*VLOOKUP('Données projet'!$B$18,Paramètres!$A$1:$I$89,3,0)*VLOOKUP('Données projet'!$B$18,Paramètres!$A$1:$I$89,5,0)</f>
        <v>0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375.89365709113105</v>
      </c>
      <c r="HA151" s="59">
        <f t="shared" si="160"/>
        <v>279.39056561403834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43.310345773758073</v>
      </c>
      <c r="HH151" s="21">
        <f>EXP(-LN(2)/25)*HH150+(1-EXP(-LN(2)/25))/(LN(2)/25)*Calculateur!HC151*Calculateur!HE151*VLOOKUP('Données projet'!$B$18,Paramètres!$A$1:$I$89,3,0)*0.475*44/12</f>
        <v>12.584355036188651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55.894700809946727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178.09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406.11495600000046</v>
      </c>
      <c r="P152" s="13">
        <f t="shared" si="141"/>
        <v>93.015281926133852</v>
      </c>
      <c r="Q152" s="20">
        <f t="shared" si="108"/>
        <v>869.31849772135058</v>
      </c>
      <c r="R152" s="59">
        <f t="shared" si="109"/>
        <v>1155.5077605489694</v>
      </c>
      <c r="S152" s="59">
        <f ca="1">AVERAGE(OFFSET($R$3,0,0,'Données projet'!$E$9+1,1))-AVERAGE(OFFSET($H$3,0,0,'Données projet'!$E$9+1,1))</f>
        <v>631.31712308065664</v>
      </c>
      <c r="T152" s="59">
        <f t="shared" si="142"/>
        <v>290.92244624361285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62.775308934482787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62.775308934482787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-2.8421709430404007E-14</v>
      </c>
      <c r="AJ152" s="13">
        <f>AI152*VLOOKUP('Données projet'!$B$10,Paramètres!$A$1:$I$89,3,0)*VLOOKUP('Données projet'!$B$10,Paramètres!$A$1:$I$89,5,0)</f>
        <v>-2.3942448024172337E-14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401.19166052471473</v>
      </c>
      <c r="AO152" s="59">
        <f t="shared" si="144"/>
        <v>271.10067497534271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82.647705354077729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82.647705354077729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455.12883000000056</v>
      </c>
      <c r="BF152" s="13">
        <f t="shared" si="145"/>
        <v>102.86782883411858</v>
      </c>
      <c r="BG152" s="20">
        <f t="shared" si="115"/>
        <v>971.84418080275736</v>
      </c>
      <c r="BH152" s="59">
        <f t="shared" si="116"/>
        <v>1258.033443630376</v>
      </c>
      <c r="BI152" s="59">
        <f ca="1">AVERAGE(OFFSET($BH$3,0,0,'Données projet'!$E$11+1,1))-AVERAGE(OFFSET($H$3,0,0,'Données projet'!$E$11+1,1))</f>
        <v>695.93700574708214</v>
      </c>
      <c r="BJ152" s="59">
        <f t="shared" si="146"/>
        <v>318.31690229208471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70.351639323127273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70.351639323127273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1.7053025658242404E-13</v>
      </c>
      <c r="BZ152" s="13">
        <f>BY152*VLOOKUP('Données projet'!$B$12,Paramètres!$A$1:$I$89,3,0)*VLOOKUP('Données projet'!$B$12,Paramètres!$A$1:$I$89,5,0)</f>
        <v>1.1173142411280423E-13</v>
      </c>
      <c r="CA152" s="13">
        <f t="shared" si="147"/>
        <v>1.6569896290553793E-12</v>
      </c>
      <c r="CB152" s="20">
        <f t="shared" si="118"/>
        <v>3.0805225009345862E-12</v>
      </c>
      <c r="CC152" s="59">
        <f t="shared" si="119"/>
        <v>286.1892628276218</v>
      </c>
      <c r="CD152" s="59">
        <f ca="1">AVERAGE(OFFSET($CC$3,0,0,'Données projet'!$E$12+1,1))-AVERAGE(OFFSET($H$3,0,0,'Données projet'!$E$12+1,1))</f>
        <v>260.25859566735949</v>
      </c>
      <c r="CE152" s="59">
        <f t="shared" si="148"/>
        <v>256.93649773468667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17.182328232817394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17.182328232817394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1.7053025658242404E-13</v>
      </c>
      <c r="CU152" s="17">
        <f>CT152*VLOOKUP('Données projet'!$B$13,Paramètres!$A$1:$I$89,3,0)*VLOOKUP('Données projet'!$B$13,Paramètres!$A$1:$I$89,5,0)</f>
        <v>1.1173142411280423E-13</v>
      </c>
      <c r="CV152" s="13">
        <f t="shared" si="149"/>
        <v>1.6569896290553793E-12</v>
      </c>
      <c r="CW152" s="20">
        <f t="shared" si="121"/>
        <v>3.0805225009345862E-12</v>
      </c>
      <c r="CX152" s="59">
        <f t="shared" si="122"/>
        <v>286.1892628276218</v>
      </c>
      <c r="CY152" s="59">
        <f ca="1">AVERAGE(OFFSET($CX$3,0,0,'Données projet'!$E$13+1,1))-AVERAGE(OFFSET($H$3,0,0,'Données projet'!$E$13+1,1))</f>
        <v>260.25859566735949</v>
      </c>
      <c r="CZ152" s="59">
        <f t="shared" si="150"/>
        <v>256.93649773468667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17.182328232817394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17.182328232817394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-2.2737367544323206E-13</v>
      </c>
      <c r="DP152" s="17">
        <f>DO152*VLOOKUP('Données projet'!$B$14,Paramètres!$A$1:$I$89,3,0)*VLOOKUP('Données projet'!$B$14,Paramètres!$A$1:$I$89,5,0)</f>
        <v>-1.3005774235352875E-13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349.56396446903</v>
      </c>
      <c r="DU152" s="59">
        <f t="shared" si="152"/>
        <v>270.64279448634522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57.478208188445102</v>
      </c>
      <c r="EB152" s="21">
        <f>EXP(-LN(2)/25)*EB151+(1-EXP(-LN(2)/25))/(LN(2)/25)*Calculateur!DW152*Calculateur!DY152*VLOOKUP('Données projet'!$B$14,Paramètres!$A$1:$I$89,3,0)*0.475*44/12</f>
        <v>19.716671579532147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77.194879767977255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375.89365709113105</v>
      </c>
      <c r="EP152" s="59">
        <f t="shared" si="154"/>
        <v>279.39056561403834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42.461056309837168</v>
      </c>
      <c r="EW152" s="21">
        <f>EXP(-LN(2)/25)*EW151+(1-EXP(-LN(2)/25))/(LN(2)/25)*Calculateur!ER152*Calculateur!ET152*VLOOKUP('Données projet'!$B$15,Paramètres!$A$1:$I$89,3,0)*0.475*44/12</f>
        <v>12.240235185941602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54.701291495778769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-1.1368683772161603E-13</v>
      </c>
      <c r="FF152" s="17">
        <f>FE152*VLOOKUP('Données projet'!$B$16,Paramètres!$A$1:$I$89,3,0)*VLOOKUP('Données projet'!$B$16,Paramètres!$A$1:$I$89,5,0)</f>
        <v>-6.7984728957526396E-14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319.29539841078537</v>
      </c>
      <c r="FK152" s="59">
        <f t="shared" si="156"/>
        <v>327.26871144121412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23.732284506917004</v>
      </c>
      <c r="FR152" s="21">
        <f>EXP(-LN(2)/25)*FR151+(1-EXP(-LN(2)/25))/(LN(2)/25)*Calculateur!FM152*Calculateur!FO152*VLOOKUP('Données projet'!$B$16,Paramètres!$A$1:$I$89,3,0)*0.475*44/12</f>
        <v>7.2659169520928524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30.998201459009856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2.2737367544323206E-13</v>
      </c>
      <c r="GA152" s="17">
        <f>FZ152*VLOOKUP('Données projet'!$B$17,Paramètres!$A$1:$I$89,3,0)*VLOOKUP('Données projet'!$B$17,Paramètres!$A$1:$I$89,5,0)</f>
        <v>1.0049916454590858E-13</v>
      </c>
      <c r="GB152" s="13">
        <f t="shared" si="157"/>
        <v>1.5089081593838289E-12</v>
      </c>
      <c r="GC152" s="20">
        <f t="shared" si="133"/>
        <v>2.8030510891776262E-12</v>
      </c>
      <c r="GD152" s="59">
        <f t="shared" si="134"/>
        <v>286.18926282762152</v>
      </c>
      <c r="GE152" s="59">
        <f ca="1">AVERAGE(OFFSET($GD$3,0,0,'Données projet'!$E$17+1,1))-AVERAGE(OFFSET($H$3,0,0,'Données projet'!$E$17+1,1))</f>
        <v>342.89128067483233</v>
      </c>
      <c r="GF152" s="59">
        <f t="shared" si="158"/>
        <v>453.47615302202996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28.323710532827405</v>
      </c>
      <c r="GM152" s="21">
        <f>EXP(-LN(2)/25)*GM151+(1-EXP(-LN(2)/25))/(LN(2)/25)*Calculateur!GH152*Calculateur!GJ152*VLOOKUP('Données projet'!$B$17,Paramètres!$A$1:$I$89,3,0)*0.475*44/12</f>
        <v>9.9544005265447097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38.278111059372115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68.051617134805113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>
        <f>GU152*VLOOKUP('Données projet'!$B$18,Paramètres!$A$1:$I$89,3,0)*VLOOKUP('Données projet'!$B$18,Paramètres!$A$1:$I$89,5,0)</f>
        <v>0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375.89365709113105</v>
      </c>
      <c r="HA152" s="59">
        <f t="shared" si="160"/>
        <v>279.39056561403834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42.461056309837168</v>
      </c>
      <c r="HH152" s="21">
        <f>EXP(-LN(2)/25)*HH151+(1-EXP(-LN(2)/25))/(LN(2)/25)*Calculateur!HC152*Calculateur!HE152*VLOOKUP('Données projet'!$B$18,Paramètres!$A$1:$I$89,3,0)*0.475*44/12</f>
        <v>12.240235185941602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54.701291495778769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178.09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413.64741600000042</v>
      </c>
      <c r="P153" s="13">
        <f t="shared" si="141"/>
        <v>94.538043857309361</v>
      </c>
      <c r="Q153" s="20">
        <f t="shared" si="108"/>
        <v>885.0896759181478</v>
      </c>
      <c r="R153" s="59">
        <f t="shared" si="109"/>
        <v>1171.402872397292</v>
      </c>
      <c r="S153" s="59">
        <f ca="1">AVERAGE(OFFSET($R$3,0,0,'Données projet'!$E$9+1,1))-AVERAGE(OFFSET($H$3,0,0,'Données projet'!$E$9+1,1))</f>
        <v>631.31712308065664</v>
      </c>
      <c r="T153" s="59">
        <f t="shared" si="142"/>
        <v>290.92244624361285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61.544323415435287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61.544323415435287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-2.8421709430404007E-14</v>
      </c>
      <c r="AJ153" s="13">
        <f>AI153*VLOOKUP('Données projet'!$B$10,Paramètres!$A$1:$I$89,3,0)*VLOOKUP('Données projet'!$B$10,Paramètres!$A$1:$I$89,5,0)</f>
        <v>-2.3942448024172337E-14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401.19166052471473</v>
      </c>
      <c r="AO153" s="59">
        <f t="shared" si="144"/>
        <v>271.10067497534271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81.027034262206939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81.027034262206939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463.57038000000057</v>
      </c>
      <c r="BF153" s="13">
        <f t="shared" si="145"/>
        <v>104.55188773764013</v>
      </c>
      <c r="BG153" s="20">
        <f t="shared" si="115"/>
        <v>989.47961630972395</v>
      </c>
      <c r="BH153" s="59">
        <f t="shared" si="116"/>
        <v>1275.7928127888681</v>
      </c>
      <c r="BI153" s="59">
        <f ca="1">AVERAGE(OFFSET($BH$3,0,0,'Données projet'!$E$11+1,1))-AVERAGE(OFFSET($H$3,0,0,'Données projet'!$E$11+1,1))</f>
        <v>695.93700574708214</v>
      </c>
      <c r="BJ153" s="59">
        <f t="shared" si="146"/>
        <v>318.31690229208471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68.9720865862637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68.9720865862637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1.7053025658242404E-13</v>
      </c>
      <c r="BZ153" s="13">
        <f>BY153*VLOOKUP('Données projet'!$B$12,Paramètres!$A$1:$I$89,3,0)*VLOOKUP('Données projet'!$B$12,Paramètres!$A$1:$I$89,5,0)</f>
        <v>1.1173142411280423E-13</v>
      </c>
      <c r="CA153" s="13">
        <f t="shared" si="147"/>
        <v>1.6569896290553793E-12</v>
      </c>
      <c r="CB153" s="20">
        <f t="shared" si="118"/>
        <v>3.0805225009345862E-12</v>
      </c>
      <c r="CC153" s="59">
        <f t="shared" si="119"/>
        <v>286.31319647914711</v>
      </c>
      <c r="CD153" s="59">
        <f ca="1">AVERAGE(OFFSET($CC$3,0,0,'Données projet'!$E$12+1,1))-AVERAGE(OFFSET($H$3,0,0,'Données projet'!$E$12+1,1))</f>
        <v>260.25859566735949</v>
      </c>
      <c r="CE153" s="59">
        <f t="shared" si="148"/>
        <v>256.93649773468667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16.845393256357234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16.845393256357234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1.7053025658242404E-13</v>
      </c>
      <c r="CU153" s="17">
        <f>CT153*VLOOKUP('Données projet'!$B$13,Paramètres!$A$1:$I$89,3,0)*VLOOKUP('Données projet'!$B$13,Paramètres!$A$1:$I$89,5,0)</f>
        <v>1.1173142411280423E-13</v>
      </c>
      <c r="CV153" s="13">
        <f t="shared" si="149"/>
        <v>1.6569896290553793E-12</v>
      </c>
      <c r="CW153" s="20">
        <f t="shared" si="121"/>
        <v>3.0805225009345862E-12</v>
      </c>
      <c r="CX153" s="59">
        <f t="shared" si="122"/>
        <v>286.31319647914711</v>
      </c>
      <c r="CY153" s="59">
        <f ca="1">AVERAGE(OFFSET($CX$3,0,0,'Données projet'!$E$13+1,1))-AVERAGE(OFFSET($H$3,0,0,'Données projet'!$E$13+1,1))</f>
        <v>260.25859566735949</v>
      </c>
      <c r="CZ153" s="59">
        <f t="shared" si="150"/>
        <v>256.93649773468667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16.845393256357234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16.845393256357234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-2.2737367544323206E-13</v>
      </c>
      <c r="DP153" s="17">
        <f>DO153*VLOOKUP('Données projet'!$B$14,Paramètres!$A$1:$I$89,3,0)*VLOOKUP('Données projet'!$B$14,Paramètres!$A$1:$I$89,5,0)</f>
        <v>-1.3005774235352875E-13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349.56396446903</v>
      </c>
      <c r="DU153" s="59">
        <f t="shared" si="152"/>
        <v>270.64279448634522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56.351095584114972</v>
      </c>
      <c r="EB153" s="21">
        <f>EXP(-LN(2)/25)*EB152+(1-EXP(-LN(2)/25))/(LN(2)/25)*Calculateur!DW153*Calculateur!DY153*VLOOKUP('Données projet'!$B$14,Paramètres!$A$1:$I$89,3,0)*0.475*44/12</f>
        <v>19.177518158335143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75.528613742450119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375.89365709113105</v>
      </c>
      <c r="EP153" s="59">
        <f t="shared" si="154"/>
        <v>279.39056561403834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41.628420894288325</v>
      </c>
      <c r="EW153" s="21">
        <f>EXP(-LN(2)/25)*EW152+(1-EXP(-LN(2)/25))/(LN(2)/25)*Calculateur!ER153*Calculateur!ET153*VLOOKUP('Données projet'!$B$15,Paramètres!$A$1:$I$89,3,0)*0.475*44/12</f>
        <v>11.905525311096035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53.53394620538436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-1.1368683772161603E-13</v>
      </c>
      <c r="FF153" s="17">
        <f>FE153*VLOOKUP('Données projet'!$B$16,Paramètres!$A$1:$I$89,3,0)*VLOOKUP('Données projet'!$B$16,Paramètres!$A$1:$I$89,5,0)</f>
        <v>-6.7984728957526396E-14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319.29539841078537</v>
      </c>
      <c r="FK153" s="59">
        <f t="shared" si="156"/>
        <v>327.26871144121412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23.266908883000596</v>
      </c>
      <c r="FR153" s="21">
        <f>EXP(-LN(2)/25)*FR152+(1-EXP(-LN(2)/25))/(LN(2)/25)*Calculateur!FM153*Calculateur!FO153*VLOOKUP('Données projet'!$B$16,Paramètres!$A$1:$I$89,3,0)*0.475*44/12</f>
        <v>7.0672300709399076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30.334138953940503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2.2737367544323206E-13</v>
      </c>
      <c r="GA153" s="17">
        <f>FZ153*VLOOKUP('Données projet'!$B$17,Paramètres!$A$1:$I$89,3,0)*VLOOKUP('Données projet'!$B$17,Paramètres!$A$1:$I$89,5,0)</f>
        <v>1.0049916454590858E-13</v>
      </c>
      <c r="GB153" s="13">
        <f t="shared" si="157"/>
        <v>1.5089081593838289E-12</v>
      </c>
      <c r="GC153" s="20">
        <f t="shared" si="133"/>
        <v>2.8030510891776262E-12</v>
      </c>
      <c r="GD153" s="59">
        <f t="shared" si="134"/>
        <v>286.31319647914682</v>
      </c>
      <c r="GE153" s="59">
        <f ca="1">AVERAGE(OFFSET($GD$3,0,0,'Données projet'!$E$17+1,1))-AVERAGE(OFFSET($H$3,0,0,'Données projet'!$E$17+1,1))</f>
        <v>342.89128067483233</v>
      </c>
      <c r="GF153" s="59">
        <f t="shared" si="158"/>
        <v>453.47615302202996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27.768299845036246</v>
      </c>
      <c r="GM153" s="21">
        <f>EXP(-LN(2)/25)*GM152+(1-EXP(-LN(2)/25))/(LN(2)/25)*Calculateur!GH153*Calculateur!GJ153*VLOOKUP('Données projet'!$B$17,Paramètres!$A$1:$I$89,3,0)*0.475*44/12</f>
        <v>9.6821969206671721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37.45049676570342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68.085417221584734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>
        <f>GU153*VLOOKUP('Données projet'!$B$18,Paramètres!$A$1:$I$89,3,0)*VLOOKUP('Données projet'!$B$18,Paramètres!$A$1:$I$89,5,0)</f>
        <v>0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375.89365709113105</v>
      </c>
      <c r="HA153" s="59">
        <f t="shared" si="160"/>
        <v>279.39056561403834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41.628420894288325</v>
      </c>
      <c r="HH153" s="21">
        <f>EXP(-LN(2)/25)*HH152+(1-EXP(-LN(2)/25))/(LN(2)/25)*Calculateur!HC153*Calculateur!HE153*VLOOKUP('Données projet'!$B$18,Paramètres!$A$1:$I$89,3,0)*0.475*44/12</f>
        <v>11.905525311096035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53.53394620538436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178.09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421.17987600000043</v>
      </c>
      <c r="P154" s="13">
        <f t="shared" si="141"/>
        <v>96.057581330707137</v>
      </c>
      <c r="Q154" s="20">
        <f t="shared" ref="Q154:Q203" si="162">(O154+P154)*0.475*44/12</f>
        <v>900.85523818431557</v>
      </c>
      <c r="R154" s="59">
        <f t="shared" si="109"/>
        <v>1187.290218343205</v>
      </c>
      <c r="S154" s="59">
        <f ca="1">AVERAGE(OFFSET($R$3,0,0,'Données projet'!$E$9+1,1))-AVERAGE(OFFSET($H$3,0,0,'Données projet'!$E$9+1,1))</f>
        <v>631.31712308065664</v>
      </c>
      <c r="T154" s="59">
        <f t="shared" si="142"/>
        <v>290.92244624361285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60.33747677158928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60.33747677158928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-2.8421709430404007E-14</v>
      </c>
      <c r="AJ154" s="13">
        <f>AI154*VLOOKUP('Données projet'!$B$10,Paramètres!$A$1:$I$89,3,0)*VLOOKUP('Données projet'!$B$10,Paramètres!$A$1:$I$89,5,0)</f>
        <v>-2.3942448024172337E-14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401.19166052471473</v>
      </c>
      <c r="AO154" s="59">
        <f t="shared" si="144"/>
        <v>271.10067497534271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79.438143541935986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79.438143541935986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472.01193000000058</v>
      </c>
      <c r="BF154" s="13">
        <f t="shared" ref="BF154:BF203" si="167">EXP(-1.0587+0.8836*LN(BE154)+0.284)</f>
        <v>106.23238063605056</v>
      </c>
      <c r="BG154" s="20">
        <f t="shared" ref="BG154:BG203" si="168">(BE154+BF154)*0.475*44/12</f>
        <v>1007.108841024456</v>
      </c>
      <c r="BH154" s="59">
        <f t="shared" si="116"/>
        <v>1293.5438211833455</v>
      </c>
      <c r="BI154" s="59">
        <f ca="1">AVERAGE(OFFSET($BH$3,0,0,'Données projet'!$E$11+1,1))-AVERAGE(OFFSET($H$3,0,0,'Données projet'!$E$11+1,1))</f>
        <v>695.93700574708214</v>
      </c>
      <c r="BJ154" s="59">
        <f t="shared" si="146"/>
        <v>318.31690229208471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67.619586037125941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67.619586037125941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1.7053025658242404E-13</v>
      </c>
      <c r="BZ154" s="13">
        <f>BY154*VLOOKUP('Données projet'!$B$12,Paramètres!$A$1:$I$89,3,0)*VLOOKUP('Données projet'!$B$12,Paramètres!$A$1:$I$89,5,0)</f>
        <v>1.1173142411280423E-13</v>
      </c>
      <c r="CA154" s="13">
        <f t="shared" ref="CA154:CA203" si="170">EXP(-1.0587+0.8836*LN(BZ154)+0.284)</f>
        <v>1.6569896290553793E-12</v>
      </c>
      <c r="CB154" s="20">
        <f t="shared" ref="CB154:CB203" si="171">(BZ154+CA154)*0.475*44/12</f>
        <v>3.0805225009345862E-12</v>
      </c>
      <c r="CC154" s="59">
        <f t="shared" si="119"/>
        <v>286.43498015889253</v>
      </c>
      <c r="CD154" s="59">
        <f ca="1">AVERAGE(OFFSET($CC$3,0,0,'Données projet'!$E$12+1,1))-AVERAGE(OFFSET($H$3,0,0,'Données projet'!$E$12+1,1))</f>
        <v>260.25859566735949</v>
      </c>
      <c r="CE154" s="59">
        <f t="shared" si="148"/>
        <v>256.93649773468667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16.515065369275415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16.515065369275415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1.7053025658242404E-13</v>
      </c>
      <c r="CU154" s="17">
        <f>CT154*VLOOKUP('Données projet'!$B$13,Paramètres!$A$1:$I$89,3,0)*VLOOKUP('Données projet'!$B$13,Paramètres!$A$1:$I$89,5,0)</f>
        <v>1.1173142411280423E-13</v>
      </c>
      <c r="CV154" s="13">
        <f t="shared" ref="CV154:CV203" si="173">EXP(-1.0587+0.8836*LN(CU154)+0.284)</f>
        <v>1.6569896290553793E-12</v>
      </c>
      <c r="CW154" s="20">
        <f t="shared" ref="CW154:CW203" si="174">(CU154+CV154)*0.475*44/12</f>
        <v>3.0805225009345862E-12</v>
      </c>
      <c r="CX154" s="59">
        <f t="shared" si="122"/>
        <v>286.43498015889253</v>
      </c>
      <c r="CY154" s="59">
        <f ca="1">AVERAGE(OFFSET($CX$3,0,0,'Données projet'!$E$13+1,1))-AVERAGE(OFFSET($H$3,0,0,'Données projet'!$E$13+1,1))</f>
        <v>260.25859566735949</v>
      </c>
      <c r="CZ154" s="59">
        <f t="shared" si="150"/>
        <v>256.93649773468667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16.515065369275415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16.515065369275415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-2.2737367544323206E-13</v>
      </c>
      <c r="DP154" s="17">
        <f>DO154*VLOOKUP('Données projet'!$B$14,Paramètres!$A$1:$I$89,3,0)*VLOOKUP('Données projet'!$B$14,Paramètres!$A$1:$I$89,5,0)</f>
        <v>-1.3005774235352875E-13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349.56396446903</v>
      </c>
      <c r="DU154" s="59">
        <f t="shared" si="152"/>
        <v>270.64279448634522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55.246084970484951</v>
      </c>
      <c r="EB154" s="21">
        <f>EXP(-LN(2)/25)*EB153+(1-EXP(-LN(2)/25))/(LN(2)/25)*Calculateur!DW154*Calculateur!DY154*VLOOKUP('Données projet'!$B$14,Paramètres!$A$1:$I$89,3,0)*0.475*44/12</f>
        <v>18.653107915793619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73.89919288627857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375.89365709113105</v>
      </c>
      <c r="EP154" s="59">
        <f t="shared" si="154"/>
        <v>279.39056561403834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40.812112951380939</v>
      </c>
      <c r="EW154" s="21">
        <f>EXP(-LN(2)/25)*EW153+(1-EXP(-LN(2)/25))/(LN(2)/25)*Calculateur!ER154*Calculateur!ET154*VLOOKUP('Données projet'!$B$15,Paramètres!$A$1:$I$89,3,0)*0.475*44/12</f>
        <v>11.579968095379748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52.392081046760687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-1.1368683772161603E-13</v>
      </c>
      <c r="FF154" s="17">
        <f>FE154*VLOOKUP('Données projet'!$B$16,Paramètres!$A$1:$I$89,3,0)*VLOOKUP('Données projet'!$B$16,Paramètres!$A$1:$I$89,5,0)</f>
        <v>-6.7984728957526396E-14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319.29539841078537</v>
      </c>
      <c r="FK154" s="59">
        <f t="shared" si="156"/>
        <v>327.26871144121412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22.810658991218087</v>
      </c>
      <c r="FR154" s="21">
        <f>EXP(-LN(2)/25)*FR153+(1-EXP(-LN(2)/25))/(LN(2)/25)*Calculateur!FM154*Calculateur!FO154*VLOOKUP('Données projet'!$B$16,Paramètres!$A$1:$I$89,3,0)*0.475*44/12</f>
        <v>6.8739762930005792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29.684635284218665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2.2737367544323206E-13</v>
      </c>
      <c r="GA154" s="17">
        <f>FZ154*VLOOKUP('Données projet'!$B$17,Paramètres!$A$1:$I$89,3,0)*VLOOKUP('Données projet'!$B$17,Paramètres!$A$1:$I$89,5,0)</f>
        <v>1.0049916454590858E-13</v>
      </c>
      <c r="GB154" s="13">
        <f t="shared" ref="GB154:GB203" si="185">EXP(-1.0587+0.8836*LN(GA154)+0.284)</f>
        <v>1.5089081593838289E-12</v>
      </c>
      <c r="GC154" s="20">
        <f t="shared" ref="GC154:GC203" si="186">(GA154+GB154)*0.475*44/12</f>
        <v>2.8030510891776262E-12</v>
      </c>
      <c r="GD154" s="59">
        <f t="shared" si="134"/>
        <v>286.43498015889224</v>
      </c>
      <c r="GE154" s="59">
        <f ca="1">AVERAGE(OFFSET($GD$3,0,0,'Données projet'!$E$17+1,1))-AVERAGE(OFFSET($H$3,0,0,'Données projet'!$E$17+1,1))</f>
        <v>342.89128067483233</v>
      </c>
      <c r="GF154" s="59">
        <f t="shared" si="158"/>
        <v>453.47615302202996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27.223780422065602</v>
      </c>
      <c r="GM154" s="21">
        <f>EXP(-LN(2)/25)*GM153+(1-EXP(-LN(2)/25))/(LN(2)/25)*Calculateur!GH154*Calculateur!GJ154*VLOOKUP('Données projet'!$B$17,Paramètres!$A$1:$I$89,3,0)*0.475*44/12</f>
        <v>9.4174367367069216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36.64121715877252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68.118630952424397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>
        <f>GU154*VLOOKUP('Données projet'!$B$18,Paramètres!$A$1:$I$89,3,0)*VLOOKUP('Données projet'!$B$18,Paramètres!$A$1:$I$89,5,0)</f>
        <v>0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375.89365709113105</v>
      </c>
      <c r="HA154" s="59">
        <f t="shared" si="160"/>
        <v>279.39056561403834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40.812112951380939</v>
      </c>
      <c r="HH154" s="21">
        <f>EXP(-LN(2)/25)*HH153+(1-EXP(-LN(2)/25))/(LN(2)/25)*Calculateur!HC154*Calculateur!HE154*VLOOKUP('Données projet'!$B$18,Paramètres!$A$1:$I$89,3,0)*0.475*44/12</f>
        <v>11.579968095379748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52.392081046760687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178.09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428.71233600000051</v>
      </c>
      <c r="P155" s="13">
        <f t="shared" si="141"/>
        <v>97.57395866550209</v>
      </c>
      <c r="Q155" s="20">
        <f t="shared" si="162"/>
        <v>916.61529654241701</v>
      </c>
      <c r="R155" s="59">
        <f t="shared" si="109"/>
        <v>1203.1699477064758</v>
      </c>
      <c r="S155" s="59">
        <f ca="1">AVERAGE(OFFSET($R$3,0,0,'Données projet'!$E$9+1,1))-AVERAGE(OFFSET($H$3,0,0,'Données projet'!$E$9+1,1))</f>
        <v>631.31712308065664</v>
      </c>
      <c r="T155" s="59">
        <f t="shared" si="142"/>
        <v>290.92244624361285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59.154295654325324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59.154295654325324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-2.8421709430404007E-14</v>
      </c>
      <c r="AJ155" s="13">
        <f>AI155*VLOOKUP('Données projet'!$B$10,Paramètres!$A$1:$I$89,3,0)*VLOOKUP('Données projet'!$B$10,Paramètres!$A$1:$I$89,5,0)</f>
        <v>-2.3942448024172337E-14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401.19166052471473</v>
      </c>
      <c r="AO155" s="59">
        <f t="shared" si="144"/>
        <v>271.10067497534271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77.880409999561891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77.880409999561891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480.45348000000058</v>
      </c>
      <c r="BF155" s="13">
        <f t="shared" si="167"/>
        <v>107.90937866146631</v>
      </c>
      <c r="BG155" s="20">
        <f t="shared" si="168"/>
        <v>1024.7319788353882</v>
      </c>
      <c r="BH155" s="59">
        <f t="shared" si="116"/>
        <v>1311.2866299994471</v>
      </c>
      <c r="BI155" s="59">
        <f ca="1">AVERAGE(OFFSET($BH$3,0,0,'Données projet'!$E$11+1,1))-AVERAGE(OFFSET($H$3,0,0,'Données projet'!$E$11+1,1))</f>
        <v>695.93700574708214</v>
      </c>
      <c r="BJ155" s="59">
        <f t="shared" si="146"/>
        <v>318.31690229208471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66.293607198812893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66.293607198812893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1.7053025658242404E-13</v>
      </c>
      <c r="BZ155" s="13">
        <f>BY155*VLOOKUP('Données projet'!$B$12,Paramètres!$A$1:$I$89,3,0)*VLOOKUP('Données projet'!$B$12,Paramètres!$A$1:$I$89,5,0)</f>
        <v>1.1173142411280423E-13</v>
      </c>
      <c r="CA155" s="13">
        <f t="shared" si="170"/>
        <v>1.6569896290553793E-12</v>
      </c>
      <c r="CB155" s="20">
        <f t="shared" si="171"/>
        <v>3.0805225009345862E-12</v>
      </c>
      <c r="CC155" s="59">
        <f t="shared" si="119"/>
        <v>286.55465116406185</v>
      </c>
      <c r="CD155" s="59">
        <f ca="1">AVERAGE(OFFSET($CC$3,0,0,'Données projet'!$E$12+1,1))-AVERAGE(OFFSET($H$3,0,0,'Données projet'!$E$12+1,1))</f>
        <v>260.25859566735949</v>
      </c>
      <c r="CE155" s="59">
        <f t="shared" si="148"/>
        <v>256.93649773468667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16.191215010579153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16.191215010579153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1.7053025658242404E-13</v>
      </c>
      <c r="CU155" s="17">
        <f>CT155*VLOOKUP('Données projet'!$B$13,Paramètres!$A$1:$I$89,3,0)*VLOOKUP('Données projet'!$B$13,Paramètres!$A$1:$I$89,5,0)</f>
        <v>1.1173142411280423E-13</v>
      </c>
      <c r="CV155" s="13">
        <f t="shared" si="173"/>
        <v>1.6569896290553793E-12</v>
      </c>
      <c r="CW155" s="20">
        <f t="shared" si="174"/>
        <v>3.0805225009345862E-12</v>
      </c>
      <c r="CX155" s="59">
        <f t="shared" si="122"/>
        <v>286.55465116406185</v>
      </c>
      <c r="CY155" s="59">
        <f ca="1">AVERAGE(OFFSET($CX$3,0,0,'Données projet'!$E$13+1,1))-AVERAGE(OFFSET($H$3,0,0,'Données projet'!$E$13+1,1))</f>
        <v>260.25859566735949</v>
      </c>
      <c r="CZ155" s="59">
        <f t="shared" si="150"/>
        <v>256.93649773468667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16.191215010579153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16.191215010579153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-2.2737367544323206E-13</v>
      </c>
      <c r="DP155" s="17">
        <f>DO155*VLOOKUP('Données projet'!$B$14,Paramètres!$A$1:$I$89,3,0)*VLOOKUP('Données projet'!$B$14,Paramètres!$A$1:$I$89,5,0)</f>
        <v>-1.3005774235352875E-13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349.56396446903</v>
      </c>
      <c r="DU155" s="59">
        <f t="shared" si="152"/>
        <v>270.64279448634522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54.162742940998292</v>
      </c>
      <c r="EB155" s="21">
        <f>EXP(-LN(2)/25)*EB154+(1-EXP(-LN(2)/25))/(LN(2)/25)*Calculateur!DW155*Calculateur!DY155*VLOOKUP('Données projet'!$B$14,Paramètres!$A$1:$I$89,3,0)*0.475*44/12</f>
        <v>18.143037698911929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72.305780639910225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375.89365709113105</v>
      </c>
      <c r="EP155" s="59">
        <f t="shared" si="154"/>
        <v>279.39056561403834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40.011812309335284</v>
      </c>
      <c r="EW155" s="21">
        <f>EXP(-LN(2)/25)*EW154+(1-EXP(-LN(2)/25))/(LN(2)/25)*Calculateur!ER155*Calculateur!ET155*VLOOKUP('Données projet'!$B$15,Paramètres!$A$1:$I$89,3,0)*0.475*44/12</f>
        <v>11.263313258847532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51.275125568182816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-1.1368683772161603E-13</v>
      </c>
      <c r="FF155" s="17">
        <f>FE155*VLOOKUP('Données projet'!$B$16,Paramètres!$A$1:$I$89,3,0)*VLOOKUP('Données projet'!$B$16,Paramètres!$A$1:$I$89,5,0)</f>
        <v>-6.7984728957526396E-14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319.29539841078537</v>
      </c>
      <c r="FK155" s="59">
        <f t="shared" si="156"/>
        <v>327.26871144121412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22.363355881528477</v>
      </c>
      <c r="FR155" s="21">
        <f>EXP(-LN(2)/25)*FR154+(1-EXP(-LN(2)/25))/(LN(2)/25)*Calculateur!FM155*Calculateur!FO155*VLOOKUP('Données projet'!$B$16,Paramètres!$A$1:$I$89,3,0)*0.475*44/12</f>
        <v>6.6860070497817761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29.049362931310252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2.2737367544323206E-13</v>
      </c>
      <c r="GA155" s="17">
        <f>FZ155*VLOOKUP('Données projet'!$B$17,Paramètres!$A$1:$I$89,3,0)*VLOOKUP('Données projet'!$B$17,Paramètres!$A$1:$I$89,5,0)</f>
        <v>1.0049916454590858E-13</v>
      </c>
      <c r="GB155" s="13">
        <f t="shared" si="185"/>
        <v>1.5089081593838289E-12</v>
      </c>
      <c r="GC155" s="20">
        <f t="shared" si="186"/>
        <v>2.8030510891776262E-12</v>
      </c>
      <c r="GD155" s="59">
        <f t="shared" si="134"/>
        <v>286.55465116406157</v>
      </c>
      <c r="GE155" s="59">
        <f ca="1">AVERAGE(OFFSET($GD$3,0,0,'Données projet'!$E$17+1,1))-AVERAGE(OFFSET($H$3,0,0,'Données projet'!$E$17+1,1))</f>
        <v>342.89128067483233</v>
      </c>
      <c r="GF155" s="59">
        <f t="shared" si="158"/>
        <v>453.47615302202996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26.689938692855357</v>
      </c>
      <c r="GM155" s="21">
        <f>EXP(-LN(2)/25)*GM154+(1-EXP(-LN(2)/25))/(LN(2)/25)*Calculateur!GH155*Calculateur!GJ155*VLOOKUP('Données projet'!$B$17,Paramètres!$A$1:$I$89,3,0)*0.475*44/12</f>
        <v>9.1599164339001966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35.849855126755557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68.151268499288761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>
        <f>GU155*VLOOKUP('Données projet'!$B$18,Paramètres!$A$1:$I$89,3,0)*VLOOKUP('Données projet'!$B$18,Paramètres!$A$1:$I$89,5,0)</f>
        <v>0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375.89365709113105</v>
      </c>
      <c r="HA155" s="59">
        <f t="shared" si="160"/>
        <v>279.39056561403834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40.011812309335284</v>
      </c>
      <c r="HH155" s="21">
        <f>EXP(-LN(2)/25)*HH154+(1-EXP(-LN(2)/25))/(LN(2)/25)*Calculateur!HC155*Calculateur!HE155*VLOOKUP('Données projet'!$B$18,Paramètres!$A$1:$I$89,3,0)*0.475*44/12</f>
        <v>11.263313258847532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51.275125568182816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178.09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436.24479600000041</v>
      </c>
      <c r="P156" s="13">
        <f t="shared" si="141"/>
        <v>99.087237791231857</v>
      </c>
      <c r="Q156" s="20">
        <f t="shared" si="162"/>
        <v>932.36995885306271</v>
      </c>
      <c r="R156" s="59">
        <f t="shared" si="109"/>
        <v>1219.0422049978954</v>
      </c>
      <c r="S156" s="59">
        <f ca="1">AVERAGE(OFFSET($R$3,0,0,'Données projet'!$E$9+1,1))-AVERAGE(OFFSET($H$3,0,0,'Données projet'!$E$9+1,1))</f>
        <v>631.31712308065664</v>
      </c>
      <c r="T156" s="59">
        <f t="shared" si="142"/>
        <v>290.92244624361285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57.994315997101694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57.994315997101694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-2.8421709430404007E-14</v>
      </c>
      <c r="AJ156" s="13">
        <f>AI156*VLOOKUP('Données projet'!$B$10,Paramètres!$A$1:$I$89,3,0)*VLOOKUP('Données projet'!$B$10,Paramètres!$A$1:$I$89,5,0)</f>
        <v>-2.3942448024172337E-14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401.19166052471473</v>
      </c>
      <c r="AO156" s="59">
        <f t="shared" si="144"/>
        <v>271.10067497534271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76.353222661830117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76.353222661830117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488.89503000000053</v>
      </c>
      <c r="BF156" s="13">
        <f t="shared" si="167"/>
        <v>109.582950303247</v>
      </c>
      <c r="BG156" s="20">
        <f t="shared" si="168"/>
        <v>1042.349149028156</v>
      </c>
      <c r="BH156" s="59">
        <f t="shared" si="116"/>
        <v>1329.0213951729888</v>
      </c>
      <c r="BI156" s="59">
        <f ca="1">AVERAGE(OFFSET($BH$3,0,0,'Données projet'!$E$11+1,1))-AVERAGE(OFFSET($H$3,0,0,'Données projet'!$E$11+1,1))</f>
        <v>695.93700574708214</v>
      </c>
      <c r="BJ156" s="59">
        <f t="shared" si="146"/>
        <v>318.31690229208471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64.993629996751935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64.993629996751935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1.7053025658242404E-13</v>
      </c>
      <c r="BZ156" s="13">
        <f>BY156*VLOOKUP('Données projet'!$B$12,Paramètres!$A$1:$I$89,3,0)*VLOOKUP('Données projet'!$B$12,Paramètres!$A$1:$I$89,5,0)</f>
        <v>1.1173142411280423E-13</v>
      </c>
      <c r="CA156" s="13">
        <f t="shared" si="170"/>
        <v>1.6569896290553793E-12</v>
      </c>
      <c r="CB156" s="20">
        <f t="shared" si="171"/>
        <v>3.0805225009345862E-12</v>
      </c>
      <c r="CC156" s="59">
        <f t="shared" si="119"/>
        <v>286.67224614483581</v>
      </c>
      <c r="CD156" s="59">
        <f ca="1">AVERAGE(OFFSET($CC$3,0,0,'Données projet'!$E$12+1,1))-AVERAGE(OFFSET($H$3,0,0,'Données projet'!$E$12+1,1))</f>
        <v>260.25859566735949</v>
      </c>
      <c r="CE156" s="59">
        <f t="shared" si="148"/>
        <v>256.93649773468667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15.873715159887711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15.873715159887711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1.7053025658242404E-13</v>
      </c>
      <c r="CU156" s="17">
        <f>CT156*VLOOKUP('Données projet'!$B$13,Paramètres!$A$1:$I$89,3,0)*VLOOKUP('Données projet'!$B$13,Paramètres!$A$1:$I$89,5,0)</f>
        <v>1.1173142411280423E-13</v>
      </c>
      <c r="CV156" s="13">
        <f t="shared" si="173"/>
        <v>1.6569896290553793E-12</v>
      </c>
      <c r="CW156" s="20">
        <f t="shared" si="174"/>
        <v>3.0805225009345862E-12</v>
      </c>
      <c r="CX156" s="59">
        <f t="shared" si="122"/>
        <v>286.67224614483581</v>
      </c>
      <c r="CY156" s="59">
        <f ca="1">AVERAGE(OFFSET($CX$3,0,0,'Données projet'!$E$13+1,1))-AVERAGE(OFFSET($H$3,0,0,'Données projet'!$E$13+1,1))</f>
        <v>260.25859566735949</v>
      </c>
      <c r="CZ156" s="59">
        <f t="shared" si="150"/>
        <v>256.93649773468667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15.873715159887711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15.873715159887711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-2.2737367544323206E-13</v>
      </c>
      <c r="DP156" s="17">
        <f>DO156*VLOOKUP('Données projet'!$B$14,Paramètres!$A$1:$I$89,3,0)*VLOOKUP('Données projet'!$B$14,Paramètres!$A$1:$I$89,5,0)</f>
        <v>-1.3005774235352875E-13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349.56396446903</v>
      </c>
      <c r="DU156" s="59">
        <f t="shared" si="152"/>
        <v>270.64279448634522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53.100644587936472</v>
      </c>
      <c r="EB156" s="21">
        <f>EXP(-LN(2)/25)*EB155+(1-EXP(-LN(2)/25))/(LN(2)/25)*Calculateur!DW156*Calculateur!DY156*VLOOKUP('Données projet'!$B$14,Paramètres!$A$1:$I$89,3,0)*0.475*44/12</f>
        <v>17.646915378934295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70.747559966870767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375.89365709113105</v>
      </c>
      <c r="EP156" s="59">
        <f t="shared" si="154"/>
        <v>279.39056561403834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39.227205074744951</v>
      </c>
      <c r="EW156" s="21">
        <f>EXP(-LN(2)/25)*EW155+(1-EXP(-LN(2)/25))/(LN(2)/25)*Calculateur!ER156*Calculateur!ET156*VLOOKUP('Données projet'!$B$15,Paramètres!$A$1:$I$89,3,0)*0.475*44/12</f>
        <v>10.955317365472444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50.182522440217397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-1.1368683772161603E-13</v>
      </c>
      <c r="FF156" s="17">
        <f>FE156*VLOOKUP('Données projet'!$B$16,Paramètres!$A$1:$I$89,3,0)*VLOOKUP('Données projet'!$B$16,Paramètres!$A$1:$I$89,5,0)</f>
        <v>-6.7984728957526396E-14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319.29539841078537</v>
      </c>
      <c r="FK156" s="59">
        <f t="shared" si="156"/>
        <v>327.26871144121412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21.924824112991924</v>
      </c>
      <c r="FR156" s="21">
        <f>EXP(-LN(2)/25)*FR155+(1-EXP(-LN(2)/25))/(LN(2)/25)*Calculateur!FM156*Calculateur!FO156*VLOOKUP('Données projet'!$B$16,Paramètres!$A$1:$I$89,3,0)*0.475*44/12</f>
        <v>6.5031778354036636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28.42800194839559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2.2737367544323206E-13</v>
      </c>
      <c r="GA156" s="17">
        <f>FZ156*VLOOKUP('Données projet'!$B$17,Paramètres!$A$1:$I$89,3,0)*VLOOKUP('Données projet'!$B$17,Paramètres!$A$1:$I$89,5,0)</f>
        <v>1.0049916454590858E-13</v>
      </c>
      <c r="GB156" s="13">
        <f t="shared" si="185"/>
        <v>1.5089081593838289E-12</v>
      </c>
      <c r="GC156" s="20">
        <f t="shared" si="186"/>
        <v>2.8030510891776262E-12</v>
      </c>
      <c r="GD156" s="59">
        <f t="shared" si="134"/>
        <v>286.67224614483553</v>
      </c>
      <c r="GE156" s="59">
        <f ca="1">AVERAGE(OFFSET($GD$3,0,0,'Données projet'!$E$17+1,1))-AVERAGE(OFFSET($H$3,0,0,'Données projet'!$E$17+1,1))</f>
        <v>342.89128067483233</v>
      </c>
      <c r="GF156" s="59">
        <f t="shared" si="158"/>
        <v>453.47615302202996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26.166565274343622</v>
      </c>
      <c r="GM156" s="21">
        <f>EXP(-LN(2)/25)*GM155+(1-EXP(-LN(2)/25))/(LN(2)/25)*Calculateur!GH156*Calculateur!GJ156*VLOOKUP('Données projet'!$B$17,Paramètres!$A$1:$I$89,3,0)*0.475*44/12</f>
        <v>8.909438037316125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35.076003311659747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68.183339857681659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>
        <f>GU156*VLOOKUP('Données projet'!$B$18,Paramètres!$A$1:$I$89,3,0)*VLOOKUP('Données projet'!$B$18,Paramètres!$A$1:$I$89,5,0)</f>
        <v>0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375.89365709113105</v>
      </c>
      <c r="HA156" s="59">
        <f t="shared" si="160"/>
        <v>279.39056561403834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39.227205074744951</v>
      </c>
      <c r="HH156" s="21">
        <f>EXP(-LN(2)/25)*HH155+(1-EXP(-LN(2)/25))/(LN(2)/25)*Calculateur!HC156*Calculateur!HE156*VLOOKUP('Données projet'!$B$18,Paramètres!$A$1:$I$89,3,0)*0.475*44/12</f>
        <v>10.955317365472444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50.182522440217397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178.09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443.77725600000048</v>
      </c>
      <c r="P157" s="13">
        <f t="shared" si="141"/>
        <v>100.59747837627934</v>
      </c>
      <c r="Q157" s="20">
        <f t="shared" si="162"/>
        <v>948.11932903868717</v>
      </c>
      <c r="R157" s="59">
        <f t="shared" si="109"/>
        <v>1234.9071301542804</v>
      </c>
      <c r="S157" s="59">
        <f ca="1">AVERAGE(OFFSET($R$3,0,0,'Données projet'!$E$9+1,1))-AVERAGE(OFFSET($H$3,0,0,'Données projet'!$E$9+1,1))</f>
        <v>631.31712308065664</v>
      </c>
      <c r="T157" s="59">
        <f t="shared" si="142"/>
        <v>290.92244624361285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71.083888549708462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71.083888549708462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-2.8421709430404007E-14</v>
      </c>
      <c r="AJ157" s="13">
        <f>AI157*VLOOKUP('Données projet'!$B$10,Paramètres!$A$1:$I$89,3,0)*VLOOKUP('Données projet'!$B$10,Paramètres!$A$1:$I$89,5,0)</f>
        <v>-2.3942448024172337E-14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401.19166052471473</v>
      </c>
      <c r="AO157" s="59">
        <f t="shared" si="144"/>
        <v>271.10067497534271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74.855982536298967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74.855982536298967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497.33658000000054</v>
      </c>
      <c r="BF157" s="13">
        <f t="shared" si="167"/>
        <v>111.2531615500869</v>
      </c>
      <c r="BG157" s="20">
        <f t="shared" si="168"/>
        <v>1059.9604665330687</v>
      </c>
      <c r="BH157" s="59">
        <f t="shared" si="116"/>
        <v>1346.748267648662</v>
      </c>
      <c r="BI157" s="59">
        <f ca="1">AVERAGE(OFFSET($BH$3,0,0,'Données projet'!$E$11+1,1))-AVERAGE(OFFSET($H$3,0,0,'Données projet'!$E$11+1,1))</f>
        <v>695.93700574708214</v>
      </c>
      <c r="BJ157" s="59">
        <f t="shared" si="146"/>
        <v>318.31690229208471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79.662978547087107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79.662978547087107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1.7053025658242404E-13</v>
      </c>
      <c r="BZ157" s="13">
        <f>BY157*VLOOKUP('Données projet'!$B$12,Paramètres!$A$1:$I$89,3,0)*VLOOKUP('Données projet'!$B$12,Paramètres!$A$1:$I$89,5,0)</f>
        <v>1.1173142411280423E-13</v>
      </c>
      <c r="CA157" s="13">
        <f t="shared" si="170"/>
        <v>1.6569896290553793E-12</v>
      </c>
      <c r="CB157" s="20">
        <f t="shared" si="171"/>
        <v>3.0805225009345862E-12</v>
      </c>
      <c r="CC157" s="59">
        <f t="shared" si="119"/>
        <v>286.78780111559632</v>
      </c>
      <c r="CD157" s="59">
        <f ca="1">AVERAGE(OFFSET($CC$3,0,0,'Données projet'!$E$12+1,1))-AVERAGE(OFFSET($H$3,0,0,'Données projet'!$E$12+1,1))</f>
        <v>260.25859566735949</v>
      </c>
      <c r="CE157" s="59">
        <f t="shared" si="148"/>
        <v>256.93649773468667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15.562441287612542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15.562441287612542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1.7053025658242404E-13</v>
      </c>
      <c r="CU157" s="17">
        <f>CT157*VLOOKUP('Données projet'!$B$13,Paramètres!$A$1:$I$89,3,0)*VLOOKUP('Données projet'!$B$13,Paramètres!$A$1:$I$89,5,0)</f>
        <v>1.1173142411280423E-13</v>
      </c>
      <c r="CV157" s="13">
        <f t="shared" si="173"/>
        <v>1.6569896290553793E-12</v>
      </c>
      <c r="CW157" s="20">
        <f t="shared" si="174"/>
        <v>3.0805225009345862E-12</v>
      </c>
      <c r="CX157" s="59">
        <f t="shared" si="122"/>
        <v>286.78780111559632</v>
      </c>
      <c r="CY157" s="59">
        <f ca="1">AVERAGE(OFFSET($CX$3,0,0,'Données projet'!$E$13+1,1))-AVERAGE(OFFSET($H$3,0,0,'Données projet'!$E$13+1,1))</f>
        <v>260.25859566735949</v>
      </c>
      <c r="CZ157" s="59">
        <f t="shared" si="150"/>
        <v>256.93649773468667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15.562441287612542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15.562441287612542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-2.2737367544323206E-13</v>
      </c>
      <c r="DP157" s="17">
        <f>DO157*VLOOKUP('Données projet'!$B$14,Paramètres!$A$1:$I$89,3,0)*VLOOKUP('Données projet'!$B$14,Paramètres!$A$1:$I$89,5,0)</f>
        <v>-1.3005774235352875E-13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349.56396446903</v>
      </c>
      <c r="DU157" s="59">
        <f t="shared" si="152"/>
        <v>270.64279448634522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52.059373335762167</v>
      </c>
      <c r="EB157" s="21">
        <f>EXP(-LN(2)/25)*EB156+(1-EXP(-LN(2)/25))/(LN(2)/25)*Calculateur!DW157*Calculateur!DY157*VLOOKUP('Données projet'!$B$14,Paramètres!$A$1:$I$89,3,0)*0.475*44/12</f>
        <v>17.164359549886388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69.223732885648559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375.89365709113105</v>
      </c>
      <c r="EP157" s="59">
        <f t="shared" si="154"/>
        <v>279.39056561403834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38.457983509461776</v>
      </c>
      <c r="EW157" s="21">
        <f>EXP(-LN(2)/25)*EW156+(1-EXP(-LN(2)/25))/(LN(2)/25)*Calculateur!ER157*Calculateur!ET157*VLOOKUP('Données projet'!$B$15,Paramètres!$A$1:$I$89,3,0)*0.475*44/12</f>
        <v>10.655743635998499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49.113727145460274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-1.1368683772161603E-13</v>
      </c>
      <c r="FF157" s="17">
        <f>FE157*VLOOKUP('Données projet'!$B$16,Paramètres!$A$1:$I$89,3,0)*VLOOKUP('Données projet'!$B$16,Paramètres!$A$1:$I$89,5,0)</f>
        <v>-6.7984728957526396E-14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319.29539841078537</v>
      </c>
      <c r="FK157" s="59">
        <f t="shared" si="156"/>
        <v>327.26871144121412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21.494891684958404</v>
      </c>
      <c r="FR157" s="21">
        <f>EXP(-LN(2)/25)*FR156+(1-EXP(-LN(2)/25))/(LN(2)/25)*Calculateur!FM157*Calculateur!FO157*VLOOKUP('Données projet'!$B$16,Paramètres!$A$1:$I$89,3,0)*0.475*44/12</f>
        <v>6.3253480955072909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27.820239780465695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2.2737367544323206E-13</v>
      </c>
      <c r="GA157" s="17">
        <f>FZ157*VLOOKUP('Données projet'!$B$17,Paramètres!$A$1:$I$89,3,0)*VLOOKUP('Données projet'!$B$17,Paramètres!$A$1:$I$89,5,0)</f>
        <v>1.0049916454590858E-13</v>
      </c>
      <c r="GB157" s="13">
        <f t="shared" si="185"/>
        <v>1.5089081593838289E-12</v>
      </c>
      <c r="GC157" s="20">
        <f t="shared" si="186"/>
        <v>2.8030510891776262E-12</v>
      </c>
      <c r="GD157" s="59">
        <f t="shared" si="134"/>
        <v>286.78780111559604</v>
      </c>
      <c r="GE157" s="59">
        <f ca="1">AVERAGE(OFFSET($GD$3,0,0,'Données projet'!$E$17+1,1))-AVERAGE(OFFSET($H$3,0,0,'Données projet'!$E$17+1,1))</f>
        <v>342.89128067483233</v>
      </c>
      <c r="GF157" s="59">
        <f t="shared" si="158"/>
        <v>453.47615302202996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25.65345488934264</v>
      </c>
      <c r="GM157" s="21">
        <f>EXP(-LN(2)/25)*GM156+(1-EXP(-LN(2)/25))/(LN(2)/25)*Calculateur!GH157*Calculateur!GJ157*VLOOKUP('Données projet'!$B$17,Paramètres!$A$1:$I$89,3,0)*0.475*44/12</f>
        <v>8.6658089856587317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34.319263875001369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68.214854849707251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>
        <f>GU157*VLOOKUP('Données projet'!$B$18,Paramètres!$A$1:$I$89,3,0)*VLOOKUP('Données projet'!$B$18,Paramètres!$A$1:$I$89,5,0)</f>
        <v>0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375.89365709113105</v>
      </c>
      <c r="HA157" s="59">
        <f t="shared" si="160"/>
        <v>279.39056561403834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38.457983509461776</v>
      </c>
      <c r="HH157" s="21">
        <f>EXP(-LN(2)/25)*HH156+(1-EXP(-LN(2)/25))/(LN(2)/25)*Calculateur!HC157*Calculateur!HE157*VLOOKUP('Données projet'!$B$18,Paramètres!$A$1:$I$89,3,0)*0.475*44/12</f>
        <v>10.655743635998499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49.113727145460274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178.09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401.53485840000047</v>
      </c>
      <c r="P158" s="13">
        <f t="shared" si="141"/>
        <v>92.087764815279797</v>
      </c>
      <c r="Q158" s="20">
        <f t="shared" si="162"/>
        <v>859.72606876661303</v>
      </c>
      <c r="R158" s="59">
        <f t="shared" si="109"/>
        <v>1146.6274202325662</v>
      </c>
      <c r="S158" s="59">
        <f ca="1">AVERAGE(OFFSET($R$3,0,0,'Données projet'!$E$9+1,1))-AVERAGE(OFFSET($H$3,0,0,'Données projet'!$E$9+1,1))</f>
        <v>631.31712308065664</v>
      </c>
      <c r="T158" s="59">
        <f t="shared" si="142"/>
        <v>290.92244624361285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69.689976852139552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69.689976852139552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-2.8421709430404007E-14</v>
      </c>
      <c r="AJ158" s="13">
        <f>AI158*VLOOKUP('Données projet'!$B$10,Paramètres!$A$1:$I$89,3,0)*VLOOKUP('Données projet'!$B$10,Paramètres!$A$1:$I$89,5,0)</f>
        <v>-2.3942448024172337E-14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401.19166052471473</v>
      </c>
      <c r="AO158" s="59">
        <f t="shared" si="144"/>
        <v>271.10067497534271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73.388102376403168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73.388102376403168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449.99596200000047</v>
      </c>
      <c r="BF158" s="13">
        <f t="shared" si="167"/>
        <v>101.84206543885381</v>
      </c>
      <c r="BG158" s="20">
        <f t="shared" si="168"/>
        <v>961.1178977893378</v>
      </c>
      <c r="BH158" s="59">
        <f t="shared" si="116"/>
        <v>1248.019249255291</v>
      </c>
      <c r="BI158" s="59">
        <f ca="1">AVERAGE(OFFSET($BH$3,0,0,'Données projet'!$E$11+1,1))-AVERAGE(OFFSET($H$3,0,0,'Données projet'!$E$11+1,1))</f>
        <v>695.93700574708214</v>
      </c>
      <c r="BJ158" s="59">
        <f t="shared" si="146"/>
        <v>318.31690229208471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78.100836127397812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78.100836127397812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1.7053025658242404E-13</v>
      </c>
      <c r="BZ158" s="13">
        <f>BY158*VLOOKUP('Données projet'!$B$12,Paramètres!$A$1:$I$89,3,0)*VLOOKUP('Données projet'!$B$12,Paramètres!$A$1:$I$89,5,0)</f>
        <v>1.1173142411280423E-13</v>
      </c>
      <c r="CA158" s="13">
        <f t="shared" si="170"/>
        <v>1.6569896290553793E-12</v>
      </c>
      <c r="CB158" s="20">
        <f t="shared" si="171"/>
        <v>3.0805225009345862E-12</v>
      </c>
      <c r="CC158" s="59">
        <f t="shared" si="119"/>
        <v>286.90135146595634</v>
      </c>
      <c r="CD158" s="59">
        <f ca="1">AVERAGE(OFFSET($CC$3,0,0,'Données projet'!$E$12+1,1))-AVERAGE(OFFSET($H$3,0,0,'Données projet'!$E$12+1,1))</f>
        <v>260.25859566735949</v>
      </c>
      <c r="CE158" s="59">
        <f t="shared" si="148"/>
        <v>256.93649773468667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15.257271306114372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15.257271306114372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1.7053025658242404E-13</v>
      </c>
      <c r="CU158" s="17">
        <f>CT158*VLOOKUP('Données projet'!$B$13,Paramètres!$A$1:$I$89,3,0)*VLOOKUP('Données projet'!$B$13,Paramètres!$A$1:$I$89,5,0)</f>
        <v>1.1173142411280423E-13</v>
      </c>
      <c r="CV158" s="13">
        <f t="shared" si="173"/>
        <v>1.6569896290553793E-12</v>
      </c>
      <c r="CW158" s="20">
        <f t="shared" si="174"/>
        <v>3.0805225009345862E-12</v>
      </c>
      <c r="CX158" s="59">
        <f t="shared" si="122"/>
        <v>286.90135146595634</v>
      </c>
      <c r="CY158" s="59">
        <f ca="1">AVERAGE(OFFSET($CX$3,0,0,'Données projet'!$E$13+1,1))-AVERAGE(OFFSET($H$3,0,0,'Données projet'!$E$13+1,1))</f>
        <v>260.25859566735949</v>
      </c>
      <c r="CZ158" s="59">
        <f t="shared" si="150"/>
        <v>256.93649773468667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15.257271306114372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15.257271306114372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-2.2737367544323206E-13</v>
      </c>
      <c r="DP158" s="17">
        <f>DO158*VLOOKUP('Données projet'!$B$14,Paramètres!$A$1:$I$89,3,0)*VLOOKUP('Données projet'!$B$14,Paramètres!$A$1:$I$89,5,0)</f>
        <v>-1.3005774235352875E-13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349.56396446903</v>
      </c>
      <c r="DU158" s="59">
        <f t="shared" si="152"/>
        <v>270.64279448634522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51.038520777730248</v>
      </c>
      <c r="EB158" s="21">
        <f>EXP(-LN(2)/25)*EB157+(1-EXP(-LN(2)/25))/(LN(2)/25)*Calculateur!DW158*Calculateur!DY158*VLOOKUP('Données projet'!$B$14,Paramètres!$A$1:$I$89,3,0)*0.475*44/12</f>
        <v>16.694999235360306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67.733520013090555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375.89365709113105</v>
      </c>
      <c r="EP158" s="59">
        <f t="shared" si="154"/>
        <v>279.39056561403834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37.70384590989498</v>
      </c>
      <c r="EW158" s="21">
        <f>EXP(-LN(2)/25)*EW157+(1-EXP(-LN(2)/25))/(LN(2)/25)*Calculateur!ER158*Calculateur!ET158*VLOOKUP('Données projet'!$B$15,Paramètres!$A$1:$I$89,3,0)*0.475*44/12</f>
        <v>10.364361765910918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48.068207675805894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-1.1368683772161603E-13</v>
      </c>
      <c r="FF158" s="17">
        <f>FE158*VLOOKUP('Données projet'!$B$16,Paramètres!$A$1:$I$89,3,0)*VLOOKUP('Données projet'!$B$16,Paramètres!$A$1:$I$89,5,0)</f>
        <v>-6.7984728957526396E-14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319.29539841078537</v>
      </c>
      <c r="FK158" s="59">
        <f t="shared" si="156"/>
        <v>327.26871144121412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21.073389969605735</v>
      </c>
      <c r="FR158" s="21">
        <f>EXP(-LN(2)/25)*FR157+(1-EXP(-LN(2)/25))/(LN(2)/25)*Calculateur!FM158*Calculateur!FO158*VLOOKUP('Données projet'!$B$16,Paramètres!$A$1:$I$89,3,0)*0.475*44/12</f>
        <v>6.1523811192000446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27.225771088805779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2.2737367544323206E-13</v>
      </c>
      <c r="GA158" s="17">
        <f>FZ158*VLOOKUP('Données projet'!$B$17,Paramètres!$A$1:$I$89,3,0)*VLOOKUP('Données projet'!$B$17,Paramètres!$A$1:$I$89,5,0)</f>
        <v>1.0049916454590858E-13</v>
      </c>
      <c r="GB158" s="13">
        <f t="shared" si="185"/>
        <v>1.5089081593838289E-12</v>
      </c>
      <c r="GC158" s="20">
        <f t="shared" si="186"/>
        <v>2.8030510891776262E-12</v>
      </c>
      <c r="GD158" s="59">
        <f t="shared" si="134"/>
        <v>286.90135146595605</v>
      </c>
      <c r="GE158" s="59">
        <f ca="1">AVERAGE(OFFSET($GD$3,0,0,'Données projet'!$E$17+1,1))-AVERAGE(OFFSET($H$3,0,0,'Données projet'!$E$17+1,1))</f>
        <v>342.89128067483233</v>
      </c>
      <c r="GF158" s="59">
        <f t="shared" si="158"/>
        <v>453.47615302202996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25.150406286025095</v>
      </c>
      <c r="GM158" s="21">
        <f>EXP(-LN(2)/25)*GM157+(1-EXP(-LN(2)/25))/(LN(2)/25)*Calculateur!GH158*Calculateur!GJ158*VLOOKUP('Données projet'!$B$17,Paramètres!$A$1:$I$89,3,0)*0.475*44/12</f>
        <v>8.4288419832308055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33.579248269255899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68.245823127078168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>
        <f>GU158*VLOOKUP('Données projet'!$B$18,Paramètres!$A$1:$I$89,3,0)*VLOOKUP('Données projet'!$B$18,Paramètres!$A$1:$I$89,5,0)</f>
        <v>0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375.89365709113105</v>
      </c>
      <c r="HA158" s="59">
        <f t="shared" si="160"/>
        <v>279.39056561403834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37.70384590989498</v>
      </c>
      <c r="HH158" s="21">
        <f>EXP(-LN(2)/25)*HH157+(1-EXP(-LN(2)/25))/(LN(2)/25)*Calculateur!HC158*Calculateur!HE158*VLOOKUP('Données projet'!$B$18,Paramètres!$A$1:$I$89,3,0)*0.475*44/12</f>
        <v>10.364361765910918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48.068207675805894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178.09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409.1740848000004</v>
      </c>
      <c r="P159" s="13">
        <f t="shared" si="141"/>
        <v>93.634108404325715</v>
      </c>
      <c r="Q159" s="20">
        <f t="shared" si="162"/>
        <v>875.72426983086791</v>
      </c>
      <c r="R159" s="59">
        <f t="shared" si="109"/>
        <v>1162.737201802463</v>
      </c>
      <c r="S159" s="59">
        <f ca="1">AVERAGE(OFFSET($R$3,0,0,'Données projet'!$E$9+1,1))-AVERAGE(OFFSET($H$3,0,0,'Données projet'!$E$9+1,1))</f>
        <v>631.31712308065664</v>
      </c>
      <c r="T159" s="59">
        <f t="shared" si="142"/>
        <v>290.92244624361285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68.323398912757781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68.323398912757781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-2.8421709430404007E-14</v>
      </c>
      <c r="AJ159" s="13">
        <f>AI159*VLOOKUP('Données projet'!$B$10,Paramètres!$A$1:$I$89,3,0)*VLOOKUP('Données projet'!$B$10,Paramètres!$A$1:$I$89,5,0)</f>
        <v>-2.3942448024172337E-14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401.19166052471473</v>
      </c>
      <c r="AO159" s="59">
        <f t="shared" si="144"/>
        <v>271.10067497534271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71.949006451124433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71.949006451124433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458.55716400000051</v>
      </c>
      <c r="BF159" s="13">
        <f t="shared" si="167"/>
        <v>103.55220386280693</v>
      </c>
      <c r="BG159" s="20">
        <f t="shared" si="168"/>
        <v>979.00714902772279</v>
      </c>
      <c r="BH159" s="59">
        <f t="shared" si="116"/>
        <v>1266.0200809993178</v>
      </c>
      <c r="BI159" s="59">
        <f ca="1">AVERAGE(OFFSET($BH$3,0,0,'Données projet'!$E$11+1,1))-AVERAGE(OFFSET($H$3,0,0,'Données projet'!$E$11+1,1))</f>
        <v>695.93700574708214</v>
      </c>
      <c r="BJ159" s="59">
        <f t="shared" si="146"/>
        <v>318.31690229208471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76.56932636774583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76.56932636774583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1.7053025658242404E-13</v>
      </c>
      <c r="BZ159" s="13">
        <f>BY159*VLOOKUP('Données projet'!$B$12,Paramètres!$A$1:$I$89,3,0)*VLOOKUP('Données projet'!$B$12,Paramètres!$A$1:$I$89,5,0)</f>
        <v>1.1173142411280423E-13</v>
      </c>
      <c r="CA159" s="13">
        <f t="shared" si="170"/>
        <v>1.6569896290553793E-12</v>
      </c>
      <c r="CB159" s="20">
        <f t="shared" si="171"/>
        <v>3.0805225009345862E-12</v>
      </c>
      <c r="CC159" s="59">
        <f t="shared" si="119"/>
        <v>287.01293197159811</v>
      </c>
      <c r="CD159" s="59">
        <f ca="1">AVERAGE(OFFSET($CC$3,0,0,'Données projet'!$E$12+1,1))-AVERAGE(OFFSET($H$3,0,0,'Données projet'!$E$12+1,1))</f>
        <v>260.25859566735949</v>
      </c>
      <c r="CE159" s="59">
        <f t="shared" si="148"/>
        <v>256.93649773468667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14.958085521818074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14.958085521818074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1.7053025658242404E-13</v>
      </c>
      <c r="CU159" s="17">
        <f>CT159*VLOOKUP('Données projet'!$B$13,Paramètres!$A$1:$I$89,3,0)*VLOOKUP('Données projet'!$B$13,Paramètres!$A$1:$I$89,5,0)</f>
        <v>1.1173142411280423E-13</v>
      </c>
      <c r="CV159" s="13">
        <f t="shared" si="173"/>
        <v>1.6569896290553793E-12</v>
      </c>
      <c r="CW159" s="20">
        <f t="shared" si="174"/>
        <v>3.0805225009345862E-12</v>
      </c>
      <c r="CX159" s="59">
        <f t="shared" si="122"/>
        <v>287.01293197159811</v>
      </c>
      <c r="CY159" s="59">
        <f ca="1">AVERAGE(OFFSET($CX$3,0,0,'Données projet'!$E$13+1,1))-AVERAGE(OFFSET($H$3,0,0,'Données projet'!$E$13+1,1))</f>
        <v>260.25859566735949</v>
      </c>
      <c r="CZ159" s="59">
        <f t="shared" si="150"/>
        <v>256.93649773468667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14.958085521818074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14.958085521818074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-2.2737367544323206E-13</v>
      </c>
      <c r="DP159" s="17">
        <f>DO159*VLOOKUP('Données projet'!$B$14,Paramètres!$A$1:$I$89,3,0)*VLOOKUP('Données projet'!$B$14,Paramètres!$A$1:$I$89,5,0)</f>
        <v>-1.3005774235352875E-13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349.56396446903</v>
      </c>
      <c r="DU159" s="59">
        <f t="shared" si="152"/>
        <v>270.64279448634522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50.037686515702759</v>
      </c>
      <c r="EB159" s="21">
        <f>EXP(-LN(2)/25)*EB158+(1-EXP(-LN(2)/25))/(LN(2)/25)*Calculateur!DW159*Calculateur!DY159*VLOOKUP('Données projet'!$B$14,Paramètres!$A$1:$I$89,3,0)*0.475*44/12</f>
        <v>16.238473603317527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66.27616011902029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375.89365709113105</v>
      </c>
      <c r="EP159" s="59">
        <f t="shared" si="154"/>
        <v>279.39056561403834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36.96449648867717</v>
      </c>
      <c r="EW159" s="21">
        <f>EXP(-LN(2)/25)*EW158+(1-EXP(-LN(2)/25))/(LN(2)/25)*Calculateur!ER159*Calculateur!ET159*VLOOKUP('Données projet'!$B$15,Paramètres!$A$1:$I$89,3,0)*0.475*44/12</f>
        <v>10.080947748383986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47.045444237061155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-1.1368683772161603E-13</v>
      </c>
      <c r="FF159" s="17">
        <f>FE159*VLOOKUP('Données projet'!$B$16,Paramètres!$A$1:$I$89,3,0)*VLOOKUP('Données projet'!$B$16,Paramètres!$A$1:$I$89,5,0)</f>
        <v>-6.7984728957526396E-14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319.29539841078537</v>
      </c>
      <c r="FK159" s="59">
        <f t="shared" si="156"/>
        <v>327.26871144121412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20.66015364580047</v>
      </c>
      <c r="FR159" s="21">
        <f>EXP(-LN(2)/25)*FR158+(1-EXP(-LN(2)/25))/(LN(2)/25)*Calculateur!FM159*Calculateur!FO159*VLOOKUP('Données projet'!$B$16,Paramètres!$A$1:$I$89,3,0)*0.475*44/12</f>
        <v>5.984143933955858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26.644297579756326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2.2737367544323206E-13</v>
      </c>
      <c r="GA159" s="17">
        <f>FZ159*VLOOKUP('Données projet'!$B$17,Paramètres!$A$1:$I$89,3,0)*VLOOKUP('Données projet'!$B$17,Paramètres!$A$1:$I$89,5,0)</f>
        <v>1.0049916454590858E-13</v>
      </c>
      <c r="GB159" s="13">
        <f t="shared" si="185"/>
        <v>1.5089081593838289E-12</v>
      </c>
      <c r="GC159" s="20">
        <f t="shared" si="186"/>
        <v>2.8030510891776262E-12</v>
      </c>
      <c r="GD159" s="59">
        <f t="shared" si="134"/>
        <v>287.01293197159782</v>
      </c>
      <c r="GE159" s="59">
        <f ca="1">AVERAGE(OFFSET($GD$3,0,0,'Données projet'!$E$17+1,1))-AVERAGE(OFFSET($H$3,0,0,'Données projet'!$E$17+1,1))</f>
        <v>342.89128067483233</v>
      </c>
      <c r="GF159" s="59">
        <f t="shared" si="158"/>
        <v>453.47615302202996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24.657222158989256</v>
      </c>
      <c r="GM159" s="21">
        <f>EXP(-LN(2)/25)*GM158+(1-EXP(-LN(2)/25))/(LN(2)/25)*Calculateur!GH159*Calculateur!GJ159*VLOOKUP('Données projet'!$B$17,Paramètres!$A$1:$I$89,3,0)*0.475*44/12</f>
        <v>8.1983548559458228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32.855577014935079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68.276254174071383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>
        <f>GU159*VLOOKUP('Données projet'!$B$18,Paramètres!$A$1:$I$89,3,0)*VLOOKUP('Données projet'!$B$18,Paramètres!$A$1:$I$89,5,0)</f>
        <v>0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375.89365709113105</v>
      </c>
      <c r="HA159" s="59">
        <f t="shared" si="160"/>
        <v>279.39056561403834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36.96449648867717</v>
      </c>
      <c r="HH159" s="21">
        <f>EXP(-LN(2)/25)*HH158+(1-EXP(-LN(2)/25))/(LN(2)/25)*Calculateur!HC159*Calculateur!HE159*VLOOKUP('Données projet'!$B$18,Paramètres!$A$1:$I$89,3,0)*0.475*44/12</f>
        <v>10.080947748383986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47.045444237061155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178.09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416.81331120000038</v>
      </c>
      <c r="P160" s="13">
        <f t="shared" si="141"/>
        <v>95.177094964322421</v>
      </c>
      <c r="Q160" s="20">
        <f t="shared" si="162"/>
        <v>891.71662406952885</v>
      </c>
      <c r="R160" s="59">
        <f t="shared" si="109"/>
        <v>1178.8392008744495</v>
      </c>
      <c r="S160" s="59">
        <f ca="1">AVERAGE(OFFSET($R$3,0,0,'Données projet'!$E$9+1,1))-AVERAGE(OFFSET($H$3,0,0,'Données projet'!$E$9+1,1))</f>
        <v>631.31712308065664</v>
      </c>
      <c r="T160" s="59">
        <f t="shared" si="142"/>
        <v>290.92244624361285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66.983618733237051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66.983618733237051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-2.8421709430404007E-14</v>
      </c>
      <c r="AJ160" s="13">
        <f>AI160*VLOOKUP('Données projet'!$B$10,Paramètres!$A$1:$I$89,3,0)*VLOOKUP('Données projet'!$B$10,Paramètres!$A$1:$I$89,5,0)</f>
        <v>-2.3942448024172337E-14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401.19166052471473</v>
      </c>
      <c r="AO160" s="59">
        <f t="shared" si="144"/>
        <v>271.10067497534271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70.538130319178578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70.538130319178578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467.11836600000044</v>
      </c>
      <c r="BF160" s="13">
        <f t="shared" si="167"/>
        <v>105.25862966790358</v>
      </c>
      <c r="BG160" s="20">
        <f t="shared" si="168"/>
        <v>996.88993412159937</v>
      </c>
      <c r="BH160" s="59">
        <f t="shared" si="116"/>
        <v>1284.01251092652</v>
      </c>
      <c r="BI160" s="59">
        <f ca="1">AVERAGE(OFFSET($BH$3,0,0,'Données projet'!$E$11+1,1))-AVERAGE(OFFSET($H$3,0,0,'Données projet'!$E$11+1,1))</f>
        <v>695.93700574708214</v>
      </c>
      <c r="BJ160" s="59">
        <f t="shared" si="146"/>
        <v>318.31690229208471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75.067848580351907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75.067848580351907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1.7053025658242404E-13</v>
      </c>
      <c r="BZ160" s="13">
        <f>BY160*VLOOKUP('Données projet'!$B$12,Paramètres!$A$1:$I$89,3,0)*VLOOKUP('Données projet'!$B$12,Paramètres!$A$1:$I$89,5,0)</f>
        <v>1.1173142411280423E-13</v>
      </c>
      <c r="CA160" s="13">
        <f t="shared" si="170"/>
        <v>1.6569896290553793E-12</v>
      </c>
      <c r="CB160" s="20">
        <f t="shared" si="171"/>
        <v>3.0805225009345862E-12</v>
      </c>
      <c r="CC160" s="59">
        <f t="shared" si="119"/>
        <v>287.12257680492377</v>
      </c>
      <c r="CD160" s="59">
        <f ca="1">AVERAGE(OFFSET($CC$3,0,0,'Données projet'!$E$12+1,1))-AVERAGE(OFFSET($H$3,0,0,'Données projet'!$E$12+1,1))</f>
        <v>260.25859566735949</v>
      </c>
      <c r="CE160" s="59">
        <f t="shared" si="148"/>
        <v>256.93649773468667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14.664766588266517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14.664766588266517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1.7053025658242404E-13</v>
      </c>
      <c r="CU160" s="17">
        <f>CT160*VLOOKUP('Données projet'!$B$13,Paramètres!$A$1:$I$89,3,0)*VLOOKUP('Données projet'!$B$13,Paramètres!$A$1:$I$89,5,0)</f>
        <v>1.1173142411280423E-13</v>
      </c>
      <c r="CV160" s="13">
        <f t="shared" si="173"/>
        <v>1.6569896290553793E-12</v>
      </c>
      <c r="CW160" s="20">
        <f t="shared" si="174"/>
        <v>3.0805225009345862E-12</v>
      </c>
      <c r="CX160" s="59">
        <f t="shared" si="122"/>
        <v>287.12257680492377</v>
      </c>
      <c r="CY160" s="59">
        <f ca="1">AVERAGE(OFFSET($CX$3,0,0,'Données projet'!$E$13+1,1))-AVERAGE(OFFSET($H$3,0,0,'Données projet'!$E$13+1,1))</f>
        <v>260.25859566735949</v>
      </c>
      <c r="CZ160" s="59">
        <f t="shared" si="150"/>
        <v>256.93649773468667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14.664766588266517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14.664766588266517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-2.2737367544323206E-13</v>
      </c>
      <c r="DP160" s="17">
        <f>DO160*VLOOKUP('Données projet'!$B$14,Paramètres!$A$1:$I$89,3,0)*VLOOKUP('Données projet'!$B$14,Paramètres!$A$1:$I$89,5,0)</f>
        <v>-1.3005774235352875E-13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349.56396446903</v>
      </c>
      <c r="DU160" s="59">
        <f t="shared" si="152"/>
        <v>270.64279448634522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49.056478003105006</v>
      </c>
      <c r="EB160" s="21">
        <f>EXP(-LN(2)/25)*EB159+(1-EXP(-LN(2)/25))/(LN(2)/25)*Calculateur!DW160*Calculateur!DY160*VLOOKUP('Données projet'!$B$14,Paramètres!$A$1:$I$89,3,0)*0.475*44/12</f>
        <v>15.794431688690596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64.850909691795607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375.89365709113105</v>
      </c>
      <c r="EP160" s="59">
        <f t="shared" si="154"/>
        <v>279.39056561403834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36.239645258650825</v>
      </c>
      <c r="EW160" s="21">
        <f>EXP(-LN(2)/25)*EW159+(1-EXP(-LN(2)/25))/(LN(2)/25)*Calculateur!ER160*Calculateur!ET160*VLOOKUP('Données projet'!$B$15,Paramètres!$A$1:$I$89,3,0)*0.475*44/12</f>
        <v>9.8052837020704242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46.044928960721251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-1.1368683772161603E-13</v>
      </c>
      <c r="FF160" s="17">
        <f>FE160*VLOOKUP('Données projet'!$B$16,Paramètres!$A$1:$I$89,3,0)*VLOOKUP('Données projet'!$B$16,Paramètres!$A$1:$I$89,5,0)</f>
        <v>-6.7984728957526396E-14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319.29539841078537</v>
      </c>
      <c r="FK160" s="59">
        <f t="shared" si="156"/>
        <v>327.26871144121412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20.255020634255757</v>
      </c>
      <c r="FR160" s="21">
        <f>EXP(-LN(2)/25)*FR159+(1-EXP(-LN(2)/25))/(LN(2)/25)*Calculateur!FM160*Calculateur!FO160*VLOOKUP('Données projet'!$B$16,Paramètres!$A$1:$I$89,3,0)*0.475*44/12</f>
        <v>5.8205072033893828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26.07552783764514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2.2737367544323206E-13</v>
      </c>
      <c r="GA160" s="17">
        <f>FZ160*VLOOKUP('Données projet'!$B$17,Paramètres!$A$1:$I$89,3,0)*VLOOKUP('Données projet'!$B$17,Paramètres!$A$1:$I$89,5,0)</f>
        <v>1.0049916454590858E-13</v>
      </c>
      <c r="GB160" s="13">
        <f t="shared" si="185"/>
        <v>1.5089081593838289E-12</v>
      </c>
      <c r="GC160" s="20">
        <f t="shared" si="186"/>
        <v>2.8030510891776262E-12</v>
      </c>
      <c r="GD160" s="59">
        <f t="shared" si="134"/>
        <v>287.12257680492348</v>
      </c>
      <c r="GE160" s="59">
        <f ca="1">AVERAGE(OFFSET($GD$3,0,0,'Données projet'!$E$17+1,1))-AVERAGE(OFFSET($H$3,0,0,'Données projet'!$E$17+1,1))</f>
        <v>342.89128067483233</v>
      </c>
      <c r="GF160" s="59">
        <f t="shared" si="158"/>
        <v>453.47615302202996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24.173709071871976</v>
      </c>
      <c r="GM160" s="21">
        <f>EXP(-LN(2)/25)*GM159+(1-EXP(-LN(2)/25))/(LN(2)/25)*Calculateur!GH160*Calculateur!GJ160*VLOOKUP('Données projet'!$B$17,Paramètres!$A$1:$I$89,3,0)*0.475*44/12</f>
        <v>7.9741704112772398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32.147879483149218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68.306157310432923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>
        <f>GU160*VLOOKUP('Données projet'!$B$18,Paramètres!$A$1:$I$89,3,0)*VLOOKUP('Données projet'!$B$18,Paramètres!$A$1:$I$89,5,0)</f>
        <v>0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375.89365709113105</v>
      </c>
      <c r="HA160" s="59">
        <f t="shared" si="160"/>
        <v>279.39056561403834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36.239645258650825</v>
      </c>
      <c r="HH160" s="21">
        <f>EXP(-LN(2)/25)*HH159+(1-EXP(-LN(2)/25))/(LN(2)/25)*Calculateur!HC160*Calculateur!HE160*VLOOKUP('Données projet'!$B$18,Paramètres!$A$1:$I$89,3,0)*0.475*44/12</f>
        <v>9.8052837020704242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46.044928960721251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178.09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424.45253760000043</v>
      </c>
      <c r="P161" s="13">
        <f t="shared" si="141"/>
        <v>96.716793118095666</v>
      </c>
      <c r="Q161" s="20">
        <f t="shared" si="162"/>
        <v>907.70325100068385</v>
      </c>
      <c r="R161" s="59">
        <f t="shared" si="109"/>
        <v>1194.9335705462011</v>
      </c>
      <c r="S161" s="59">
        <f ca="1">AVERAGE(OFFSET($R$3,0,0,'Données projet'!$E$9+1,1))-AVERAGE(OFFSET($H$3,0,0,'Données projet'!$E$9+1,1))</f>
        <v>631.31712308065664</v>
      </c>
      <c r="T161" s="59">
        <f t="shared" si="142"/>
        <v>290.92244624361285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65.670110825851509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65.670110825851509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-2.8421709430404007E-14</v>
      </c>
      <c r="AJ161" s="13">
        <f>AI161*VLOOKUP('Données projet'!$B$10,Paramètres!$A$1:$I$89,3,0)*VLOOKUP('Données projet'!$B$10,Paramètres!$A$1:$I$89,5,0)</f>
        <v>-2.3942448024172337E-14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401.19166052471473</v>
      </c>
      <c r="AO161" s="59">
        <f t="shared" si="144"/>
        <v>271.10067497534271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69.154920607630714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69.154920607630714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475.67956800000047</v>
      </c>
      <c r="BF161" s="13">
        <f t="shared" si="167"/>
        <v>106.96141874577063</v>
      </c>
      <c r="BG161" s="20">
        <f t="shared" si="168"/>
        <v>1014.7663852488846</v>
      </c>
      <c r="BH161" s="59">
        <f t="shared" si="116"/>
        <v>1301.9967047944019</v>
      </c>
      <c r="BI161" s="59">
        <f ca="1">AVERAGE(OFFSET($BH$3,0,0,'Données projet'!$E$11+1,1))-AVERAGE(OFFSET($H$3,0,0,'Données projet'!$E$11+1,1))</f>
        <v>695.93700574708214</v>
      </c>
      <c r="BJ161" s="59">
        <f t="shared" si="146"/>
        <v>318.31690229208471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73.595813856557768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73.595813856557768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1.7053025658242404E-13</v>
      </c>
      <c r="BZ161" s="13">
        <f>BY161*VLOOKUP('Données projet'!$B$12,Paramètres!$A$1:$I$89,3,0)*VLOOKUP('Données projet'!$B$12,Paramètres!$A$1:$I$89,5,0)</f>
        <v>1.1173142411280423E-13</v>
      </c>
      <c r="CA161" s="13">
        <f t="shared" si="170"/>
        <v>1.6569896290553793E-12</v>
      </c>
      <c r="CB161" s="20">
        <f t="shared" si="171"/>
        <v>3.0805225009345862E-12</v>
      </c>
      <c r="CC161" s="59">
        <f t="shared" si="119"/>
        <v>287.23031954552027</v>
      </c>
      <c r="CD161" s="59">
        <f ca="1">AVERAGE(OFFSET($CC$3,0,0,'Données projet'!$E$12+1,1))-AVERAGE(OFFSET($H$3,0,0,'Données projet'!$E$12+1,1))</f>
        <v>260.25859566735949</v>
      </c>
      <c r="CE161" s="59">
        <f t="shared" si="148"/>
        <v>256.93649773468667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14.377199460095021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14.377199460095021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1.7053025658242404E-13</v>
      </c>
      <c r="CU161" s="17">
        <f>CT161*VLOOKUP('Données projet'!$B$13,Paramètres!$A$1:$I$89,3,0)*VLOOKUP('Données projet'!$B$13,Paramètres!$A$1:$I$89,5,0)</f>
        <v>1.1173142411280423E-13</v>
      </c>
      <c r="CV161" s="13">
        <f t="shared" si="173"/>
        <v>1.6569896290553793E-12</v>
      </c>
      <c r="CW161" s="20">
        <f t="shared" si="174"/>
        <v>3.0805225009345862E-12</v>
      </c>
      <c r="CX161" s="59">
        <f t="shared" si="122"/>
        <v>287.23031954552027</v>
      </c>
      <c r="CY161" s="59">
        <f ca="1">AVERAGE(OFFSET($CX$3,0,0,'Données projet'!$E$13+1,1))-AVERAGE(OFFSET($H$3,0,0,'Données projet'!$E$13+1,1))</f>
        <v>260.25859566735949</v>
      </c>
      <c r="CZ161" s="59">
        <f t="shared" si="150"/>
        <v>256.93649773468667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14.377199460095021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14.377199460095021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-2.2737367544323206E-13</v>
      </c>
      <c r="DP161" s="17">
        <f>DO161*VLOOKUP('Données projet'!$B$14,Paramètres!$A$1:$I$89,3,0)*VLOOKUP('Données projet'!$B$14,Paramètres!$A$1:$I$89,5,0)</f>
        <v>-1.3005774235352875E-13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349.56396446903</v>
      </c>
      <c r="DU161" s="59">
        <f t="shared" si="152"/>
        <v>270.64279448634522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48.094510390961197</v>
      </c>
      <c r="EB161" s="21">
        <f>EXP(-LN(2)/25)*EB160+(1-EXP(-LN(2)/25))/(LN(2)/25)*Calculateur!DW161*Calculateur!DY161*VLOOKUP('Données projet'!$B$14,Paramètres!$A$1:$I$89,3,0)*0.475*44/12</f>
        <v>15.362532123570288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63.457042514531487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375.89365709113105</v>
      </c>
      <c r="EP161" s="59">
        <f t="shared" si="154"/>
        <v>279.39056561403834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35.529007919129704</v>
      </c>
      <c r="EW161" s="21">
        <f>EXP(-LN(2)/25)*EW160+(1-EXP(-LN(2)/25))/(LN(2)/25)*Calculateur!ER161*Calculateur!ET161*VLOOKUP('Données projet'!$B$15,Paramètres!$A$1:$I$89,3,0)*0.475*44/12</f>
        <v>9.5371577035998492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45.066165622729557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-1.1368683772161603E-13</v>
      </c>
      <c r="FF161" s="17">
        <f>FE161*VLOOKUP('Données projet'!$B$16,Paramètres!$A$1:$I$89,3,0)*VLOOKUP('Données projet'!$B$16,Paramètres!$A$1:$I$89,5,0)</f>
        <v>-6.7984728957526396E-14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319.29539841078537</v>
      </c>
      <c r="FK161" s="59">
        <f t="shared" si="156"/>
        <v>327.26871144121412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19.857832033960698</v>
      </c>
      <c r="FR161" s="21">
        <f>EXP(-LN(2)/25)*FR160+(1-EXP(-LN(2)/25))/(LN(2)/25)*Calculateur!FM161*Calculateur!FO161*VLOOKUP('Données projet'!$B$16,Paramètres!$A$1:$I$89,3,0)*0.475*44/12</f>
        <v>5.6613451278255296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25.519177161786228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2.2737367544323206E-13</v>
      </c>
      <c r="GA161" s="17">
        <f>FZ161*VLOOKUP('Données projet'!$B$17,Paramètres!$A$1:$I$89,3,0)*VLOOKUP('Données projet'!$B$17,Paramètres!$A$1:$I$89,5,0)</f>
        <v>1.0049916454590858E-13</v>
      </c>
      <c r="GB161" s="13">
        <f t="shared" si="185"/>
        <v>1.5089081593838289E-12</v>
      </c>
      <c r="GC161" s="20">
        <f t="shared" si="186"/>
        <v>2.8030510891776262E-12</v>
      </c>
      <c r="GD161" s="59">
        <f t="shared" si="134"/>
        <v>287.23031954551999</v>
      </c>
      <c r="GE161" s="59">
        <f ca="1">AVERAGE(OFFSET($GD$3,0,0,'Données projet'!$E$17+1,1))-AVERAGE(OFFSET($H$3,0,0,'Données projet'!$E$17+1,1))</f>
        <v>342.89128067483233</v>
      </c>
      <c r="GF161" s="59">
        <f t="shared" si="158"/>
        <v>453.47615302202996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23.699677381479201</v>
      </c>
      <c r="GM161" s="21">
        <f>EXP(-LN(2)/25)*GM160+(1-EXP(-LN(2)/25))/(LN(2)/25)*Calculateur!GH161*Calculateur!GJ161*VLOOKUP('Données projet'!$B$17,Paramètres!$A$1:$I$89,3,0)*0.475*44/12</f>
        <v>7.7561163020374666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31.455793683516667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68.335541694231964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>
        <f>GU161*VLOOKUP('Données projet'!$B$18,Paramètres!$A$1:$I$89,3,0)*VLOOKUP('Données projet'!$B$18,Paramètres!$A$1:$I$89,5,0)</f>
        <v>0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375.89365709113105</v>
      </c>
      <c r="HA161" s="59">
        <f t="shared" si="160"/>
        <v>279.39056561403834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35.529007919129704</v>
      </c>
      <c r="HH161" s="21">
        <f>EXP(-LN(2)/25)*HH160+(1-EXP(-LN(2)/25))/(LN(2)/25)*Calculateur!HC161*Calculateur!HE161*VLOOKUP('Données projet'!$B$18,Paramètres!$A$1:$I$89,3,0)*0.475*44/12</f>
        <v>9.5371577035998492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45.066165622729557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178.09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432.09176400000035</v>
      </c>
      <c r="P162" s="13">
        <f t="shared" si="141"/>
        <v>98.253268876899142</v>
      </c>
      <c r="Q162" s="20">
        <f t="shared" si="162"/>
        <v>923.68426559393322</v>
      </c>
      <c r="R162" s="59">
        <f t="shared" si="109"/>
        <v>1211.0204587843743</v>
      </c>
      <c r="S162" s="59">
        <f ca="1">AVERAGE(OFFSET($R$3,0,0,'Données projet'!$E$9+1,1))-AVERAGE(OFFSET($H$3,0,0,'Données projet'!$E$9+1,1))</f>
        <v>631.31712308065664</v>
      </c>
      <c r="T162" s="59">
        <f t="shared" si="142"/>
        <v>290.92244624361285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64.382360007369087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64.382360007369087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-2.8421709430404007E-14</v>
      </c>
      <c r="AJ162" s="13">
        <f>AI162*VLOOKUP('Données projet'!$B$10,Paramètres!$A$1:$I$89,3,0)*VLOOKUP('Données projet'!$B$10,Paramètres!$A$1:$I$89,5,0)</f>
        <v>-2.3942448024172337E-14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401.19166052471473</v>
      </c>
      <c r="AO162" s="59">
        <f t="shared" si="144"/>
        <v>271.10067497534271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67.798834794851686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67.798834794851686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484.24077000000045</v>
      </c>
      <c r="BF162" s="13">
        <f t="shared" si="167"/>
        <v>108.66064409983538</v>
      </c>
      <c r="BG162" s="20">
        <f t="shared" si="168"/>
        <v>1032.6366295572141</v>
      </c>
      <c r="BH162" s="59">
        <f t="shared" si="116"/>
        <v>1319.9728227476551</v>
      </c>
      <c r="BI162" s="59">
        <f ca="1">AVERAGE(OFFSET($BH$3,0,0,'Données projet'!$E$11+1,1))-AVERAGE(OFFSET($H$3,0,0,'Données projet'!$E$11+1,1))</f>
        <v>695.93700574708214</v>
      </c>
      <c r="BJ162" s="59">
        <f t="shared" si="146"/>
        <v>318.31690229208471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72.152644835844697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72.152644835844697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1.7053025658242404E-13</v>
      </c>
      <c r="BZ162" s="13">
        <f>BY162*VLOOKUP('Données projet'!$B$12,Paramètres!$A$1:$I$89,3,0)*VLOOKUP('Données projet'!$B$12,Paramètres!$A$1:$I$89,5,0)</f>
        <v>1.1173142411280423E-13</v>
      </c>
      <c r="CA162" s="13">
        <f t="shared" si="170"/>
        <v>1.6569896290553793E-12</v>
      </c>
      <c r="CB162" s="20">
        <f t="shared" si="171"/>
        <v>3.0805225009345862E-12</v>
      </c>
      <c r="CC162" s="59">
        <f t="shared" si="119"/>
        <v>287.33619319044413</v>
      </c>
      <c r="CD162" s="59">
        <f ca="1">AVERAGE(OFFSET($CC$3,0,0,'Données projet'!$E$12+1,1))-AVERAGE(OFFSET($H$3,0,0,'Données projet'!$E$12+1,1))</f>
        <v>260.25859566735949</v>
      </c>
      <c r="CE162" s="59">
        <f t="shared" si="148"/>
        <v>256.93649773468667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14.095271347908339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14.095271347908339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1.7053025658242404E-13</v>
      </c>
      <c r="CU162" s="17">
        <f>CT162*VLOOKUP('Données projet'!$B$13,Paramètres!$A$1:$I$89,3,0)*VLOOKUP('Données projet'!$B$13,Paramètres!$A$1:$I$89,5,0)</f>
        <v>1.1173142411280423E-13</v>
      </c>
      <c r="CV162" s="13">
        <f t="shared" si="173"/>
        <v>1.6569896290553793E-12</v>
      </c>
      <c r="CW162" s="20">
        <f t="shared" si="174"/>
        <v>3.0805225009345862E-12</v>
      </c>
      <c r="CX162" s="59">
        <f t="shared" si="122"/>
        <v>287.33619319044413</v>
      </c>
      <c r="CY162" s="59">
        <f ca="1">AVERAGE(OFFSET($CX$3,0,0,'Données projet'!$E$13+1,1))-AVERAGE(OFFSET($H$3,0,0,'Données projet'!$E$13+1,1))</f>
        <v>260.25859566735949</v>
      </c>
      <c r="CZ162" s="59">
        <f t="shared" si="150"/>
        <v>256.93649773468667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14.095271347908339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14.095271347908339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-2.2737367544323206E-13</v>
      </c>
      <c r="DP162" s="17">
        <f>DO162*VLOOKUP('Données projet'!$B$14,Paramètres!$A$1:$I$89,3,0)*VLOOKUP('Données projet'!$B$14,Paramètres!$A$1:$I$89,5,0)</f>
        <v>-1.3005774235352875E-13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349.56396446903</v>
      </c>
      <c r="DU162" s="59">
        <f t="shared" si="152"/>
        <v>270.64279448634522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47.151406376949218</v>
      </c>
      <c r="EB162" s="21">
        <f>EXP(-LN(2)/25)*EB161+(1-EXP(-LN(2)/25))/(LN(2)/25)*Calculateur!DW162*Calculateur!DY162*VLOOKUP('Données projet'!$B$14,Paramètres!$A$1:$I$89,3,0)*0.475*44/12</f>
        <v>14.942442874770805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62.093849251720023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375.89365709113105</v>
      </c>
      <c r="EP162" s="59">
        <f t="shared" si="154"/>
        <v>279.39056561403834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34.832305744390609</v>
      </c>
      <c r="EW162" s="21">
        <f>EXP(-LN(2)/25)*EW161+(1-EXP(-LN(2)/25))/(LN(2)/25)*Calculateur!ER162*Calculateur!ET162*VLOOKUP('Données projet'!$B$15,Paramètres!$A$1:$I$89,3,0)*0.475*44/12</f>
        <v>9.2763636246575842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44.108669369048194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-1.1368683772161603E-13</v>
      </c>
      <c r="FF162" s="17">
        <f>FE162*VLOOKUP('Données projet'!$B$16,Paramètres!$A$1:$I$89,3,0)*VLOOKUP('Données projet'!$B$16,Paramètres!$A$1:$I$89,5,0)</f>
        <v>-6.7984728957526396E-14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319.29539841078537</v>
      </c>
      <c r="FK162" s="59">
        <f t="shared" si="156"/>
        <v>327.26871144121412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19.468432059856301</v>
      </c>
      <c r="FR162" s="21">
        <f>EXP(-LN(2)/25)*FR161+(1-EXP(-LN(2)/25))/(LN(2)/25)*Calculateur!FM162*Calculateur!FO162*VLOOKUP('Données projet'!$B$16,Paramètres!$A$1:$I$89,3,0)*0.475*44/12</f>
        <v>5.5065353475879393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24.97496740744424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2.2737367544323206E-13</v>
      </c>
      <c r="GA162" s="17">
        <f>FZ162*VLOOKUP('Données projet'!$B$17,Paramètres!$A$1:$I$89,3,0)*VLOOKUP('Données projet'!$B$17,Paramètres!$A$1:$I$89,5,0)</f>
        <v>1.0049916454590858E-13</v>
      </c>
      <c r="GB162" s="13">
        <f t="shared" si="185"/>
        <v>1.5089081593838289E-12</v>
      </c>
      <c r="GC162" s="20">
        <f t="shared" si="186"/>
        <v>2.8030510891776262E-12</v>
      </c>
      <c r="GD162" s="59">
        <f t="shared" si="134"/>
        <v>287.33619319044385</v>
      </c>
      <c r="GE162" s="59">
        <f ca="1">AVERAGE(OFFSET($GD$3,0,0,'Données projet'!$E$17+1,1))-AVERAGE(OFFSET($H$3,0,0,'Données projet'!$E$17+1,1))</f>
        <v>342.89128067483233</v>
      </c>
      <c r="GF162" s="59">
        <f t="shared" si="158"/>
        <v>453.47615302202996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23.234941163404248</v>
      </c>
      <c r="GM162" s="21">
        <f>EXP(-LN(2)/25)*GM161+(1-EXP(-LN(2)/25))/(LN(2)/25)*Calculateur!GH162*Calculateur!GJ162*VLOOKUP('Données projet'!$B$17,Paramètres!$A$1:$I$89,3,0)*0.475*44/12</f>
        <v>7.5440248938818222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30.77896605728607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68.36441632466574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>
        <f>GU162*VLOOKUP('Données projet'!$B$18,Paramètres!$A$1:$I$89,3,0)*VLOOKUP('Données projet'!$B$18,Paramètres!$A$1:$I$89,5,0)</f>
        <v>0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375.89365709113105</v>
      </c>
      <c r="HA162" s="59">
        <f t="shared" si="160"/>
        <v>279.39056561403834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34.832305744390609</v>
      </c>
      <c r="HH162" s="21">
        <f>EXP(-LN(2)/25)*HH161+(1-EXP(-LN(2)/25))/(LN(2)/25)*Calculateur!HC162*Calculateur!HE162*VLOOKUP('Données projet'!$B$18,Paramètres!$A$1:$I$89,3,0)*0.475*44/12</f>
        <v>9.2763636246575842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44.108669369048194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178.09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439.73099040000034</v>
      </c>
      <c r="P163" s="13">
        <f t="shared" si="141"/>
        <v>99.786585784186272</v>
      </c>
      <c r="Q163" s="20">
        <f t="shared" si="162"/>
        <v>939.65977852079175</v>
      </c>
      <c r="R163" s="59">
        <f t="shared" si="109"/>
        <v>1227.1000086851152</v>
      </c>
      <c r="S163" s="59">
        <f ca="1">AVERAGE(OFFSET($R$3,0,0,'Données projet'!$E$9+1,1))-AVERAGE(OFFSET($H$3,0,0,'Données projet'!$E$9+1,1))</f>
        <v>631.31712308065664</v>
      </c>
      <c r="T163" s="59">
        <f t="shared" si="142"/>
        <v>290.92244624361285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63.119861196986655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63.119861196986655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-2.8421709430404007E-14</v>
      </c>
      <c r="AJ163" s="13">
        <f>AI163*VLOOKUP('Données projet'!$B$10,Paramètres!$A$1:$I$89,3,0)*VLOOKUP('Données projet'!$B$10,Paramètres!$A$1:$I$89,5,0)</f>
        <v>-2.3942448024172337E-14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401.19166052471473</v>
      </c>
      <c r="AO163" s="59">
        <f t="shared" si="144"/>
        <v>271.10067497534271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66.469340997730583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66.469340997730583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492.80197200000038</v>
      </c>
      <c r="BF163" s="13">
        <f t="shared" si="167"/>
        <v>110.35637600432534</v>
      </c>
      <c r="BG163" s="20">
        <f t="shared" si="168"/>
        <v>1050.5007894408673</v>
      </c>
      <c r="BH163" s="59">
        <f t="shared" si="116"/>
        <v>1337.9410196051908</v>
      </c>
      <c r="BI163" s="59">
        <f ca="1">AVERAGE(OFFSET($BH$3,0,0,'Données projet'!$E$11+1,1))-AVERAGE(OFFSET($H$3,0,0,'Données projet'!$E$11+1,1))</f>
        <v>695.93700574708214</v>
      </c>
      <c r="BJ163" s="59">
        <f t="shared" si="146"/>
        <v>318.31690229208471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70.737775479381625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70.737775479381625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1.7053025658242404E-13</v>
      </c>
      <c r="BZ163" s="13">
        <f>BY163*VLOOKUP('Données projet'!$B$12,Paramètres!$A$1:$I$89,3,0)*VLOOKUP('Données projet'!$B$12,Paramètres!$A$1:$I$89,5,0)</f>
        <v>1.1173142411280423E-13</v>
      </c>
      <c r="CA163" s="13">
        <f t="shared" si="170"/>
        <v>1.6569896290553793E-12</v>
      </c>
      <c r="CB163" s="20">
        <f t="shared" si="171"/>
        <v>3.0805225009345862E-12</v>
      </c>
      <c r="CC163" s="59">
        <f t="shared" si="119"/>
        <v>287.44023016432658</v>
      </c>
      <c r="CD163" s="59">
        <f ca="1">AVERAGE(OFFSET($CC$3,0,0,'Données projet'!$E$12+1,1))-AVERAGE(OFFSET($H$3,0,0,'Données projet'!$E$12+1,1))</f>
        <v>260.25859566735949</v>
      </c>
      <c r="CE163" s="59">
        <f t="shared" si="148"/>
        <v>256.93649773468667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13.81887167404247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13.81887167404247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1.7053025658242404E-13</v>
      </c>
      <c r="CU163" s="17">
        <f>CT163*VLOOKUP('Données projet'!$B$13,Paramètres!$A$1:$I$89,3,0)*VLOOKUP('Données projet'!$B$13,Paramètres!$A$1:$I$89,5,0)</f>
        <v>1.1173142411280423E-13</v>
      </c>
      <c r="CV163" s="13">
        <f t="shared" si="173"/>
        <v>1.6569896290553793E-12</v>
      </c>
      <c r="CW163" s="20">
        <f t="shared" si="174"/>
        <v>3.0805225009345862E-12</v>
      </c>
      <c r="CX163" s="59">
        <f t="shared" si="122"/>
        <v>287.44023016432658</v>
      </c>
      <c r="CY163" s="59">
        <f ca="1">AVERAGE(OFFSET($CX$3,0,0,'Données projet'!$E$13+1,1))-AVERAGE(OFFSET($H$3,0,0,'Données projet'!$E$13+1,1))</f>
        <v>260.25859566735949</v>
      </c>
      <c r="CZ163" s="59">
        <f t="shared" si="150"/>
        <v>256.93649773468667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13.81887167404247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13.81887167404247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-2.2737367544323206E-13</v>
      </c>
      <c r="DP163" s="17">
        <f>DO163*VLOOKUP('Données projet'!$B$14,Paramètres!$A$1:$I$89,3,0)*VLOOKUP('Données projet'!$B$14,Paramètres!$A$1:$I$89,5,0)</f>
        <v>-1.3005774235352875E-13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349.56396446903</v>
      </c>
      <c r="DU163" s="59">
        <f t="shared" si="152"/>
        <v>270.64279448634522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46.22679605741537</v>
      </c>
      <c r="EB163" s="21">
        <f>EXP(-LN(2)/25)*EB162+(1-EXP(-LN(2)/25))/(LN(2)/25)*Calculateur!DW163*Calculateur!DY163*VLOOKUP('Données projet'!$B$14,Paramètres!$A$1:$I$89,3,0)*0.475*44/12</f>
        <v>14.533840988571278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60.760637045986648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375.89365709113105</v>
      </c>
      <c r="EP163" s="59">
        <f t="shared" si="154"/>
        <v>279.39056561403834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34.149265474351786</v>
      </c>
      <c r="EW163" s="21">
        <f>EXP(-LN(2)/25)*EW162+(1-EXP(-LN(2)/25))/(LN(2)/25)*Calculateur!ER163*Calculateur!ET163*VLOOKUP('Données projet'!$B$15,Paramètres!$A$1:$I$89,3,0)*0.475*44/12</f>
        <v>9.0227009735185604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43.171966447870346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-1.1368683772161603E-13</v>
      </c>
      <c r="FF163" s="17">
        <f>FE163*VLOOKUP('Données projet'!$B$16,Paramètres!$A$1:$I$89,3,0)*VLOOKUP('Données projet'!$B$16,Paramètres!$A$1:$I$89,5,0)</f>
        <v>-6.7984728957526396E-14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319.29539841078537</v>
      </c>
      <c r="FK163" s="59">
        <f t="shared" si="156"/>
        <v>327.26871144121412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19.086667981733559</v>
      </c>
      <c r="FR163" s="21">
        <f>EXP(-LN(2)/25)*FR162+(1-EXP(-LN(2)/25))/(LN(2)/25)*Calculateur!FM163*Calculateur!FO163*VLOOKUP('Données projet'!$B$16,Paramètres!$A$1:$I$89,3,0)*0.475*44/12</f>
        <v>5.3559588489320387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24.442626830665596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2.2737367544323206E-13</v>
      </c>
      <c r="GA163" s="17">
        <f>FZ163*VLOOKUP('Données projet'!$B$17,Paramètres!$A$1:$I$89,3,0)*VLOOKUP('Données projet'!$B$17,Paramètres!$A$1:$I$89,5,0)</f>
        <v>1.0049916454590858E-13</v>
      </c>
      <c r="GB163" s="13">
        <f t="shared" si="185"/>
        <v>1.5089081593838289E-12</v>
      </c>
      <c r="GC163" s="20">
        <f t="shared" si="186"/>
        <v>2.8030510891776262E-12</v>
      </c>
      <c r="GD163" s="59">
        <f t="shared" si="134"/>
        <v>287.44023016432629</v>
      </c>
      <c r="GE163" s="59">
        <f ca="1">AVERAGE(OFFSET($GD$3,0,0,'Données projet'!$E$17+1,1))-AVERAGE(OFFSET($H$3,0,0,'Données projet'!$E$17+1,1))</f>
        <v>342.89128067483233</v>
      </c>
      <c r="GF163" s="59">
        <f t="shared" si="158"/>
        <v>453.47615302202996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22.779318139104639</v>
      </c>
      <c r="GM163" s="21">
        <f>EXP(-LN(2)/25)*GM162+(1-EXP(-LN(2)/25))/(LN(2)/25)*Calculateur!GH163*Calculateur!GJ163*VLOOKUP('Données projet'!$B$17,Paramètres!$A$1:$I$89,3,0)*0.475*44/12</f>
        <v>7.3377331364355971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30.117051275540234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68.392790044815499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>
        <f>GU163*VLOOKUP('Données projet'!$B$18,Paramètres!$A$1:$I$89,3,0)*VLOOKUP('Données projet'!$B$18,Paramètres!$A$1:$I$89,5,0)</f>
        <v>0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375.89365709113105</v>
      </c>
      <c r="HA163" s="59">
        <f t="shared" si="160"/>
        <v>279.39056561403834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34.149265474351786</v>
      </c>
      <c r="HH163" s="21">
        <f>EXP(-LN(2)/25)*HH162+(1-EXP(-LN(2)/25))/(LN(2)/25)*Calculateur!HC163*Calculateur!HE163*VLOOKUP('Données projet'!$B$18,Paramètres!$A$1:$I$89,3,0)*0.475*44/12</f>
        <v>9.0227009735185604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43.171966447870346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178.09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447.37021680000026</v>
      </c>
      <c r="P164" s="13">
        <f t="shared" si="141"/>
        <v>101.3168050491076</v>
      </c>
      <c r="Q164" s="20">
        <f t="shared" si="162"/>
        <v>955.62989638719603</v>
      </c>
      <c r="R164" s="59">
        <f t="shared" si="109"/>
        <v>1243.172358716497</v>
      </c>
      <c r="S164" s="59">
        <f ca="1">AVERAGE(OFFSET($R$3,0,0,'Données projet'!$E$9+1,1))-AVERAGE(OFFSET($H$3,0,0,'Données projet'!$E$9+1,1))</f>
        <v>631.31712308065664</v>
      </c>
      <c r="T164" s="59">
        <f t="shared" si="142"/>
        <v>290.92244624361285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61.882119218227587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61.882119218227587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-2.8421709430404007E-14</v>
      </c>
      <c r="AJ164" s="13">
        <f>AI164*VLOOKUP('Données projet'!$B$10,Paramètres!$A$1:$I$89,3,0)*VLOOKUP('Données projet'!$B$10,Paramètres!$A$1:$I$89,5,0)</f>
        <v>-2.3942448024172337E-14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401.19166052471473</v>
      </c>
      <c r="AO164" s="59">
        <f t="shared" si="144"/>
        <v>271.10067497534271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65.16591776305988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65.16591776305988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501.36317400000041</v>
      </c>
      <c r="BF164" s="13">
        <f t="shared" si="167"/>
        <v>112.04868215190658</v>
      </c>
      <c r="BG164" s="20">
        <f t="shared" si="168"/>
        <v>1068.3589827979044</v>
      </c>
      <c r="BH164" s="59">
        <f t="shared" si="116"/>
        <v>1355.9014451272053</v>
      </c>
      <c r="BI164" s="59">
        <f ca="1">AVERAGE(OFFSET($BH$3,0,0,'Données projet'!$E$11+1,1))-AVERAGE(OFFSET($H$3,0,0,'Données projet'!$E$11+1,1))</f>
        <v>695.93700574708214</v>
      </c>
      <c r="BJ164" s="59">
        <f t="shared" si="146"/>
        <v>318.31690229208471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69.3506508480137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69.3506508480137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1.7053025658242404E-13</v>
      </c>
      <c r="BZ164" s="13">
        <f>BY164*VLOOKUP('Données projet'!$B$12,Paramètres!$A$1:$I$89,3,0)*VLOOKUP('Données projet'!$B$12,Paramètres!$A$1:$I$89,5,0)</f>
        <v>1.1173142411280423E-13</v>
      </c>
      <c r="CA164" s="13">
        <f t="shared" si="170"/>
        <v>1.6569896290553793E-12</v>
      </c>
      <c r="CB164" s="20">
        <f t="shared" si="171"/>
        <v>3.0805225009345862E-12</v>
      </c>
      <c r="CC164" s="59">
        <f t="shared" si="119"/>
        <v>287.54246232930393</v>
      </c>
      <c r="CD164" s="59">
        <f ca="1">AVERAGE(OFFSET($CC$3,0,0,'Données projet'!$E$12+1,1))-AVERAGE(OFFSET($H$3,0,0,'Données projet'!$E$12+1,1))</f>
        <v>260.25859566735949</v>
      </c>
      <c r="CE164" s="59">
        <f t="shared" si="148"/>
        <v>256.93649773468667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13.547892029193955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13.547892029193955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1.7053025658242404E-13</v>
      </c>
      <c r="CU164" s="17">
        <f>CT164*VLOOKUP('Données projet'!$B$13,Paramètres!$A$1:$I$89,3,0)*VLOOKUP('Données projet'!$B$13,Paramètres!$A$1:$I$89,5,0)</f>
        <v>1.1173142411280423E-13</v>
      </c>
      <c r="CV164" s="13">
        <f t="shared" si="173"/>
        <v>1.6569896290553793E-12</v>
      </c>
      <c r="CW164" s="20">
        <f t="shared" si="174"/>
        <v>3.0805225009345862E-12</v>
      </c>
      <c r="CX164" s="59">
        <f t="shared" si="122"/>
        <v>287.54246232930393</v>
      </c>
      <c r="CY164" s="59">
        <f ca="1">AVERAGE(OFFSET($CX$3,0,0,'Données projet'!$E$13+1,1))-AVERAGE(OFFSET($H$3,0,0,'Données projet'!$E$13+1,1))</f>
        <v>260.25859566735949</v>
      </c>
      <c r="CZ164" s="59">
        <f t="shared" si="150"/>
        <v>256.93649773468667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13.547892029193955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13.547892029193955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-2.2737367544323206E-13</v>
      </c>
      <c r="DP164" s="17">
        <f>DO164*VLOOKUP('Données projet'!$B$14,Paramètres!$A$1:$I$89,3,0)*VLOOKUP('Données projet'!$B$14,Paramètres!$A$1:$I$89,5,0)</f>
        <v>-1.3005774235352875E-13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349.56396446903</v>
      </c>
      <c r="DU164" s="59">
        <f t="shared" si="152"/>
        <v>270.64279448634522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45.320316782290966</v>
      </c>
      <c r="EB164" s="21">
        <f>EXP(-LN(2)/25)*EB163+(1-EXP(-LN(2)/25))/(LN(2)/25)*Calculateur!DW164*Calculateur!DY164*VLOOKUP('Données projet'!$B$14,Paramètres!$A$1:$I$89,3,0)*0.475*44/12</f>
        <v>14.136412342437316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59.456729124728284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375.89365709113105</v>
      </c>
      <c r="EP164" s="59">
        <f t="shared" si="154"/>
        <v>279.39056561403834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33.479619207394997</v>
      </c>
      <c r="EW164" s="21">
        <f>EXP(-LN(2)/25)*EW163+(1-EXP(-LN(2)/25))/(LN(2)/25)*Calculateur!ER164*Calculateur!ET164*VLOOKUP('Données projet'!$B$15,Paramètres!$A$1:$I$89,3,0)*0.475*44/12</f>
        <v>8.7759747409144726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42.255593948309468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-1.1368683772161603E-13</v>
      </c>
      <c r="FF164" s="17">
        <f>FE164*VLOOKUP('Données projet'!$B$16,Paramètres!$A$1:$I$89,3,0)*VLOOKUP('Données projet'!$B$16,Paramètres!$A$1:$I$89,5,0)</f>
        <v>-6.7984728957526396E-14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319.29539841078537</v>
      </c>
      <c r="FK164" s="59">
        <f t="shared" si="156"/>
        <v>327.26871144121412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18.712390064329707</v>
      </c>
      <c r="FR164" s="21">
        <f>EXP(-LN(2)/25)*FR163+(1-EXP(-LN(2)/25))/(LN(2)/25)*Calculateur!FM164*Calculateur!FO164*VLOOKUP('Données projet'!$B$16,Paramètres!$A$1:$I$89,3,0)*0.475*44/12</f>
        <v>5.2094998725503574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23.921889936880063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2.2737367544323206E-13</v>
      </c>
      <c r="GA164" s="17">
        <f>FZ164*VLOOKUP('Données projet'!$B$17,Paramètres!$A$1:$I$89,3,0)*VLOOKUP('Données projet'!$B$17,Paramètres!$A$1:$I$89,5,0)</f>
        <v>1.0049916454590858E-13</v>
      </c>
      <c r="GB164" s="13">
        <f t="shared" si="185"/>
        <v>1.5089081593838289E-12</v>
      </c>
      <c r="GC164" s="20">
        <f t="shared" si="186"/>
        <v>2.8030510891776262E-12</v>
      </c>
      <c r="GD164" s="59">
        <f t="shared" si="134"/>
        <v>287.54246232930365</v>
      </c>
      <c r="GE164" s="59">
        <f ca="1">AVERAGE(OFFSET($GD$3,0,0,'Données projet'!$E$17+1,1))-AVERAGE(OFFSET($H$3,0,0,'Données projet'!$E$17+1,1))</f>
        <v>342.89128067483233</v>
      </c>
      <c r="GF164" s="59">
        <f t="shared" si="158"/>
        <v>453.47615302202996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22.332629604408943</v>
      </c>
      <c r="GM164" s="21">
        <f>EXP(-LN(2)/25)*GM163+(1-EXP(-LN(2)/25))/(LN(2)/25)*Calculateur!GH164*Calculateur!GJ164*VLOOKUP('Données projet'!$B$17,Paramètres!$A$1:$I$89,3,0)*0.475*44/12</f>
        <v>7.1370824379451507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29.469712042354093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68.420671544354775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>
        <f>GU164*VLOOKUP('Données projet'!$B$18,Paramètres!$A$1:$I$89,3,0)*VLOOKUP('Données projet'!$B$18,Paramètres!$A$1:$I$89,5,0)</f>
        <v>0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375.89365709113105</v>
      </c>
      <c r="HA164" s="59">
        <f t="shared" si="160"/>
        <v>279.39056561403834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33.479619207394997</v>
      </c>
      <c r="HH164" s="21">
        <f>EXP(-LN(2)/25)*HH163+(1-EXP(-LN(2)/25))/(LN(2)/25)*Calculateur!HC164*Calculateur!HE164*VLOOKUP('Données projet'!$B$18,Paramètres!$A$1:$I$89,3,0)*0.475*44/12</f>
        <v>8.7759747409144726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42.255593948309468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178.09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455.00944320000031</v>
      </c>
      <c r="P165" s="13">
        <f t="shared" si="141"/>
        <v>102.84398567063174</v>
      </c>
      <c r="Q165" s="20">
        <f t="shared" si="162"/>
        <v>971.59472194968396</v>
      </c>
      <c r="R165" s="59">
        <f t="shared" si="109"/>
        <v>1259.2376429444566</v>
      </c>
      <c r="S165" s="59">
        <f ca="1">AVERAGE(OFFSET($R$3,0,0,'Données projet'!$E$9+1,1))-AVERAGE(OFFSET($H$3,0,0,'Données projet'!$E$9+1,1))</f>
        <v>631.31712308065664</v>
      </c>
      <c r="T165" s="59">
        <f t="shared" si="142"/>
        <v>290.92244624361285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60.66864860472392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60.66864860472392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-2.8421709430404007E-14</v>
      </c>
      <c r="AJ165" s="13">
        <f>AI165*VLOOKUP('Données projet'!$B$10,Paramètres!$A$1:$I$89,3,0)*VLOOKUP('Données projet'!$B$10,Paramètres!$A$1:$I$89,5,0)</f>
        <v>-2.3942448024172337E-14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401.19166052471473</v>
      </c>
      <c r="AO165" s="59">
        <f t="shared" si="144"/>
        <v>271.10067497534271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63.888053863011393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63.888053863011393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509.92437600000034</v>
      </c>
      <c r="BF165" s="13">
        <f t="shared" si="167"/>
        <v>113.73762779095213</v>
      </c>
      <c r="BG165" s="20">
        <f t="shared" si="168"/>
        <v>1086.211323269242</v>
      </c>
      <c r="BH165" s="59">
        <f t="shared" si="116"/>
        <v>1373.8542442640148</v>
      </c>
      <c r="BI165" s="59">
        <f ca="1">AVERAGE(OFFSET($BH$3,0,0,'Données projet'!$E$11+1,1))-AVERAGE(OFFSET($H$3,0,0,'Données projet'!$E$11+1,1))</f>
        <v>695.93700574708214</v>
      </c>
      <c r="BJ165" s="59">
        <f t="shared" si="146"/>
        <v>318.31690229208471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67.990726884604413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67.990726884604413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1.7053025658242404E-13</v>
      </c>
      <c r="BZ165" s="13">
        <f>BY165*VLOOKUP('Données projet'!$B$12,Paramètres!$A$1:$I$89,3,0)*VLOOKUP('Données projet'!$B$12,Paramètres!$A$1:$I$89,5,0)</f>
        <v>1.1173142411280423E-13</v>
      </c>
      <c r="CA165" s="13">
        <f t="shared" si="170"/>
        <v>1.6569896290553793E-12</v>
      </c>
      <c r="CB165" s="20">
        <f t="shared" si="171"/>
        <v>3.0805225009345862E-12</v>
      </c>
      <c r="CC165" s="59">
        <f t="shared" si="119"/>
        <v>287.64292099477586</v>
      </c>
      <c r="CD165" s="59">
        <f ca="1">AVERAGE(OFFSET($CC$3,0,0,'Données projet'!$E$12+1,1))-AVERAGE(OFFSET($H$3,0,0,'Données projet'!$E$12+1,1))</f>
        <v>260.25859566735949</v>
      </c>
      <c r="CE165" s="59">
        <f t="shared" si="148"/>
        <v>256.93649773468667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13.282226129899657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13.282226129899657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1.7053025658242404E-13</v>
      </c>
      <c r="CU165" s="17">
        <f>CT165*VLOOKUP('Données projet'!$B$13,Paramètres!$A$1:$I$89,3,0)*VLOOKUP('Données projet'!$B$13,Paramètres!$A$1:$I$89,5,0)</f>
        <v>1.1173142411280423E-13</v>
      </c>
      <c r="CV165" s="13">
        <f t="shared" si="173"/>
        <v>1.6569896290553793E-12</v>
      </c>
      <c r="CW165" s="20">
        <f t="shared" si="174"/>
        <v>3.0805225009345862E-12</v>
      </c>
      <c r="CX165" s="59">
        <f t="shared" si="122"/>
        <v>287.64292099477586</v>
      </c>
      <c r="CY165" s="59">
        <f ca="1">AVERAGE(OFFSET($CX$3,0,0,'Données projet'!$E$13+1,1))-AVERAGE(OFFSET($H$3,0,0,'Données projet'!$E$13+1,1))</f>
        <v>260.25859566735949</v>
      </c>
      <c r="CZ165" s="59">
        <f t="shared" si="150"/>
        <v>256.93649773468667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13.282226129899657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13.282226129899657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-2.2737367544323206E-13</v>
      </c>
      <c r="DP165" s="17">
        <f>DO165*VLOOKUP('Données projet'!$B$14,Paramètres!$A$1:$I$89,3,0)*VLOOKUP('Données projet'!$B$14,Paramètres!$A$1:$I$89,5,0)</f>
        <v>-1.3005774235352875E-13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349.56396446903</v>
      </c>
      <c r="DU165" s="59">
        <f t="shared" si="152"/>
        <v>270.64279448634522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44.431613012853994</v>
      </c>
      <c r="EB165" s="21">
        <f>EXP(-LN(2)/25)*EB164+(1-EXP(-LN(2)/25))/(LN(2)/25)*Calculateur!DW165*Calculateur!DY165*VLOOKUP('Données projet'!$B$14,Paramètres!$A$1:$I$89,3,0)*0.475*44/12</f>
        <v>13.749851403531752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58.181464416385744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375.89365709113105</v>
      </c>
      <c r="EP165" s="59">
        <f t="shared" si="154"/>
        <v>279.39056561403834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32.823104295289333</v>
      </c>
      <c r="EW165" s="21">
        <f>EXP(-LN(2)/25)*EW164+(1-EXP(-LN(2)/25))/(LN(2)/25)*Calculateur!ER165*Calculateur!ET165*VLOOKUP('Données projet'!$B$15,Paramètres!$A$1:$I$89,3,0)*0.475*44/12</f>
        <v>8.5359952501157128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41.359099545405044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-1.1368683772161603E-13</v>
      </c>
      <c r="FF165" s="17">
        <f>FE165*VLOOKUP('Données projet'!$B$16,Paramètres!$A$1:$I$89,3,0)*VLOOKUP('Données projet'!$B$16,Paramètres!$A$1:$I$89,5,0)</f>
        <v>-6.7984728957526396E-14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319.29539841078537</v>
      </c>
      <c r="FK165" s="59">
        <f t="shared" si="156"/>
        <v>327.26871144121412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18.345451508599158</v>
      </c>
      <c r="FR165" s="21">
        <f>EXP(-LN(2)/25)*FR164+(1-EXP(-LN(2)/25))/(LN(2)/25)*Calculateur!FM165*Calculateur!FO165*VLOOKUP('Données projet'!$B$16,Paramètres!$A$1:$I$89,3,0)*0.475*44/12</f>
        <v>5.0670458245797763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23.412497333178933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2.2737367544323206E-13</v>
      </c>
      <c r="GA165" s="17">
        <f>FZ165*VLOOKUP('Données projet'!$B$17,Paramètres!$A$1:$I$89,3,0)*VLOOKUP('Données projet'!$B$17,Paramètres!$A$1:$I$89,5,0)</f>
        <v>1.0049916454590858E-13</v>
      </c>
      <c r="GB165" s="13">
        <f t="shared" si="185"/>
        <v>1.5089081593838289E-12</v>
      </c>
      <c r="GC165" s="20">
        <f t="shared" si="186"/>
        <v>2.8030510891776262E-12</v>
      </c>
      <c r="GD165" s="59">
        <f t="shared" si="134"/>
        <v>287.64292099477558</v>
      </c>
      <c r="GE165" s="59">
        <f ca="1">AVERAGE(OFFSET($GD$3,0,0,'Données projet'!$E$17+1,1))-AVERAGE(OFFSET($H$3,0,0,'Données projet'!$E$17+1,1))</f>
        <v>342.89128067483233</v>
      </c>
      <c r="GF165" s="59">
        <f t="shared" si="158"/>
        <v>453.47615302202996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21.894700359425524</v>
      </c>
      <c r="GM165" s="21">
        <f>EXP(-LN(2)/25)*GM164+(1-EXP(-LN(2)/25))/(LN(2)/25)*Calculateur!GH165*Calculateur!GJ165*VLOOKUP('Données projet'!$B$17,Paramètres!$A$1:$I$89,3,0)*0.475*44/12</f>
        <v>6.941918543356687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28.836618902782213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68.448069362210759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>
        <f>GU165*VLOOKUP('Données projet'!$B$18,Paramètres!$A$1:$I$89,3,0)*VLOOKUP('Données projet'!$B$18,Paramètres!$A$1:$I$89,5,0)</f>
        <v>0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375.89365709113105</v>
      </c>
      <c r="HA165" s="59">
        <f t="shared" si="160"/>
        <v>279.39056561403834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32.823104295289333</v>
      </c>
      <c r="HH165" s="21">
        <f>EXP(-LN(2)/25)*HH164+(1-EXP(-LN(2)/25))/(LN(2)/25)*Calculateur!HC165*Calculateur!HE165*VLOOKUP('Données projet'!$B$18,Paramètres!$A$1:$I$89,3,0)*0.475*44/12</f>
        <v>8.5359952501157128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41.359099545405044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178.09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462.64866960000029</v>
      </c>
      <c r="P166" s="13">
        <f t="shared" si="141"/>
        <v>104.36818455309495</v>
      </c>
      <c r="Q166" s="20">
        <f t="shared" si="162"/>
        <v>987.5543543166408</v>
      </c>
      <c r="R166" s="59">
        <f t="shared" si="109"/>
        <v>1275.2959912436315</v>
      </c>
      <c r="S166" s="59">
        <f ca="1">AVERAGE(OFFSET($R$3,0,0,'Données projet'!$E$9+1,1))-AVERAGE(OFFSET($H$3,0,0,'Données projet'!$E$9+1,1))</f>
        <v>631.31712308065664</v>
      </c>
      <c r="T166" s="59">
        <f t="shared" si="142"/>
        <v>290.92244624361285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59.478973409807068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59.478973409807068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-2.8421709430404007E-14</v>
      </c>
      <c r="AJ166" s="13">
        <f>AI166*VLOOKUP('Données projet'!$B$10,Paramètres!$A$1:$I$89,3,0)*VLOOKUP('Données projet'!$B$10,Paramètres!$A$1:$I$89,5,0)</f>
        <v>-2.3942448024172337E-14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401.19166052471473</v>
      </c>
      <c r="AO166" s="59">
        <f t="shared" si="144"/>
        <v>271.10067497534271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62.635248094622838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62.635248094622838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518.48557800000037</v>
      </c>
      <c r="BF166" s="13">
        <f t="shared" si="167"/>
        <v>115.42327585333055</v>
      </c>
      <c r="BG166" s="20">
        <f t="shared" si="168"/>
        <v>1104.0579204612179</v>
      </c>
      <c r="BH166" s="59">
        <f t="shared" si="116"/>
        <v>1391.7995573882085</v>
      </c>
      <c r="BI166" s="59">
        <f ca="1">AVERAGE(OFFSET($BH$3,0,0,'Données projet'!$E$11+1,1))-AVERAGE(OFFSET($H$3,0,0,'Données projet'!$E$11+1,1))</f>
        <v>695.93700574708214</v>
      </c>
      <c r="BJ166" s="59">
        <f t="shared" si="146"/>
        <v>318.31690229208471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66.657470200645875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66.657470200645875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1.7053025658242404E-13</v>
      </c>
      <c r="BZ166" s="13">
        <f>BY166*VLOOKUP('Données projet'!$B$12,Paramètres!$A$1:$I$89,3,0)*VLOOKUP('Données projet'!$B$12,Paramètres!$A$1:$I$89,5,0)</f>
        <v>1.1173142411280423E-13</v>
      </c>
      <c r="CA166" s="13">
        <f t="shared" si="170"/>
        <v>1.6569896290553793E-12</v>
      </c>
      <c r="CB166" s="20">
        <f t="shared" si="171"/>
        <v>3.0805225009345862E-12</v>
      </c>
      <c r="CC166" s="59">
        <f t="shared" si="119"/>
        <v>287.74163692699375</v>
      </c>
      <c r="CD166" s="59">
        <f ca="1">AVERAGE(OFFSET($CC$3,0,0,'Données projet'!$E$12+1,1))-AVERAGE(OFFSET($H$3,0,0,'Données projet'!$E$12+1,1))</f>
        <v>260.25859566735949</v>
      </c>
      <c r="CE166" s="59">
        <f t="shared" si="148"/>
        <v>256.93649773468667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13.021769776850322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13.021769776850322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1.7053025658242404E-13</v>
      </c>
      <c r="CU166" s="17">
        <f>CT166*VLOOKUP('Données projet'!$B$13,Paramètres!$A$1:$I$89,3,0)*VLOOKUP('Données projet'!$B$13,Paramètres!$A$1:$I$89,5,0)</f>
        <v>1.1173142411280423E-13</v>
      </c>
      <c r="CV166" s="13">
        <f t="shared" si="173"/>
        <v>1.6569896290553793E-12</v>
      </c>
      <c r="CW166" s="20">
        <f t="shared" si="174"/>
        <v>3.0805225009345862E-12</v>
      </c>
      <c r="CX166" s="59">
        <f t="shared" si="122"/>
        <v>287.74163692699375</v>
      </c>
      <c r="CY166" s="59">
        <f ca="1">AVERAGE(OFFSET($CX$3,0,0,'Données projet'!$E$13+1,1))-AVERAGE(OFFSET($H$3,0,0,'Données projet'!$E$13+1,1))</f>
        <v>260.25859566735949</v>
      </c>
      <c r="CZ166" s="59">
        <f t="shared" si="150"/>
        <v>256.93649773468667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13.021769776850322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13.021769776850322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-2.2737367544323206E-13</v>
      </c>
      <c r="DP166" s="17">
        <f>DO166*VLOOKUP('Données projet'!$B$14,Paramètres!$A$1:$I$89,3,0)*VLOOKUP('Données projet'!$B$14,Paramètres!$A$1:$I$89,5,0)</f>
        <v>-1.3005774235352875E-13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349.56396446903</v>
      </c>
      <c r="DU166" s="59">
        <f t="shared" si="152"/>
        <v>270.64279448634522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43.560336182279904</v>
      </c>
      <c r="EB166" s="21">
        <f>EXP(-LN(2)/25)*EB165+(1-EXP(-LN(2)/25))/(LN(2)/25)*Calculateur!DW166*Calculateur!DY166*VLOOKUP('Données projet'!$B$14,Paramètres!$A$1:$I$89,3,0)*0.475*44/12</f>
        <v>13.373860993828917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56.934197176108825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375.89365709113105</v>
      </c>
      <c r="EP166" s="59">
        <f t="shared" si="154"/>
        <v>279.39056561403834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32.179463240175508</v>
      </c>
      <c r="EW166" s="21">
        <f>EXP(-LN(2)/25)*EW165+(1-EXP(-LN(2)/25))/(LN(2)/25)*Calculateur!ER166*Calculateur!ET166*VLOOKUP('Données projet'!$B$15,Paramètres!$A$1:$I$89,3,0)*0.475*44/12</f>
        <v>8.3025780111128178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40.482041251288322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-1.1368683772161603E-13</v>
      </c>
      <c r="FF166" s="17">
        <f>FE166*VLOOKUP('Données projet'!$B$16,Paramètres!$A$1:$I$89,3,0)*VLOOKUP('Données projet'!$B$16,Paramètres!$A$1:$I$89,5,0)</f>
        <v>-6.7984728957526396E-14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319.29539841078537</v>
      </c>
      <c r="FK166" s="59">
        <f t="shared" si="156"/>
        <v>327.26871144121412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17.985708394136065</v>
      </c>
      <c r="FR166" s="21">
        <f>EXP(-LN(2)/25)*FR165+(1-EXP(-LN(2)/25))/(LN(2)/25)*Calculateur!FM166*Calculateur!FO166*VLOOKUP('Données projet'!$B$16,Paramètres!$A$1:$I$89,3,0)*0.475*44/12</f>
        <v>4.9284871900422829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22.914195584178348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2.2737367544323206E-13</v>
      </c>
      <c r="GA166" s="17">
        <f>FZ166*VLOOKUP('Données projet'!$B$17,Paramètres!$A$1:$I$89,3,0)*VLOOKUP('Données projet'!$B$17,Paramètres!$A$1:$I$89,5,0)</f>
        <v>1.0049916454590858E-13</v>
      </c>
      <c r="GB166" s="13">
        <f t="shared" si="185"/>
        <v>1.5089081593838289E-12</v>
      </c>
      <c r="GC166" s="20">
        <f t="shared" si="186"/>
        <v>2.8030510891776262E-12</v>
      </c>
      <c r="GD166" s="59">
        <f t="shared" si="134"/>
        <v>287.74163692699346</v>
      </c>
      <c r="GE166" s="59">
        <f ca="1">AVERAGE(OFFSET($GD$3,0,0,'Données projet'!$E$17+1,1))-AVERAGE(OFFSET($H$3,0,0,'Données projet'!$E$17+1,1))</f>
        <v>342.89128067483233</v>
      </c>
      <c r="GF166" s="59">
        <f t="shared" si="158"/>
        <v>453.47615302202996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21.465358639825766</v>
      </c>
      <c r="GM166" s="21">
        <f>EXP(-LN(2)/25)*GM165+(1-EXP(-LN(2)/25))/(LN(2)/25)*Calculateur!GH166*Calculateur!GJ166*VLOOKUP('Données projet'!$B$17,Paramètres!$A$1:$I$89,3,0)*0.475*44/12</f>
        <v>6.7520914157289678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28.217450055554735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68.474991889179279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>
        <f>GU166*VLOOKUP('Données projet'!$B$18,Paramètres!$A$1:$I$89,3,0)*VLOOKUP('Données projet'!$B$18,Paramètres!$A$1:$I$89,5,0)</f>
        <v>0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375.89365709113105</v>
      </c>
      <c r="HA166" s="59">
        <f t="shared" si="160"/>
        <v>279.39056561403834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32.179463240175508</v>
      </c>
      <c r="HH166" s="21">
        <f>EXP(-LN(2)/25)*HH165+(1-EXP(-LN(2)/25))/(LN(2)/25)*Calculateur!HC166*Calculateur!HE166*VLOOKUP('Données projet'!$B$18,Paramètres!$A$1:$I$89,3,0)*0.475*44/12</f>
        <v>8.3025780111128178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40.482041251288322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178.09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470.28789600000022</v>
      </c>
      <c r="P167" s="13">
        <f t="shared" si="141"/>
        <v>105.88945661390174</v>
      </c>
      <c r="Q167" s="20">
        <f t="shared" si="162"/>
        <v>1003.5088891358791</v>
      </c>
      <c r="R167" s="59">
        <f t="shared" si="109"/>
        <v>1291.3475294943596</v>
      </c>
      <c r="S167" s="59">
        <f ca="1">AVERAGE(OFFSET($R$3,0,0,'Données projet'!$E$9+1,1))-AVERAGE(OFFSET($H$3,0,0,'Données projet'!$E$9+1,1))</f>
        <v>631.31712308065664</v>
      </c>
      <c r="T167" s="59">
        <f t="shared" si="142"/>
        <v>290.92244624361285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73.687796339175065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73.687796339175065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-2.8421709430404007E-14</v>
      </c>
      <c r="AJ167" s="13">
        <f>AI167*VLOOKUP('Données projet'!$B$10,Paramètres!$A$1:$I$89,3,0)*VLOOKUP('Données projet'!$B$10,Paramètres!$A$1:$I$89,5,0)</f>
        <v>-2.3942448024172337E-14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401.19166052471473</v>
      </c>
      <c r="AO167" s="59">
        <f t="shared" si="144"/>
        <v>271.10067497534271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61.407009083216316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61.407009083216316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527.04678000000035</v>
      </c>
      <c r="BF167" s="13">
        <f t="shared" si="167"/>
        <v>117.10568707351568</v>
      </c>
      <c r="BG167" s="20">
        <f t="shared" si="168"/>
        <v>1121.8988801530404</v>
      </c>
      <c r="BH167" s="59">
        <f t="shared" si="116"/>
        <v>1409.7375205115209</v>
      </c>
      <c r="BI167" s="59">
        <f ca="1">AVERAGE(OFFSET($BH$3,0,0,'Données projet'!$E$11+1,1))-AVERAGE(OFFSET($H$3,0,0,'Données projet'!$E$11+1,1))</f>
        <v>695.93700574708214</v>
      </c>
      <c r="BJ167" s="59">
        <f t="shared" si="146"/>
        <v>318.31690229208471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82.581151069765184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82.581151069765184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1.7053025658242404E-13</v>
      </c>
      <c r="BZ167" s="13">
        <f>BY167*VLOOKUP('Données projet'!$B$12,Paramètres!$A$1:$I$89,3,0)*VLOOKUP('Données projet'!$B$12,Paramètres!$A$1:$I$89,5,0)</f>
        <v>1.1173142411280423E-13</v>
      </c>
      <c r="CA167" s="13">
        <f t="shared" si="170"/>
        <v>1.6569896290553793E-12</v>
      </c>
      <c r="CB167" s="20">
        <f t="shared" si="171"/>
        <v>3.0805225009345862E-12</v>
      </c>
      <c r="CC167" s="59">
        <f t="shared" si="119"/>
        <v>287.83864035848347</v>
      </c>
      <c r="CD167" s="59">
        <f ca="1">AVERAGE(OFFSET($CC$3,0,0,'Données projet'!$E$12+1,1))-AVERAGE(OFFSET($H$3,0,0,'Données projet'!$E$12+1,1))</f>
        <v>260.25859566735949</v>
      </c>
      <c r="CE167" s="59">
        <f t="shared" si="148"/>
        <v>256.93649773468667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12.766420814021595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12.766420814021595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1.7053025658242404E-13</v>
      </c>
      <c r="CU167" s="17">
        <f>CT167*VLOOKUP('Données projet'!$B$13,Paramètres!$A$1:$I$89,3,0)*VLOOKUP('Données projet'!$B$13,Paramètres!$A$1:$I$89,5,0)</f>
        <v>1.1173142411280423E-13</v>
      </c>
      <c r="CV167" s="13">
        <f t="shared" si="173"/>
        <v>1.6569896290553793E-12</v>
      </c>
      <c r="CW167" s="20">
        <f t="shared" si="174"/>
        <v>3.0805225009345862E-12</v>
      </c>
      <c r="CX167" s="59">
        <f t="shared" si="122"/>
        <v>287.83864035848347</v>
      </c>
      <c r="CY167" s="59">
        <f ca="1">AVERAGE(OFFSET($CX$3,0,0,'Données projet'!$E$13+1,1))-AVERAGE(OFFSET($H$3,0,0,'Données projet'!$E$13+1,1))</f>
        <v>260.25859566735949</v>
      </c>
      <c r="CZ167" s="59">
        <f t="shared" si="150"/>
        <v>256.93649773468667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12.766420814021595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12.766420814021595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-2.2737367544323206E-13</v>
      </c>
      <c r="DP167" s="17">
        <f>DO167*VLOOKUP('Données projet'!$B$14,Paramètres!$A$1:$I$89,3,0)*VLOOKUP('Données projet'!$B$14,Paramètres!$A$1:$I$89,5,0)</f>
        <v>-1.3005774235352875E-13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349.56396446903</v>
      </c>
      <c r="DU167" s="59">
        <f t="shared" si="152"/>
        <v>270.64279448634522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42.706144558926979</v>
      </c>
      <c r="EB167" s="21">
        <f>EXP(-LN(2)/25)*EB166+(1-EXP(-LN(2)/25))/(LN(2)/25)*Calculateur!DW167*Calculateur!DY167*VLOOKUP('Données projet'!$B$14,Paramètres!$A$1:$I$89,3,0)*0.475*44/12</f>
        <v>13.008152061651881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55.714296620578864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375.89365709113105</v>
      </c>
      <c r="EP167" s="59">
        <f t="shared" si="154"/>
        <v>279.39056561403834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31.548443593570184</v>
      </c>
      <c r="EW167" s="21">
        <f>EXP(-LN(2)/25)*EW166+(1-EXP(-LN(2)/25))/(LN(2)/25)*Calculateur!ER167*Calculateur!ET167*VLOOKUP('Données projet'!$B$15,Paramètres!$A$1:$I$89,3,0)*0.475*44/12</f>
        <v>8.0755435787853358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39.62398717235552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-1.1368683772161603E-13</v>
      </c>
      <c r="FF167" s="17">
        <f>FE167*VLOOKUP('Données projet'!$B$16,Paramètres!$A$1:$I$89,3,0)*VLOOKUP('Données projet'!$B$16,Paramètres!$A$1:$I$89,5,0)</f>
        <v>-6.7984728957526396E-14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319.29539841078537</v>
      </c>
      <c r="FK167" s="59">
        <f t="shared" si="156"/>
        <v>327.26871144121412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17.633019622725961</v>
      </c>
      <c r="FR167" s="21">
        <f>EXP(-LN(2)/25)*FR166+(1-EXP(-LN(2)/25))/(LN(2)/25)*Calculateur!FM167*Calculateur!FO167*VLOOKUP('Données projet'!$B$16,Paramètres!$A$1:$I$89,3,0)*0.475*44/12</f>
        <v>4.7937174486526999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22.42673707137866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2.2737367544323206E-13</v>
      </c>
      <c r="GA167" s="17">
        <f>FZ167*VLOOKUP('Données projet'!$B$17,Paramètres!$A$1:$I$89,3,0)*VLOOKUP('Données projet'!$B$17,Paramètres!$A$1:$I$89,5,0)</f>
        <v>1.0049916454590858E-13</v>
      </c>
      <c r="GB167" s="13">
        <f t="shared" si="185"/>
        <v>1.5089081593838289E-12</v>
      </c>
      <c r="GC167" s="20">
        <f t="shared" si="186"/>
        <v>2.8030510891776262E-12</v>
      </c>
      <c r="GD167" s="59">
        <f t="shared" si="134"/>
        <v>287.83864035848319</v>
      </c>
      <c r="GE167" s="59">
        <f ca="1">AVERAGE(OFFSET($GD$3,0,0,'Données projet'!$E$17+1,1))-AVERAGE(OFFSET($H$3,0,0,'Données projet'!$E$17+1,1))</f>
        <v>342.89128067483233</v>
      </c>
      <c r="GF167" s="59">
        <f t="shared" si="158"/>
        <v>453.47615302202996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21.044436049474768</v>
      </c>
      <c r="GM167" s="21">
        <f>EXP(-LN(2)/25)*GM166+(1-EXP(-LN(2)/25))/(LN(2)/25)*Calculateur!GH167*Calculateur!GJ167*VLOOKUP('Données projet'!$B$17,Paramètres!$A$1:$I$89,3,0)*0.475*44/12</f>
        <v>6.5674551208888037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27.61189117036357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68.501447370494645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>
        <f>GU167*VLOOKUP('Données projet'!$B$18,Paramètres!$A$1:$I$89,3,0)*VLOOKUP('Données projet'!$B$18,Paramètres!$A$1:$I$89,5,0)</f>
        <v>0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375.89365709113105</v>
      </c>
      <c r="HA167" s="59">
        <f t="shared" si="160"/>
        <v>279.39056561403834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31.548443593570184</v>
      </c>
      <c r="HH167" s="21">
        <f>EXP(-LN(2)/25)*HH166+(1-EXP(-LN(2)/25))/(LN(2)/25)*Calculateur!HC167*Calculateur!HE167*VLOOKUP('Données projet'!$B$18,Paramètres!$A$1:$I$89,3,0)*0.475*44/12</f>
        <v>8.0755435787853358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39.62398717235552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178.09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424.11233280000033</v>
      </c>
      <c r="P168" s="13">
        <f t="shared" si="141"/>
        <v>96.648293340367189</v>
      </c>
      <c r="Q168" s="20">
        <f t="shared" si="162"/>
        <v>906.99142386114011</v>
      </c>
      <c r="R168" s="59">
        <f t="shared" si="109"/>
        <v>1194.925384858441</v>
      </c>
      <c r="S168" s="59">
        <f ca="1">AVERAGE(OFFSET($R$3,0,0,'Données projet'!$E$9+1,1))-AVERAGE(OFFSET($H$3,0,0,'Données projet'!$E$9+1,1))</f>
        <v>631.31712308065664</v>
      </c>
      <c r="T168" s="59">
        <f t="shared" si="142"/>
        <v>290.92244624361285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72.242823598081642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72.242823598081642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-2.8421709430404007E-14</v>
      </c>
      <c r="AJ168" s="13">
        <f>AI168*VLOOKUP('Données projet'!$B$10,Paramètres!$A$1:$I$89,3,0)*VLOOKUP('Données projet'!$B$10,Paramètres!$A$1:$I$89,5,0)</f>
        <v>-2.3942448024172337E-14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401.19166052471473</v>
      </c>
      <c r="AO168" s="59">
        <f t="shared" si="144"/>
        <v>271.10067497534271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60.202855089671651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60.202855089671651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475.29830400000037</v>
      </c>
      <c r="BF168" s="13">
        <f t="shared" si="167"/>
        <v>106.88566320039537</v>
      </c>
      <c r="BG168" s="20">
        <f t="shared" si="168"/>
        <v>1013.9704095406892</v>
      </c>
      <c r="BH168" s="59">
        <f t="shared" si="116"/>
        <v>1301.90437053799</v>
      </c>
      <c r="BI168" s="59">
        <f ca="1">AVERAGE(OFFSET($BH$3,0,0,'Données projet'!$E$11+1,1))-AVERAGE(OFFSET($H$3,0,0,'Données projet'!$E$11+1,1))</f>
        <v>695.93700574708214</v>
      </c>
      <c r="BJ168" s="59">
        <f t="shared" si="146"/>
        <v>318.31690229208471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80.961785066815665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80.961785066815665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1.7053025658242404E-13</v>
      </c>
      <c r="BZ168" s="13">
        <f>BY168*VLOOKUP('Données projet'!$B$12,Paramètres!$A$1:$I$89,3,0)*VLOOKUP('Données projet'!$B$12,Paramètres!$A$1:$I$89,5,0)</f>
        <v>1.1173142411280423E-13</v>
      </c>
      <c r="CA168" s="13">
        <f t="shared" si="170"/>
        <v>1.6569896290553793E-12</v>
      </c>
      <c r="CB168" s="20">
        <f t="shared" si="171"/>
        <v>3.0805225009345862E-12</v>
      </c>
      <c r="CC168" s="59">
        <f t="shared" si="119"/>
        <v>287.93396099730393</v>
      </c>
      <c r="CD168" s="59">
        <f ca="1">AVERAGE(OFFSET($CC$3,0,0,'Données projet'!$E$12+1,1))-AVERAGE(OFFSET($H$3,0,0,'Données projet'!$E$12+1,1))</f>
        <v>260.25859566735949</v>
      </c>
      <c r="CE168" s="59">
        <f t="shared" si="148"/>
        <v>256.93649773468667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12.516079088606451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12.516079088606451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1.7053025658242404E-13</v>
      </c>
      <c r="CU168" s="17">
        <f>CT168*VLOOKUP('Données projet'!$B$13,Paramètres!$A$1:$I$89,3,0)*VLOOKUP('Données projet'!$B$13,Paramètres!$A$1:$I$89,5,0)</f>
        <v>1.1173142411280423E-13</v>
      </c>
      <c r="CV168" s="13">
        <f t="shared" si="173"/>
        <v>1.6569896290553793E-12</v>
      </c>
      <c r="CW168" s="20">
        <f t="shared" si="174"/>
        <v>3.0805225009345862E-12</v>
      </c>
      <c r="CX168" s="59">
        <f t="shared" si="122"/>
        <v>287.93396099730393</v>
      </c>
      <c r="CY168" s="59">
        <f ca="1">AVERAGE(OFFSET($CX$3,0,0,'Données projet'!$E$13+1,1))-AVERAGE(OFFSET($H$3,0,0,'Données projet'!$E$13+1,1))</f>
        <v>260.25859566735949</v>
      </c>
      <c r="CZ168" s="59">
        <f t="shared" si="150"/>
        <v>256.93649773468667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12.516079088606451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12.516079088606451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-2.2737367544323206E-13</v>
      </c>
      <c r="DP168" s="17">
        <f>DO168*VLOOKUP('Données projet'!$B$14,Paramètres!$A$1:$I$89,3,0)*VLOOKUP('Données projet'!$B$14,Paramètres!$A$1:$I$89,5,0)</f>
        <v>-1.3005774235352875E-13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349.56396446903</v>
      </c>
      <c r="DU168" s="59">
        <f t="shared" si="152"/>
        <v>270.64279448634522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41.868703112302562</v>
      </c>
      <c r="EB168" s="21">
        <f>EXP(-LN(2)/25)*EB167+(1-EXP(-LN(2)/25))/(LN(2)/25)*Calculateur!DW168*Calculateur!DY168*VLOOKUP('Données projet'!$B$14,Paramètres!$A$1:$I$89,3,0)*0.475*44/12</f>
        <v>12.652443459457023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54.521146571759587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375.89365709113105</v>
      </c>
      <c r="EP168" s="59">
        <f t="shared" si="154"/>
        <v>279.39056561403834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30.92979785735081</v>
      </c>
      <c r="EW168" s="21">
        <f>EXP(-LN(2)/25)*EW167+(1-EXP(-LN(2)/25))/(LN(2)/25)*Calculateur!ER168*Calculateur!ET168*VLOOKUP('Données projet'!$B$15,Paramètres!$A$1:$I$89,3,0)*0.475*44/12</f>
        <v>7.8547174149490706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38.784515272299878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-1.1368683772161603E-13</v>
      </c>
      <c r="FF168" s="17">
        <f>FE168*VLOOKUP('Données projet'!$B$16,Paramètres!$A$1:$I$89,3,0)*VLOOKUP('Données projet'!$B$16,Paramètres!$A$1:$I$89,5,0)</f>
        <v>-6.7984728957526396E-14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319.29539841078537</v>
      </c>
      <c r="FK168" s="59">
        <f t="shared" si="156"/>
        <v>327.26871144121412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17.287246863004299</v>
      </c>
      <c r="FR168" s="21">
        <f>EXP(-LN(2)/25)*FR167+(1-EXP(-LN(2)/25))/(LN(2)/25)*Calculateur!FM168*Calculateur!FO168*VLOOKUP('Données projet'!$B$16,Paramètres!$A$1:$I$89,3,0)*0.475*44/12</f>
        <v>4.6626329929286472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21.949879855932945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2.2737367544323206E-13</v>
      </c>
      <c r="GA168" s="17">
        <f>FZ168*VLOOKUP('Données projet'!$B$17,Paramètres!$A$1:$I$89,3,0)*VLOOKUP('Données projet'!$B$17,Paramètres!$A$1:$I$89,5,0)</f>
        <v>1.0049916454590858E-13</v>
      </c>
      <c r="GB168" s="13">
        <f t="shared" si="185"/>
        <v>1.5089081593838289E-12</v>
      </c>
      <c r="GC168" s="20">
        <f t="shared" si="186"/>
        <v>2.8030510891776262E-12</v>
      </c>
      <c r="GD168" s="59">
        <f t="shared" si="134"/>
        <v>287.93396099730364</v>
      </c>
      <c r="GE168" s="59">
        <f ca="1">AVERAGE(OFFSET($GD$3,0,0,'Données projet'!$E$17+1,1))-AVERAGE(OFFSET($H$3,0,0,'Données projet'!$E$17+1,1))</f>
        <v>342.89128067483233</v>
      </c>
      <c r="GF168" s="59">
        <f t="shared" si="158"/>
        <v>453.47615302202996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20.631767494383123</v>
      </c>
      <c r="GM168" s="21">
        <f>EXP(-LN(2)/25)*GM167+(1-EXP(-LN(2)/25))/(LN(2)/25)*Calculateur!GH168*Calculateur!GJ168*VLOOKUP('Données projet'!$B$17,Paramètres!$A$1:$I$89,3,0)*0.475*44/12</f>
        <v>6.3878677152406445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27.019635209623768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68.527443908354783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>
        <f>GU168*VLOOKUP('Données projet'!$B$18,Paramètres!$A$1:$I$89,3,0)*VLOOKUP('Données projet'!$B$18,Paramètres!$A$1:$I$89,5,0)</f>
        <v>0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375.89365709113105</v>
      </c>
      <c r="HA168" s="59">
        <f t="shared" si="160"/>
        <v>279.39056561403834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30.92979785735081</v>
      </c>
      <c r="HH168" s="21">
        <f>EXP(-LN(2)/25)*HH167+(1-EXP(-LN(2)/25))/(LN(2)/25)*Calculateur!HC168*Calculateur!HE168*VLOOKUP('Données projet'!$B$18,Paramètres!$A$1:$I$89,3,0)*0.475*44/12</f>
        <v>7.8547174149490706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38.784515272299878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178.09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431.84475360000033</v>
      </c>
      <c r="P169" s="13">
        <f t="shared" si="141"/>
        <v>98.203637489221336</v>
      </c>
      <c r="Q169" s="20">
        <f t="shared" si="162"/>
        <v>923.16761448039449</v>
      </c>
      <c r="R169" s="59">
        <f t="shared" si="109"/>
        <v>1211.1952425165373</v>
      </c>
      <c r="S169" s="59">
        <f ca="1">AVERAGE(OFFSET($R$3,0,0,'Données projet'!$E$9+1,1))-AVERAGE(OFFSET($H$3,0,0,'Données projet'!$E$9+1,1))</f>
        <v>631.31712308065664</v>
      </c>
      <c r="T169" s="59">
        <f t="shared" si="142"/>
        <v>290.92244624361285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70.826185891094724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70.826185891094724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-2.8421709430404007E-14</v>
      </c>
      <c r="AJ169" s="13">
        <f>AI169*VLOOKUP('Données projet'!$B$10,Paramètres!$A$1:$I$89,3,0)*VLOOKUP('Données projet'!$B$10,Paramètres!$A$1:$I$89,5,0)</f>
        <v>-2.3942448024172337E-14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401.19166052471473</v>
      </c>
      <c r="AO169" s="59">
        <f t="shared" si="144"/>
        <v>271.10067497534271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59.022313821478981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59.022313821478981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483.96394800000041</v>
      </c>
      <c r="BF169" s="13">
        <f t="shared" si="167"/>
        <v>108.6057555590847</v>
      </c>
      <c r="BG169" s="20">
        <f t="shared" si="168"/>
        <v>1032.0589003654065</v>
      </c>
      <c r="BH169" s="59">
        <f t="shared" si="116"/>
        <v>1320.0865284015495</v>
      </c>
      <c r="BI169" s="59">
        <f ca="1">AVERAGE(OFFSET($BH$3,0,0,'Données projet'!$E$11+1,1))-AVERAGE(OFFSET($H$3,0,0,'Données projet'!$E$11+1,1))</f>
        <v>695.93700574708214</v>
      </c>
      <c r="BJ169" s="59">
        <f t="shared" si="146"/>
        <v>318.31690229208471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79.374173843468256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79.374173843468256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1.7053025658242404E-13</v>
      </c>
      <c r="BZ169" s="13">
        <f>BY169*VLOOKUP('Données projet'!$B$12,Paramètres!$A$1:$I$89,3,0)*VLOOKUP('Données projet'!$B$12,Paramètres!$A$1:$I$89,5,0)</f>
        <v>1.1173142411280423E-13</v>
      </c>
      <c r="CA169" s="13">
        <f t="shared" si="170"/>
        <v>1.6569896290553793E-12</v>
      </c>
      <c r="CB169" s="20">
        <f t="shared" si="171"/>
        <v>3.0805225009345862E-12</v>
      </c>
      <c r="CC169" s="59">
        <f t="shared" si="119"/>
        <v>288.02762803614598</v>
      </c>
      <c r="CD169" s="59">
        <f ca="1">AVERAGE(OFFSET($CC$3,0,0,'Données projet'!$E$12+1,1))-AVERAGE(OFFSET($H$3,0,0,'Données projet'!$E$12+1,1))</f>
        <v>260.25859566735949</v>
      </c>
      <c r="CE169" s="59">
        <f t="shared" si="148"/>
        <v>256.93649773468667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12.270646411733322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12.270646411733322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1.7053025658242404E-13</v>
      </c>
      <c r="CU169" s="17">
        <f>CT169*VLOOKUP('Données projet'!$B$13,Paramètres!$A$1:$I$89,3,0)*VLOOKUP('Données projet'!$B$13,Paramètres!$A$1:$I$89,5,0)</f>
        <v>1.1173142411280423E-13</v>
      </c>
      <c r="CV169" s="13">
        <f t="shared" si="173"/>
        <v>1.6569896290553793E-12</v>
      </c>
      <c r="CW169" s="20">
        <f t="shared" si="174"/>
        <v>3.0805225009345862E-12</v>
      </c>
      <c r="CX169" s="59">
        <f t="shared" si="122"/>
        <v>288.02762803614598</v>
      </c>
      <c r="CY169" s="59">
        <f ca="1">AVERAGE(OFFSET($CX$3,0,0,'Données projet'!$E$13+1,1))-AVERAGE(OFFSET($H$3,0,0,'Données projet'!$E$13+1,1))</f>
        <v>260.25859566735949</v>
      </c>
      <c r="CZ169" s="59">
        <f t="shared" si="150"/>
        <v>256.93649773468667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12.270646411733322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12.270646411733322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-2.2737367544323206E-13</v>
      </c>
      <c r="DP169" s="17">
        <f>DO169*VLOOKUP('Données projet'!$B$14,Paramètres!$A$1:$I$89,3,0)*VLOOKUP('Données projet'!$B$14,Paramètres!$A$1:$I$89,5,0)</f>
        <v>-1.3005774235352875E-13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349.56396446903</v>
      </c>
      <c r="DU169" s="59">
        <f t="shared" si="152"/>
        <v>270.64279448634522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41.047683381657599</v>
      </c>
      <c r="EB169" s="21">
        <f>EXP(-LN(2)/25)*EB168+(1-EXP(-LN(2)/25))/(LN(2)/25)*Calculateur!DW169*Calculateur!DY169*VLOOKUP('Données projet'!$B$14,Paramètres!$A$1:$I$89,3,0)*0.475*44/12</f>
        <v>12.306461727695087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53.354145109352686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375.89365709113105</v>
      </c>
      <c r="EP169" s="59">
        <f t="shared" si="154"/>
        <v>279.39056561403834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30.323283386682057</v>
      </c>
      <c r="EW169" s="21">
        <f>EXP(-LN(2)/25)*EW168+(1-EXP(-LN(2)/25))/(LN(2)/25)*Calculateur!ER169*Calculateur!ET169*VLOOKUP('Données projet'!$B$15,Paramètres!$A$1:$I$89,3,0)*0.475*44/12</f>
        <v>7.6399297541756512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37.963213140857711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-1.1368683772161603E-13</v>
      </c>
      <c r="FF169" s="17">
        <f>FE169*VLOOKUP('Données projet'!$B$16,Paramètres!$A$1:$I$89,3,0)*VLOOKUP('Données projet'!$B$16,Paramètres!$A$1:$I$89,5,0)</f>
        <v>-6.7984728957526396E-14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319.29539841078537</v>
      </c>
      <c r="FK169" s="59">
        <f t="shared" si="156"/>
        <v>327.26871144121412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16.948254496200221</v>
      </c>
      <c r="FR169" s="21">
        <f>EXP(-LN(2)/25)*FR168+(1-EXP(-LN(2)/25))/(LN(2)/25)*Calculateur!FM169*Calculateur!FO169*VLOOKUP('Données projet'!$B$16,Paramètres!$A$1:$I$89,3,0)*0.475*44/12</f>
        <v>4.5351330485398007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21.483387544740022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2.2737367544323206E-13</v>
      </c>
      <c r="GA169" s="17">
        <f>FZ169*VLOOKUP('Données projet'!$B$17,Paramètres!$A$1:$I$89,3,0)*VLOOKUP('Données projet'!$B$17,Paramètres!$A$1:$I$89,5,0)</f>
        <v>1.0049916454590858E-13</v>
      </c>
      <c r="GB169" s="13">
        <f t="shared" si="185"/>
        <v>1.5089081593838289E-12</v>
      </c>
      <c r="GC169" s="20">
        <f t="shared" si="186"/>
        <v>2.8030510891776262E-12</v>
      </c>
      <c r="GD169" s="59">
        <f t="shared" si="134"/>
        <v>288.0276280361457</v>
      </c>
      <c r="GE169" s="59">
        <f ca="1">AVERAGE(OFFSET($GD$3,0,0,'Données projet'!$E$17+1,1))-AVERAGE(OFFSET($H$3,0,0,'Données projet'!$E$17+1,1))</f>
        <v>342.89128067483233</v>
      </c>
      <c r="GF169" s="59">
        <f t="shared" si="158"/>
        <v>453.47615302202996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20.227191117953861</v>
      </c>
      <c r="GM169" s="21">
        <f>EXP(-LN(2)/25)*GM168+(1-EXP(-LN(2)/25))/(LN(2)/25)*Calculateur!GH169*Calculateur!GJ169*VLOOKUP('Données projet'!$B$17,Paramètres!$A$1:$I$89,3,0)*0.475*44/12</f>
        <v>6.2131911366440251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26.440382254597885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68.552989464402614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>
        <f>GU169*VLOOKUP('Données projet'!$B$18,Paramètres!$A$1:$I$89,3,0)*VLOOKUP('Données projet'!$B$18,Paramètres!$A$1:$I$89,5,0)</f>
        <v>0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375.89365709113105</v>
      </c>
      <c r="HA169" s="59">
        <f t="shared" si="160"/>
        <v>279.39056561403834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30.323283386682057</v>
      </c>
      <c r="HH169" s="21">
        <f>EXP(-LN(2)/25)*HH168+(1-EXP(-LN(2)/25))/(LN(2)/25)*Calculateur!HC169*Calculateur!HE169*VLOOKUP('Données projet'!$B$18,Paramètres!$A$1:$I$89,3,0)*0.475*44/12</f>
        <v>7.6399297541756512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37.963213140857711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178.09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439.57717440000033</v>
      </c>
      <c r="P170" s="13">
        <f t="shared" si="141"/>
        <v>99.755743172047673</v>
      </c>
      <c r="Q170" s="20">
        <f t="shared" si="162"/>
        <v>939.33816477131688</v>
      </c>
      <c r="R170" s="59">
        <f t="shared" si="109"/>
        <v>1227.4578349325861</v>
      </c>
      <c r="S170" s="59">
        <f ca="1">AVERAGE(OFFSET($R$3,0,0,'Données projet'!$E$9+1,1))-AVERAGE(OFFSET($H$3,0,0,'Données projet'!$E$9+1,1))</f>
        <v>631.31712308065664</v>
      </c>
      <c r="T170" s="59">
        <f t="shared" si="142"/>
        <v>290.92244624361285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69.43732758547813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69.43732758547813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-2.8421709430404007E-14</v>
      </c>
      <c r="AJ170" s="13">
        <f>AI170*VLOOKUP('Données projet'!$B$10,Paramètres!$A$1:$I$89,3,0)*VLOOKUP('Données projet'!$B$10,Paramètres!$A$1:$I$89,5,0)</f>
        <v>-2.3942448024172337E-14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401.19166052471473</v>
      </c>
      <c r="AO170" s="59">
        <f t="shared" si="144"/>
        <v>271.10067497534271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57.864922247496501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57.864922247496501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492.6295920000004</v>
      </c>
      <c r="BF170" s="13">
        <f t="shared" si="167"/>
        <v>110.3222664206035</v>
      </c>
      <c r="BG170" s="20">
        <f t="shared" si="168"/>
        <v>1050.1411534158851</v>
      </c>
      <c r="BH170" s="59">
        <f t="shared" si="116"/>
        <v>1338.2608235771543</v>
      </c>
      <c r="BI170" s="59">
        <f ca="1">AVERAGE(OFFSET($BH$3,0,0,'Données projet'!$E$11+1,1))-AVERAGE(OFFSET($H$3,0,0,'Données projet'!$E$11+1,1))</f>
        <v>695.93700574708214</v>
      </c>
      <c r="BJ170" s="59">
        <f t="shared" si="146"/>
        <v>318.31690229208471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77.817694707863453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77.817694707863453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1.7053025658242404E-13</v>
      </c>
      <c r="BZ170" s="13">
        <f>BY170*VLOOKUP('Données projet'!$B$12,Paramètres!$A$1:$I$89,3,0)*VLOOKUP('Données projet'!$B$12,Paramètres!$A$1:$I$89,5,0)</f>
        <v>1.1173142411280423E-13</v>
      </c>
      <c r="CA170" s="13">
        <f t="shared" si="170"/>
        <v>1.6569896290553793E-12</v>
      </c>
      <c r="CB170" s="20">
        <f t="shared" si="171"/>
        <v>3.0805225009345862E-12</v>
      </c>
      <c r="CC170" s="59">
        <f t="shared" si="119"/>
        <v>288.11967016127221</v>
      </c>
      <c r="CD170" s="59">
        <f ca="1">AVERAGE(OFFSET($CC$3,0,0,'Données projet'!$E$12+1,1))-AVERAGE(OFFSET($H$3,0,0,'Données projet'!$E$12+1,1))</f>
        <v>260.25859566735949</v>
      </c>
      <c r="CE170" s="59">
        <f t="shared" si="148"/>
        <v>256.93649773468667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12.030026519954525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12.030026519954525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1.7053025658242404E-13</v>
      </c>
      <c r="CU170" s="17">
        <f>CT170*VLOOKUP('Données projet'!$B$13,Paramètres!$A$1:$I$89,3,0)*VLOOKUP('Données projet'!$B$13,Paramètres!$A$1:$I$89,5,0)</f>
        <v>1.1173142411280423E-13</v>
      </c>
      <c r="CV170" s="13">
        <f t="shared" si="173"/>
        <v>1.6569896290553793E-12</v>
      </c>
      <c r="CW170" s="20">
        <f t="shared" si="174"/>
        <v>3.0805225009345862E-12</v>
      </c>
      <c r="CX170" s="59">
        <f t="shared" si="122"/>
        <v>288.11967016127221</v>
      </c>
      <c r="CY170" s="59">
        <f ca="1">AVERAGE(OFFSET($CX$3,0,0,'Données projet'!$E$13+1,1))-AVERAGE(OFFSET($H$3,0,0,'Données projet'!$E$13+1,1))</f>
        <v>260.25859566735949</v>
      </c>
      <c r="CZ170" s="59">
        <f t="shared" si="150"/>
        <v>256.93649773468667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12.030026519954525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12.030026519954525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-2.2737367544323206E-13</v>
      </c>
      <c r="DP170" s="17">
        <f>DO170*VLOOKUP('Données projet'!$B$14,Paramètres!$A$1:$I$89,3,0)*VLOOKUP('Données projet'!$B$14,Paramètres!$A$1:$I$89,5,0)</f>
        <v>-1.3005774235352875E-13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349.56396446903</v>
      </c>
      <c r="DU170" s="59">
        <f t="shared" si="152"/>
        <v>270.64279448634522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40.242763347157997</v>
      </c>
      <c r="EB170" s="21">
        <f>EXP(-LN(2)/25)*EB169+(1-EXP(-LN(2)/25))/(LN(2)/25)*Calculateur!DW170*Calculateur!DY170*VLOOKUP('Données projet'!$B$14,Paramètres!$A$1:$I$89,3,0)*0.475*44/12</f>
        <v>11.96994088458257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52.212704231740567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375.89365709113105</v>
      </c>
      <c r="EP170" s="59">
        <f t="shared" si="154"/>
        <v>279.39056561403834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29.728662294845822</v>
      </c>
      <c r="EW170" s="21">
        <f>EXP(-LN(2)/25)*EW169+(1-EXP(-LN(2)/25))/(LN(2)/25)*Calculateur!ER170*Calculateur!ET170*VLOOKUP('Données projet'!$B$15,Paramètres!$A$1:$I$89,3,0)*0.475*44/12</f>
        <v>7.4310154732812732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37.159677768127096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-1.1368683772161603E-13</v>
      </c>
      <c r="FF170" s="17">
        <f>FE170*VLOOKUP('Données projet'!$B$16,Paramètres!$A$1:$I$89,3,0)*VLOOKUP('Données projet'!$B$16,Paramètres!$A$1:$I$89,5,0)</f>
        <v>-6.7984728957526396E-14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319.29539841078537</v>
      </c>
      <c r="FK170" s="59">
        <f t="shared" si="156"/>
        <v>327.26871144121412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16.615909562944243</v>
      </c>
      <c r="FR170" s="21">
        <f>EXP(-LN(2)/25)*FR169+(1-EXP(-LN(2)/25))/(LN(2)/25)*Calculateur!FM170*Calculateur!FO170*VLOOKUP('Données projet'!$B$16,Paramètres!$A$1:$I$89,3,0)*0.475*44/12</f>
        <v>4.4111195968351984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21.027029159779442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2.2737367544323206E-13</v>
      </c>
      <c r="GA170" s="17">
        <f>FZ170*VLOOKUP('Données projet'!$B$17,Paramètres!$A$1:$I$89,3,0)*VLOOKUP('Données projet'!$B$17,Paramètres!$A$1:$I$89,5,0)</f>
        <v>1.0049916454590858E-13</v>
      </c>
      <c r="GB170" s="13">
        <f t="shared" si="185"/>
        <v>1.5089081593838289E-12</v>
      </c>
      <c r="GC170" s="20">
        <f t="shared" si="186"/>
        <v>2.8030510891776262E-12</v>
      </c>
      <c r="GD170" s="59">
        <f t="shared" si="134"/>
        <v>288.11967016127193</v>
      </c>
      <c r="GE170" s="59">
        <f ca="1">AVERAGE(OFFSET($GD$3,0,0,'Données projet'!$E$17+1,1))-AVERAGE(OFFSET($H$3,0,0,'Données projet'!$E$17+1,1))</f>
        <v>342.89128067483233</v>
      </c>
      <c r="GF170" s="59">
        <f t="shared" si="158"/>
        <v>453.47615302202996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19.830548237499155</v>
      </c>
      <c r="GM170" s="21">
        <f>EXP(-LN(2)/25)*GM169+(1-EXP(-LN(2)/25))/(LN(2)/25)*Calculateur!GH170*Calculateur!GJ170*VLOOKUP('Données projet'!$B$17,Paramètres!$A$1:$I$89,3,0)*0.475*44/12</f>
        <v>6.043291098274973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25.873839335774129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68.578091862164314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>
        <f>GU170*VLOOKUP('Données projet'!$B$18,Paramètres!$A$1:$I$89,3,0)*VLOOKUP('Données projet'!$B$18,Paramètres!$A$1:$I$89,5,0)</f>
        <v>0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375.89365709113105</v>
      </c>
      <c r="HA170" s="59">
        <f t="shared" si="160"/>
        <v>279.39056561403834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29.728662294845822</v>
      </c>
      <c r="HH170" s="21">
        <f>EXP(-LN(2)/25)*HH169+(1-EXP(-LN(2)/25))/(LN(2)/25)*Calculateur!HC170*Calculateur!HE170*VLOOKUP('Données projet'!$B$18,Paramètres!$A$1:$I$89,3,0)*0.475*44/12</f>
        <v>7.4310154732812732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37.159677768127096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178.09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447.30959520000027</v>
      </c>
      <c r="P171" s="13">
        <f t="shared" si="141"/>
        <v>101.30467392781068</v>
      </c>
      <c r="Q171" s="20">
        <f t="shared" si="162"/>
        <v>955.50318539760417</v>
      </c>
      <c r="R171" s="59">
        <f t="shared" si="109"/>
        <v>1243.713300958904</v>
      </c>
      <c r="S171" s="59">
        <f ca="1">AVERAGE(OFFSET($R$3,0,0,'Données projet'!$E$9+1,1))-AVERAGE(OFFSET($H$3,0,0,'Données projet'!$E$9+1,1))</f>
        <v>631.31712308065664</v>
      </c>
      <c r="T171" s="59">
        <f t="shared" si="142"/>
        <v>290.92244624361285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68.075703944114764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68.075703944114764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-2.8421709430404007E-14</v>
      </c>
      <c r="AJ171" s="13">
        <f>AI171*VLOOKUP('Données projet'!$B$10,Paramètres!$A$1:$I$89,3,0)*VLOOKUP('Données projet'!$B$10,Paramètres!$A$1:$I$89,5,0)</f>
        <v>-2.3942448024172337E-14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401.19166052471473</v>
      </c>
      <c r="AO171" s="59">
        <f t="shared" si="144"/>
        <v>271.10067497534271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56.730226416340663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56.730226416340663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501.29523600000039</v>
      </c>
      <c r="BF171" s="13">
        <f t="shared" si="167"/>
        <v>112.03526605421492</v>
      </c>
      <c r="BG171" s="20">
        <f t="shared" si="168"/>
        <v>1068.2172910777583</v>
      </c>
      <c r="BH171" s="59">
        <f t="shared" si="116"/>
        <v>1356.4274066390581</v>
      </c>
      <c r="BI171" s="59">
        <f ca="1">AVERAGE(OFFSET($BH$3,0,0,'Données projet'!$E$11+1,1))-AVERAGE(OFFSET($H$3,0,0,'Données projet'!$E$11+1,1))</f>
        <v>695.93700574708214</v>
      </c>
      <c r="BJ171" s="59">
        <f t="shared" si="146"/>
        <v>318.31690229208471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76.291737178749329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76.291737178749329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1.7053025658242404E-13</v>
      </c>
      <c r="BZ171" s="13">
        <f>BY171*VLOOKUP('Données projet'!$B$12,Paramètres!$A$1:$I$89,3,0)*VLOOKUP('Données projet'!$B$12,Paramètres!$A$1:$I$89,5,0)</f>
        <v>1.1173142411280423E-13</v>
      </c>
      <c r="CA171" s="13">
        <f t="shared" si="170"/>
        <v>1.6569896290553793E-12</v>
      </c>
      <c r="CB171" s="20">
        <f t="shared" si="171"/>
        <v>3.0805225009345862E-12</v>
      </c>
      <c r="CC171" s="59">
        <f t="shared" si="119"/>
        <v>288.21011556130287</v>
      </c>
      <c r="CD171" s="59">
        <f ca="1">AVERAGE(OFFSET($CC$3,0,0,'Données projet'!$E$12+1,1))-AVERAGE(OFFSET($H$3,0,0,'Données projet'!$E$12+1,1))</f>
        <v>260.25859566735949</v>
      </c>
      <c r="CE171" s="59">
        <f t="shared" si="148"/>
        <v>256.93649773468667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11.794125037489867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11.794125037489867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1.7053025658242404E-13</v>
      </c>
      <c r="CU171" s="17">
        <f>CT171*VLOOKUP('Données projet'!$B$13,Paramètres!$A$1:$I$89,3,0)*VLOOKUP('Données projet'!$B$13,Paramètres!$A$1:$I$89,5,0)</f>
        <v>1.1173142411280423E-13</v>
      </c>
      <c r="CV171" s="13">
        <f t="shared" si="173"/>
        <v>1.6569896290553793E-12</v>
      </c>
      <c r="CW171" s="20">
        <f t="shared" si="174"/>
        <v>3.0805225009345862E-12</v>
      </c>
      <c r="CX171" s="59">
        <f t="shared" si="122"/>
        <v>288.21011556130287</v>
      </c>
      <c r="CY171" s="59">
        <f ca="1">AVERAGE(OFFSET($CX$3,0,0,'Données projet'!$E$13+1,1))-AVERAGE(OFFSET($H$3,0,0,'Données projet'!$E$13+1,1))</f>
        <v>260.25859566735949</v>
      </c>
      <c r="CZ171" s="59">
        <f t="shared" si="150"/>
        <v>256.93649773468667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11.794125037489867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11.794125037489867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-2.2737367544323206E-13</v>
      </c>
      <c r="DP171" s="17">
        <f>DO171*VLOOKUP('Données projet'!$B$14,Paramètres!$A$1:$I$89,3,0)*VLOOKUP('Données projet'!$B$14,Paramètres!$A$1:$I$89,5,0)</f>
        <v>-1.3005774235352875E-13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349.56396446903</v>
      </c>
      <c r="DU171" s="59">
        <f t="shared" si="152"/>
        <v>270.64279448634522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39.453627303582188</v>
      </c>
      <c r="EB171" s="21">
        <f>EXP(-LN(2)/25)*EB170+(1-EXP(-LN(2)/25))/(LN(2)/25)*Calculateur!DW171*Calculateur!DY171*VLOOKUP('Données projet'!$B$14,Paramètres!$A$1:$I$89,3,0)*0.475*44/12</f>
        <v>11.642622221621826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51.096249525204016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375.89365709113105</v>
      </c>
      <c r="EP171" s="59">
        <f t="shared" si="154"/>
        <v>279.39056561403834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29.145701359937441</v>
      </c>
      <c r="EW171" s="21">
        <f>EXP(-LN(2)/25)*EW170+(1-EXP(-LN(2)/25))/(LN(2)/25)*Calculateur!ER171*Calculateur!ET171*VLOOKUP('Données projet'!$B$15,Paramètres!$A$1:$I$89,3,0)*0.475*44/12</f>
        <v>7.2278139643842767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36.373515324321716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-1.1368683772161603E-13</v>
      </c>
      <c r="FF171" s="17">
        <f>FE171*VLOOKUP('Données projet'!$B$16,Paramètres!$A$1:$I$89,3,0)*VLOOKUP('Données projet'!$B$16,Paramètres!$A$1:$I$89,5,0)</f>
        <v>-6.7984728957526396E-14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319.29539841078537</v>
      </c>
      <c r="FK171" s="59">
        <f t="shared" si="156"/>
        <v>327.26871144121412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16.290081711119022</v>
      </c>
      <c r="FR171" s="21">
        <f>EXP(-LN(2)/25)*FR170+(1-EXP(-LN(2)/25))/(LN(2)/25)*Calculateur!FM171*Calculateur!FO171*VLOOKUP('Données projet'!$B$16,Paramètres!$A$1:$I$89,3,0)*0.475*44/12</f>
        <v>4.2904972994890418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20.580579010608062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2.2737367544323206E-13</v>
      </c>
      <c r="GA171" s="17">
        <f>FZ171*VLOOKUP('Données projet'!$B$17,Paramètres!$A$1:$I$89,3,0)*VLOOKUP('Données projet'!$B$17,Paramètres!$A$1:$I$89,5,0)</f>
        <v>1.0049916454590858E-13</v>
      </c>
      <c r="GB171" s="13">
        <f t="shared" si="185"/>
        <v>1.5089081593838289E-12</v>
      </c>
      <c r="GC171" s="20">
        <f t="shared" si="186"/>
        <v>2.8030510891776262E-12</v>
      </c>
      <c r="GD171" s="59">
        <f t="shared" si="134"/>
        <v>288.21011556130259</v>
      </c>
      <c r="GE171" s="59">
        <f ca="1">AVERAGE(OFFSET($GD$3,0,0,'Données projet'!$E$17+1,1))-AVERAGE(OFFSET($H$3,0,0,'Données projet'!$E$17+1,1))</f>
        <v>342.89128067483233</v>
      </c>
      <c r="GF171" s="59">
        <f t="shared" si="158"/>
        <v>453.47615302202996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19.441683282001897</v>
      </c>
      <c r="GM171" s="21">
        <f>EXP(-LN(2)/25)*GM170+(1-EXP(-LN(2)/25))/(LN(2)/25)*Calculateur!GH171*Calculateur!GJ171*VLOOKUP('Données projet'!$B$17,Paramètres!$A$1:$I$89,3,0)*0.475*44/12</f>
        <v>5.8780369853897776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25.319720267391673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68.602758789445403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>
        <f>GU171*VLOOKUP('Données projet'!$B$18,Paramètres!$A$1:$I$89,3,0)*VLOOKUP('Données projet'!$B$18,Paramètres!$A$1:$I$89,5,0)</f>
        <v>0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375.89365709113105</v>
      </c>
      <c r="HA171" s="59">
        <f t="shared" si="160"/>
        <v>279.39056561403834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29.145701359937441</v>
      </c>
      <c r="HH171" s="21">
        <f>EXP(-LN(2)/25)*HH170+(1-EXP(-LN(2)/25))/(LN(2)/25)*Calculateur!HC171*Calculateur!HE171*VLOOKUP('Données projet'!$B$18,Paramètres!$A$1:$I$89,3,0)*0.475*44/12</f>
        <v>7.2278139643842767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36.373515324321716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178.09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455.04201600000027</v>
      </c>
      <c r="P172" s="13">
        <f t="shared" si="141"/>
        <v>102.85049097288233</v>
      </c>
      <c r="Q172" s="20">
        <f t="shared" si="162"/>
        <v>971.66278297777069</v>
      </c>
      <c r="R172" s="59">
        <f t="shared" si="109"/>
        <v>1259.9617749136164</v>
      </c>
      <c r="S172" s="59">
        <f ca="1">AVERAGE(OFFSET($R$3,0,0,'Données projet'!$E$9+1,1))-AVERAGE(OFFSET($H$3,0,0,'Données projet'!$E$9+1,1))</f>
        <v>631.31712308065664</v>
      </c>
      <c r="T172" s="59">
        <f t="shared" si="142"/>
        <v>290.92244624361285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66.740780911850109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66.740780911850109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-2.8421709430404007E-14</v>
      </c>
      <c r="AJ172" s="13">
        <f>AI172*VLOOKUP('Données projet'!$B$10,Paramètres!$A$1:$I$89,3,0)*VLOOKUP('Données projet'!$B$10,Paramètres!$A$1:$I$89,5,0)</f>
        <v>-2.3942448024172337E-14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401.19166052471473</v>
      </c>
      <c r="AO172" s="59">
        <f t="shared" si="144"/>
        <v>271.10067497534271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55.617781278337674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55.617781278337674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509.96088000000043</v>
      </c>
      <c r="BF172" s="13">
        <f t="shared" si="167"/>
        <v>113.74482216057152</v>
      </c>
      <c r="BG172" s="20">
        <f t="shared" si="168"/>
        <v>1086.2874312629961</v>
      </c>
      <c r="BH172" s="59">
        <f t="shared" si="116"/>
        <v>1374.5864231988417</v>
      </c>
      <c r="BI172" s="59">
        <f ca="1">AVERAGE(OFFSET($BH$3,0,0,'Données projet'!$E$11+1,1))-AVERAGE(OFFSET($H$3,0,0,'Données projet'!$E$11+1,1))</f>
        <v>695.93700574708214</v>
      </c>
      <c r="BJ172" s="59">
        <f t="shared" si="146"/>
        <v>318.31690229208471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74.795702746038941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74.795702746038941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1.7053025658242404E-13</v>
      </c>
      <c r="BZ172" s="13">
        <f>BY172*VLOOKUP('Données projet'!$B$12,Paramètres!$A$1:$I$89,3,0)*VLOOKUP('Données projet'!$B$12,Paramètres!$A$1:$I$89,5,0)</f>
        <v>1.1173142411280423E-13</v>
      </c>
      <c r="CA172" s="13">
        <f t="shared" si="170"/>
        <v>1.6569896290553793E-12</v>
      </c>
      <c r="CB172" s="20">
        <f t="shared" si="171"/>
        <v>3.0805225009345862E-12</v>
      </c>
      <c r="CC172" s="59">
        <f t="shared" si="119"/>
        <v>288.29899193584868</v>
      </c>
      <c r="CD172" s="59">
        <f ca="1">AVERAGE(OFFSET($CC$3,0,0,'Données projet'!$E$12+1,1))-AVERAGE(OFFSET($H$3,0,0,'Données projet'!$E$12+1,1))</f>
        <v>260.25859566735949</v>
      </c>
      <c r="CE172" s="59">
        <f t="shared" si="148"/>
        <v>256.93649773468667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11.562849439210643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11.562849439210643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1.7053025658242404E-13</v>
      </c>
      <c r="CU172" s="17">
        <f>CT172*VLOOKUP('Données projet'!$B$13,Paramètres!$A$1:$I$89,3,0)*VLOOKUP('Données projet'!$B$13,Paramètres!$A$1:$I$89,5,0)</f>
        <v>1.1173142411280423E-13</v>
      </c>
      <c r="CV172" s="13">
        <f t="shared" si="173"/>
        <v>1.6569896290553793E-12</v>
      </c>
      <c r="CW172" s="20">
        <f t="shared" si="174"/>
        <v>3.0805225009345862E-12</v>
      </c>
      <c r="CX172" s="59">
        <f t="shared" si="122"/>
        <v>288.29899193584868</v>
      </c>
      <c r="CY172" s="59">
        <f ca="1">AVERAGE(OFFSET($CX$3,0,0,'Données projet'!$E$13+1,1))-AVERAGE(OFFSET($H$3,0,0,'Données projet'!$E$13+1,1))</f>
        <v>260.25859566735949</v>
      </c>
      <c r="CZ172" s="59">
        <f t="shared" si="150"/>
        <v>256.93649773468667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11.562849439210643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11.562849439210643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-2.2737367544323206E-13</v>
      </c>
      <c r="DP172" s="17">
        <f>DO172*VLOOKUP('Données projet'!$B$14,Paramètres!$A$1:$I$89,3,0)*VLOOKUP('Données projet'!$B$14,Paramètres!$A$1:$I$89,5,0)</f>
        <v>-1.3005774235352875E-13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349.56396446903</v>
      </c>
      <c r="DU172" s="59">
        <f t="shared" si="152"/>
        <v>270.64279448634522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38.67996573649544</v>
      </c>
      <c r="EB172" s="21">
        <f>EXP(-LN(2)/25)*EB171+(1-EXP(-LN(2)/25))/(LN(2)/25)*Calculateur!DW172*Calculateur!DY172*VLOOKUP('Données projet'!$B$14,Paramètres!$A$1:$I$89,3,0)*0.475*44/12</f>
        <v>11.324254104712685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50.004219841208126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375.89365709113105</v>
      </c>
      <c r="EP172" s="59">
        <f t="shared" si="154"/>
        <v>279.39056561403834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28.57417193339155</v>
      </c>
      <c r="EW172" s="21">
        <f>EXP(-LN(2)/25)*EW171+(1-EXP(-LN(2)/25))/(LN(2)/25)*Calculateur!ER172*Calculateur!ET172*VLOOKUP('Données projet'!$B$15,Paramètres!$A$1:$I$89,3,0)*0.475*44/12</f>
        <v>7.0301690114339719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35.604340944825523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-1.1368683772161603E-13</v>
      </c>
      <c r="FF172" s="17">
        <f>FE172*VLOOKUP('Données projet'!$B$16,Paramètres!$A$1:$I$89,3,0)*VLOOKUP('Données projet'!$B$16,Paramètres!$A$1:$I$89,5,0)</f>
        <v>-6.7984728957526396E-14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319.29539841078537</v>
      </c>
      <c r="FK172" s="59">
        <f t="shared" si="156"/>
        <v>327.26871144121412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15.970643144732726</v>
      </c>
      <c r="FR172" s="21">
        <f>EXP(-LN(2)/25)*FR171+(1-EXP(-LN(2)/25))/(LN(2)/25)*Calculateur!FM172*Calculateur!FO172*VLOOKUP('Données projet'!$B$16,Paramètres!$A$1:$I$89,3,0)*0.475*44/12</f>
        <v>4.1731734252070671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20.143816569939794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2.2737367544323206E-13</v>
      </c>
      <c r="GA172" s="17">
        <f>FZ172*VLOOKUP('Données projet'!$B$17,Paramètres!$A$1:$I$89,3,0)*VLOOKUP('Données projet'!$B$17,Paramètres!$A$1:$I$89,5,0)</f>
        <v>1.0049916454590858E-13</v>
      </c>
      <c r="GB172" s="13">
        <f t="shared" si="185"/>
        <v>1.5089081593838289E-12</v>
      </c>
      <c r="GC172" s="20">
        <f t="shared" si="186"/>
        <v>2.8030510891776262E-12</v>
      </c>
      <c r="GD172" s="59">
        <f t="shared" si="134"/>
        <v>288.29899193584839</v>
      </c>
      <c r="GE172" s="59">
        <f ca="1">AVERAGE(OFFSET($GD$3,0,0,'Données projet'!$E$17+1,1))-AVERAGE(OFFSET($H$3,0,0,'Données projet'!$E$17+1,1))</f>
        <v>342.89128067483233</v>
      </c>
      <c r="GF172" s="59">
        <f t="shared" si="158"/>
        <v>453.47615302202996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19.060443731097735</v>
      </c>
      <c r="GM172" s="21">
        <f>EXP(-LN(2)/25)*GM171+(1-EXP(-LN(2)/25))/(LN(2)/25)*Calculateur!GH172*Calculateur!GJ172*VLOOKUP('Données projet'!$B$17,Paramètres!$A$1:$I$89,3,0)*0.475*44/12</f>
        <v>5.7173017549117633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24.777745486009497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68.62699780068516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>
        <f>GU172*VLOOKUP('Données projet'!$B$18,Paramètres!$A$1:$I$89,3,0)*VLOOKUP('Données projet'!$B$18,Paramètres!$A$1:$I$89,5,0)</f>
        <v>0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375.89365709113105</v>
      </c>
      <c r="HA172" s="59">
        <f t="shared" si="160"/>
        <v>279.39056561403834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28.57417193339155</v>
      </c>
      <c r="HH172" s="21">
        <f>EXP(-LN(2)/25)*HH171+(1-EXP(-LN(2)/25))/(LN(2)/25)*Calculateur!HC172*Calculateur!HE172*VLOOKUP('Données projet'!$B$18,Paramètres!$A$1:$I$89,3,0)*0.475*44/12</f>
        <v>7.0301690114339719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35.604340944825523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178.09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462.77443680000027</v>
      </c>
      <c r="P173" s="13">
        <f t="shared" si="141"/>
        <v>104.39325332394039</v>
      </c>
      <c r="Q173" s="20">
        <f t="shared" si="162"/>
        <v>987.81706029919678</v>
      </c>
      <c r="R173" s="59">
        <f t="shared" si="109"/>
        <v>1276.2033868031876</v>
      </c>
      <c r="S173" s="59">
        <f ca="1">AVERAGE(OFFSET($R$3,0,0,'Données projet'!$E$9+1,1))-AVERAGE(OFFSET($H$3,0,0,'Données projet'!$E$9+1,1))</f>
        <v>631.31712308065664</v>
      </c>
      <c r="T173" s="59">
        <f t="shared" si="142"/>
        <v>290.92244624361285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65.432034906025521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65.432034906025521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-2.8421709430404007E-14</v>
      </c>
      <c r="AJ173" s="13">
        <f>AI173*VLOOKUP('Données projet'!$B$10,Paramètres!$A$1:$I$89,3,0)*VLOOKUP('Données projet'!$B$10,Paramètres!$A$1:$I$89,5,0)</f>
        <v>-2.3942448024172337E-14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401.19166052471473</v>
      </c>
      <c r="AO173" s="59">
        <f t="shared" si="144"/>
        <v>271.10067497534271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54.527150510966386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54.527150510966386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518.62652400000036</v>
      </c>
      <c r="BF173" s="13">
        <f t="shared" si="167"/>
        <v>115.45100000763091</v>
      </c>
      <c r="BG173" s="20">
        <f t="shared" si="168"/>
        <v>1104.3516876466244</v>
      </c>
      <c r="BH173" s="59">
        <f t="shared" si="116"/>
        <v>1392.7380141506151</v>
      </c>
      <c r="BI173" s="59">
        <f ca="1">AVERAGE(OFFSET($BH$3,0,0,'Données projet'!$E$11+1,1))-AVERAGE(OFFSET($H$3,0,0,'Données projet'!$E$11+1,1))</f>
        <v>695.93700574708214</v>
      </c>
      <c r="BJ173" s="59">
        <f t="shared" si="146"/>
        <v>318.31690229208471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73.329004636063104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73.329004636063104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1.7053025658242404E-13</v>
      </c>
      <c r="BZ173" s="13">
        <f>BY173*VLOOKUP('Données projet'!$B$12,Paramètres!$A$1:$I$89,3,0)*VLOOKUP('Données projet'!$B$12,Paramètres!$A$1:$I$89,5,0)</f>
        <v>1.1173142411280423E-13</v>
      </c>
      <c r="CA173" s="13">
        <f t="shared" si="170"/>
        <v>1.6569896290553793E-12</v>
      </c>
      <c r="CB173" s="20">
        <f t="shared" si="171"/>
        <v>3.0805225009345862E-12</v>
      </c>
      <c r="CC173" s="59">
        <f t="shared" si="119"/>
        <v>288.38632650399381</v>
      </c>
      <c r="CD173" s="59">
        <f ca="1">AVERAGE(OFFSET($CC$3,0,0,'Données projet'!$E$12+1,1))-AVERAGE(OFFSET($H$3,0,0,'Données projet'!$E$12+1,1))</f>
        <v>260.25859566735949</v>
      </c>
      <c r="CE173" s="59">
        <f t="shared" si="148"/>
        <v>256.93649773468667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11.336109014349489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11.336109014349489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1.7053025658242404E-13</v>
      </c>
      <c r="CU173" s="17">
        <f>CT173*VLOOKUP('Données projet'!$B$13,Paramètres!$A$1:$I$89,3,0)*VLOOKUP('Données projet'!$B$13,Paramètres!$A$1:$I$89,5,0)</f>
        <v>1.1173142411280423E-13</v>
      </c>
      <c r="CV173" s="13">
        <f t="shared" si="173"/>
        <v>1.6569896290553793E-12</v>
      </c>
      <c r="CW173" s="20">
        <f t="shared" si="174"/>
        <v>3.0805225009345862E-12</v>
      </c>
      <c r="CX173" s="59">
        <f t="shared" si="122"/>
        <v>288.38632650399381</v>
      </c>
      <c r="CY173" s="59">
        <f ca="1">AVERAGE(OFFSET($CX$3,0,0,'Données projet'!$E$13+1,1))-AVERAGE(OFFSET($H$3,0,0,'Données projet'!$E$13+1,1))</f>
        <v>260.25859566735949</v>
      </c>
      <c r="CZ173" s="59">
        <f t="shared" si="150"/>
        <v>256.93649773468667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11.336109014349489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11.336109014349489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-2.2737367544323206E-13</v>
      </c>
      <c r="DP173" s="17">
        <f>DO173*VLOOKUP('Données projet'!$B$14,Paramètres!$A$1:$I$89,3,0)*VLOOKUP('Données projet'!$B$14,Paramètres!$A$1:$I$89,5,0)</f>
        <v>-1.3005774235352875E-13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349.56396446903</v>
      </c>
      <c r="DU173" s="59">
        <f t="shared" si="152"/>
        <v>270.64279448634522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37.921475200852299</v>
      </c>
      <c r="EB173" s="21">
        <f>EXP(-LN(2)/25)*EB172+(1-EXP(-LN(2)/25))/(LN(2)/25)*Calculateur!DW173*Calculateur!DY173*VLOOKUP('Données projet'!$B$14,Paramètres!$A$1:$I$89,3,0)*0.475*44/12</f>
        <v>11.014591780702675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48.936066981554973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375.89365709113105</v>
      </c>
      <c r="EP173" s="59">
        <f t="shared" si="154"/>
        <v>279.39056561403834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28.013849850301696</v>
      </c>
      <c r="EW173" s="21">
        <f>EXP(-LN(2)/25)*EW172+(1-EXP(-LN(2)/25))/(LN(2)/25)*Calculateur!ER173*Calculateur!ET173*VLOOKUP('Données projet'!$B$15,Paramètres!$A$1:$I$89,3,0)*0.475*44/12</f>
        <v>6.8379286701157893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34.851778520417483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-1.1368683772161603E-13</v>
      </c>
      <c r="FF173" s="17">
        <f>FE173*VLOOKUP('Données projet'!$B$16,Paramètres!$A$1:$I$89,3,0)*VLOOKUP('Données projet'!$B$16,Paramètres!$A$1:$I$89,5,0)</f>
        <v>-6.7984728957526396E-14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319.29539841078537</v>
      </c>
      <c r="FK173" s="59">
        <f t="shared" si="156"/>
        <v>327.26871144121412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15.657468573794979</v>
      </c>
      <c r="FR173" s="21">
        <f>EXP(-LN(2)/25)*FR172+(1-EXP(-LN(2)/25))/(LN(2)/25)*Calculateur!FM173*Calculateur!FO173*VLOOKUP('Données projet'!$B$16,Paramètres!$A$1:$I$89,3,0)*0.475*44/12</f>
        <v>4.0590577784371273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19.716526352232108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2.2737367544323206E-13</v>
      </c>
      <c r="GA173" s="17">
        <f>FZ173*VLOOKUP('Données projet'!$B$17,Paramètres!$A$1:$I$89,3,0)*VLOOKUP('Données projet'!$B$17,Paramètres!$A$1:$I$89,5,0)</f>
        <v>1.0049916454590858E-13</v>
      </c>
      <c r="GB173" s="13">
        <f t="shared" si="185"/>
        <v>1.5089081593838289E-12</v>
      </c>
      <c r="GC173" s="20">
        <f t="shared" si="186"/>
        <v>2.8030510891776262E-12</v>
      </c>
      <c r="GD173" s="59">
        <f t="shared" si="134"/>
        <v>288.38632650399353</v>
      </c>
      <c r="GE173" s="59">
        <f ca="1">AVERAGE(OFFSET($GD$3,0,0,'Données projet'!$E$17+1,1))-AVERAGE(OFFSET($H$3,0,0,'Données projet'!$E$17+1,1))</f>
        <v>342.89128067483233</v>
      </c>
      <c r="GF173" s="59">
        <f t="shared" si="158"/>
        <v>453.47615302202996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18.686680055253639</v>
      </c>
      <c r="GM173" s="21">
        <f>EXP(-LN(2)/25)*GM172+(1-EXP(-LN(2)/25))/(LN(2)/25)*Calculateur!GH173*Calculateur!GJ173*VLOOKUP('Données projet'!$B$17,Paramètres!$A$1:$I$89,3,0)*0.475*44/12</f>
        <v>5.5609618377638688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24.247641893017509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68.650816319270206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>
        <f>GU173*VLOOKUP('Données projet'!$B$18,Paramètres!$A$1:$I$89,3,0)*VLOOKUP('Données projet'!$B$18,Paramètres!$A$1:$I$89,5,0)</f>
        <v>0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375.89365709113105</v>
      </c>
      <c r="HA173" s="59">
        <f t="shared" si="160"/>
        <v>279.39056561403834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28.013849850301696</v>
      </c>
      <c r="HH173" s="21">
        <f>EXP(-LN(2)/25)*HH172+(1-EXP(-LN(2)/25))/(LN(2)/25)*Calculateur!HC173*Calculateur!HE173*VLOOKUP('Données projet'!$B$18,Paramètres!$A$1:$I$89,3,0)*0.475*44/12</f>
        <v>6.8379286701157893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34.851778520417483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178.09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470.50685760000033</v>
      </c>
      <c r="P174" s="13">
        <f t="shared" si="141"/>
        <v>105.93301791241842</v>
      </c>
      <c r="Q174" s="20">
        <f t="shared" si="162"/>
        <v>1003.9661165174626</v>
      </c>
      <c r="R174" s="59">
        <f t="shared" si="109"/>
        <v>1292.4382625300921</v>
      </c>
      <c r="S174" s="59">
        <f ca="1">AVERAGE(OFFSET($R$3,0,0,'Données projet'!$E$9+1,1))-AVERAGE(OFFSET($H$3,0,0,'Données projet'!$E$9+1,1))</f>
        <v>631.31712308065664</v>
      </c>
      <c r="T174" s="59">
        <f t="shared" si="142"/>
        <v>290.92244624361285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64.148952611118901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64.148952611118901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-2.8421709430404007E-14</v>
      </c>
      <c r="AJ174" s="13">
        <f>AI174*VLOOKUP('Données projet'!$B$10,Paramètres!$A$1:$I$89,3,0)*VLOOKUP('Données projet'!$B$10,Paramètres!$A$1:$I$89,5,0)</f>
        <v>-2.3942448024172337E-14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401.19166052471473</v>
      </c>
      <c r="AO174" s="59">
        <f t="shared" si="144"/>
        <v>271.10067497534271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53.457906347724162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53.457906347724162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527.2921680000004</v>
      </c>
      <c r="BF174" s="13">
        <f t="shared" si="167"/>
        <v>117.15386255722979</v>
      </c>
      <c r="BG174" s="20">
        <f t="shared" si="168"/>
        <v>1122.4101698871759</v>
      </c>
      <c r="BH174" s="59">
        <f t="shared" si="116"/>
        <v>1410.8823158998055</v>
      </c>
      <c r="BI174" s="59">
        <f ca="1">AVERAGE(OFFSET($BH$3,0,0,'Données projet'!$E$11+1,1))-AVERAGE(OFFSET($H$3,0,0,'Données projet'!$E$11+1,1))</f>
        <v>695.93700574708214</v>
      </c>
      <c r="BJ174" s="59">
        <f t="shared" si="146"/>
        <v>318.31690229208471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71.891067581426384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71.891067581426384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1.7053025658242404E-13</v>
      </c>
      <c r="BZ174" s="13">
        <f>BY174*VLOOKUP('Données projet'!$B$12,Paramètres!$A$1:$I$89,3,0)*VLOOKUP('Données projet'!$B$12,Paramètres!$A$1:$I$89,5,0)</f>
        <v>1.1173142411280423E-13</v>
      </c>
      <c r="CA174" s="13">
        <f t="shared" si="170"/>
        <v>1.6569896290553793E-12</v>
      </c>
      <c r="CB174" s="20">
        <f t="shared" si="171"/>
        <v>3.0805225009345862E-12</v>
      </c>
      <c r="CC174" s="59">
        <f t="shared" si="119"/>
        <v>288.47214601263255</v>
      </c>
      <c r="CD174" s="59">
        <f ca="1">AVERAGE(OFFSET($CC$3,0,0,'Données projet'!$E$12+1,1))-AVERAGE(OFFSET($H$3,0,0,'Données projet'!$E$12+1,1))</f>
        <v>260.25859566735949</v>
      </c>
      <c r="CE174" s="59">
        <f t="shared" si="148"/>
        <v>256.93649773468667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11.113814830921859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11.113814830921859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1.7053025658242404E-13</v>
      </c>
      <c r="CU174" s="17">
        <f>CT174*VLOOKUP('Données projet'!$B$13,Paramètres!$A$1:$I$89,3,0)*VLOOKUP('Données projet'!$B$13,Paramètres!$A$1:$I$89,5,0)</f>
        <v>1.1173142411280423E-13</v>
      </c>
      <c r="CV174" s="13">
        <f t="shared" si="173"/>
        <v>1.6569896290553793E-12</v>
      </c>
      <c r="CW174" s="20">
        <f t="shared" si="174"/>
        <v>3.0805225009345862E-12</v>
      </c>
      <c r="CX174" s="59">
        <f t="shared" si="122"/>
        <v>288.47214601263255</v>
      </c>
      <c r="CY174" s="59">
        <f ca="1">AVERAGE(OFFSET($CX$3,0,0,'Données projet'!$E$13+1,1))-AVERAGE(OFFSET($H$3,0,0,'Données projet'!$E$13+1,1))</f>
        <v>260.25859566735949</v>
      </c>
      <c r="CZ174" s="59">
        <f t="shared" si="150"/>
        <v>256.93649773468667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11.113814830921859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11.113814830921859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-2.2737367544323206E-13</v>
      </c>
      <c r="DP174" s="17">
        <f>DO174*VLOOKUP('Données projet'!$B$14,Paramètres!$A$1:$I$89,3,0)*VLOOKUP('Données projet'!$B$14,Paramètres!$A$1:$I$89,5,0)</f>
        <v>-1.3005774235352875E-13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349.56396446903</v>
      </c>
      <c r="DU174" s="59">
        <f t="shared" si="152"/>
        <v>270.64279448634522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37.177858201979582</v>
      </c>
      <c r="EB174" s="21">
        <f>EXP(-LN(2)/25)*EB173+(1-EXP(-LN(2)/25))/(LN(2)/25)*Calculateur!DW174*Calculateur!DY174*VLOOKUP('Données projet'!$B$14,Paramètres!$A$1:$I$89,3,0)*0.475*44/12</f>
        <v>10.713397189227154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47.891255391206734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375.89365709113105</v>
      </c>
      <c r="EP174" s="59">
        <f t="shared" si="154"/>
        <v>279.39056561403834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27.464515341498512</v>
      </c>
      <c r="EW174" s="21">
        <f>EXP(-LN(2)/25)*EW173+(1-EXP(-LN(2)/25))/(LN(2)/25)*Calculateur!ER174*Calculateur!ET174*VLOOKUP('Données projet'!$B$15,Paramètres!$A$1:$I$89,3,0)*0.475*44/12</f>
        <v>6.6509451510404327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34.115460492538944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-1.1368683772161603E-13</v>
      </c>
      <c r="FF174" s="17">
        <f>FE174*VLOOKUP('Données projet'!$B$16,Paramètres!$A$1:$I$89,3,0)*VLOOKUP('Données projet'!$B$16,Paramètres!$A$1:$I$89,5,0)</f>
        <v>-6.7984728957526396E-14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319.29539841078537</v>
      </c>
      <c r="FK174" s="59">
        <f t="shared" si="156"/>
        <v>327.26871144121412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15.350435165175695</v>
      </c>
      <c r="FR174" s="21">
        <f>EXP(-LN(2)/25)*FR173+(1-EXP(-LN(2)/25))/(LN(2)/25)*Calculateur!FM174*Calculateur!FO174*VLOOKUP('Données projet'!$B$16,Paramètres!$A$1:$I$89,3,0)*0.475*44/12</f>
        <v>3.9480626300291926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19.298497795204888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2.2737367544323206E-13</v>
      </c>
      <c r="GA174" s="17">
        <f>FZ174*VLOOKUP('Données projet'!$B$17,Paramètres!$A$1:$I$89,3,0)*VLOOKUP('Données projet'!$B$17,Paramètres!$A$1:$I$89,5,0)</f>
        <v>1.0049916454590858E-13</v>
      </c>
      <c r="GB174" s="13">
        <f t="shared" si="185"/>
        <v>1.5089081593838289E-12</v>
      </c>
      <c r="GC174" s="20">
        <f t="shared" si="186"/>
        <v>2.8030510891776262E-12</v>
      </c>
      <c r="GD174" s="59">
        <f t="shared" si="134"/>
        <v>288.47214601263227</v>
      </c>
      <c r="GE174" s="59">
        <f ca="1">AVERAGE(OFFSET($GD$3,0,0,'Données projet'!$E$17+1,1))-AVERAGE(OFFSET($H$3,0,0,'Données projet'!$E$17+1,1))</f>
        <v>342.89128067483233</v>
      </c>
      <c r="GF174" s="59">
        <f t="shared" si="158"/>
        <v>453.47615302202996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18.320245657119514</v>
      </c>
      <c r="GM174" s="21">
        <f>EXP(-LN(2)/25)*GM173+(1-EXP(-LN(2)/25))/(LN(2)/25)*Calculateur!GH174*Calculateur!GJ174*VLOOKUP('Données projet'!$B$17,Paramètres!$A$1:$I$89,3,0)*0.475*44/12</f>
        <v>5.4088970438719421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23.729142700991456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68.674221639808039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>
        <f>GU174*VLOOKUP('Données projet'!$B$18,Paramètres!$A$1:$I$89,3,0)*VLOOKUP('Données projet'!$B$18,Paramètres!$A$1:$I$89,5,0)</f>
        <v>0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375.89365709113105</v>
      </c>
      <c r="HA174" s="59">
        <f t="shared" si="160"/>
        <v>279.39056561403834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27.464515341498512</v>
      </c>
      <c r="HH174" s="21">
        <f>EXP(-LN(2)/25)*HH173+(1-EXP(-LN(2)/25))/(LN(2)/25)*Calculateur!HC174*Calculateur!HE174*VLOOKUP('Données projet'!$B$18,Paramètres!$A$1:$I$89,3,0)*0.475*44/12</f>
        <v>6.6509451510404327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34.115460492538944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178.09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478.23927840000039</v>
      </c>
      <c r="P175" s="13">
        <f t="shared" si="141"/>
        <v>107.46983969122122</v>
      </c>
      <c r="Q175" s="20">
        <f t="shared" si="162"/>
        <v>1020.110047342211</v>
      </c>
      <c r="R175" s="59">
        <f t="shared" si="109"/>
        <v>1308.6665240868679</v>
      </c>
      <c r="S175" s="59">
        <f ca="1">AVERAGE(OFFSET($R$3,0,0,'Données projet'!$E$9+1,1))-AVERAGE(OFFSET($H$3,0,0,'Données projet'!$E$9+1,1))</f>
        <v>631.31712308065664</v>
      </c>
      <c r="T175" s="59">
        <f t="shared" si="142"/>
        <v>290.92244624361285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62.891030777412482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62.891030777412482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-2.8421709430404007E-14</v>
      </c>
      <c r="AJ175" s="13">
        <f>AI175*VLOOKUP('Données projet'!$B$10,Paramètres!$A$1:$I$89,3,0)*VLOOKUP('Données projet'!$B$10,Paramètres!$A$1:$I$89,5,0)</f>
        <v>-2.3942448024172337E-14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401.19166052471473</v>
      </c>
      <c r="AO175" s="59">
        <f t="shared" si="144"/>
        <v>271.10067497534271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52.409629410348579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52.409629410348579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535.95781200000044</v>
      </c>
      <c r="BF175" s="13">
        <f t="shared" si="167"/>
        <v>118.85347058310219</v>
      </c>
      <c r="BG175" s="20">
        <f t="shared" si="168"/>
        <v>1140.4629838322371</v>
      </c>
      <c r="BH175" s="59">
        <f t="shared" si="116"/>
        <v>1429.0194605768941</v>
      </c>
      <c r="BI175" s="59">
        <f ca="1">AVERAGE(OFFSET($BH$3,0,0,'Données projet'!$E$11+1,1))-AVERAGE(OFFSET($H$3,0,0,'Données projet'!$E$11+1,1))</f>
        <v>695.93700574708214</v>
      </c>
      <c r="BJ175" s="59">
        <f t="shared" si="146"/>
        <v>318.31690229208471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70.481327595376086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70.481327595376086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1.7053025658242404E-13</v>
      </c>
      <c r="BZ175" s="13">
        <f>BY175*VLOOKUP('Données projet'!$B$12,Paramètres!$A$1:$I$89,3,0)*VLOOKUP('Données projet'!$B$12,Paramètres!$A$1:$I$89,5,0)</f>
        <v>1.1173142411280423E-13</v>
      </c>
      <c r="CA175" s="13">
        <f t="shared" si="170"/>
        <v>1.6569896290553793E-12</v>
      </c>
      <c r="CB175" s="20">
        <f t="shared" si="171"/>
        <v>3.0805225009345862E-12</v>
      </c>
      <c r="CC175" s="59">
        <f t="shared" si="119"/>
        <v>288.55647674466002</v>
      </c>
      <c r="CD175" s="59">
        <f ca="1">AVERAGE(OFFSET($CC$3,0,0,'Données projet'!$E$12+1,1))-AVERAGE(OFFSET($H$3,0,0,'Données projet'!$E$12+1,1))</f>
        <v>260.25859566735949</v>
      </c>
      <c r="CE175" s="59">
        <f t="shared" si="148"/>
        <v>256.93649773468667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10.895879700845182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10.895879700845182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1.7053025658242404E-13</v>
      </c>
      <c r="CU175" s="17">
        <f>CT175*VLOOKUP('Données projet'!$B$13,Paramètres!$A$1:$I$89,3,0)*VLOOKUP('Données projet'!$B$13,Paramètres!$A$1:$I$89,5,0)</f>
        <v>1.1173142411280423E-13</v>
      </c>
      <c r="CV175" s="13">
        <f t="shared" si="173"/>
        <v>1.6569896290553793E-12</v>
      </c>
      <c r="CW175" s="20">
        <f t="shared" si="174"/>
        <v>3.0805225009345862E-12</v>
      </c>
      <c r="CX175" s="59">
        <f t="shared" si="122"/>
        <v>288.55647674466002</v>
      </c>
      <c r="CY175" s="59">
        <f ca="1">AVERAGE(OFFSET($CX$3,0,0,'Données projet'!$E$13+1,1))-AVERAGE(OFFSET($H$3,0,0,'Données projet'!$E$13+1,1))</f>
        <v>260.25859566735949</v>
      </c>
      <c r="CZ175" s="59">
        <f t="shared" si="150"/>
        <v>256.93649773468667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10.895879700845182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10.895879700845182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-2.2737367544323206E-13</v>
      </c>
      <c r="DP175" s="17">
        <f>DO175*VLOOKUP('Données projet'!$B$14,Paramètres!$A$1:$I$89,3,0)*VLOOKUP('Données projet'!$B$14,Paramètres!$A$1:$I$89,5,0)</f>
        <v>-1.3005774235352875E-13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349.56396446903</v>
      </c>
      <c r="DU175" s="59">
        <f t="shared" si="152"/>
        <v>270.64279448634522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36.44882307889317</v>
      </c>
      <c r="EB175" s="21">
        <f>EXP(-LN(2)/25)*EB174+(1-EXP(-LN(2)/25))/(LN(2)/25)*Calculateur!DW175*Calculateur!DY175*VLOOKUP('Données projet'!$B$14,Paramètres!$A$1:$I$89,3,0)*0.475*44/12</f>
        <v>10.420438779694665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46.869261858587834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375.89365709113105</v>
      </c>
      <c r="EP175" s="59">
        <f t="shared" si="154"/>
        <v>279.39056561403834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26.925952947351991</v>
      </c>
      <c r="EW175" s="21">
        <f>EXP(-LN(2)/25)*EW174+(1-EXP(-LN(2)/25))/(LN(2)/25)*Calculateur!ER175*Calculateur!ET175*VLOOKUP('Données projet'!$B$15,Paramètres!$A$1:$I$89,3,0)*0.475*44/12</f>
        <v>6.4690747061272278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33.395027653479218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-1.1368683772161603E-13</v>
      </c>
      <c r="FF175" s="17">
        <f>FE175*VLOOKUP('Données projet'!$B$16,Paramètres!$A$1:$I$89,3,0)*VLOOKUP('Données projet'!$B$16,Paramètres!$A$1:$I$89,5,0)</f>
        <v>-6.7984728957526396E-14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319.29539841078537</v>
      </c>
      <c r="FK175" s="59">
        <f t="shared" si="156"/>
        <v>327.26871144121412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15.049422494427546</v>
      </c>
      <c r="FR175" s="21">
        <f>EXP(-LN(2)/25)*FR174+(1-EXP(-LN(2)/25))/(LN(2)/25)*Calculateur!FM175*Calculateur!FO175*VLOOKUP('Données projet'!$B$16,Paramètres!$A$1:$I$89,3,0)*0.475*44/12</f>
        <v>3.8401026497914539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18.889525144219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2.2737367544323206E-13</v>
      </c>
      <c r="GA175" s="17">
        <f>FZ175*VLOOKUP('Données projet'!$B$17,Paramètres!$A$1:$I$89,3,0)*VLOOKUP('Données projet'!$B$17,Paramètres!$A$1:$I$89,5,0)</f>
        <v>1.0049916454590858E-13</v>
      </c>
      <c r="GB175" s="13">
        <f t="shared" si="185"/>
        <v>1.5089081593838289E-12</v>
      </c>
      <c r="GC175" s="20">
        <f t="shared" si="186"/>
        <v>2.8030510891776262E-12</v>
      </c>
      <c r="GD175" s="59">
        <f t="shared" si="134"/>
        <v>288.55647674465973</v>
      </c>
      <c r="GE175" s="59">
        <f ca="1">AVERAGE(OFFSET($GD$3,0,0,'Données projet'!$E$17+1,1))-AVERAGE(OFFSET($H$3,0,0,'Données projet'!$E$17+1,1))</f>
        <v>342.89128067483233</v>
      </c>
      <c r="GF175" s="59">
        <f t="shared" si="158"/>
        <v>453.47615302202996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17.960996814029887</v>
      </c>
      <c r="GM175" s="21">
        <f>EXP(-LN(2)/25)*GM174+(1-EXP(-LN(2)/25))/(LN(2)/25)*Calculateur!GH175*Calculateur!GJ175*VLOOKUP('Données projet'!$B$17,Paramètres!$A$1:$I$89,3,0)*0.475*44/12</f>
        <v>5.2609904697657308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23.221987283795617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68.697220930360984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>
        <f>GU175*VLOOKUP('Données projet'!$B$18,Paramètres!$A$1:$I$89,3,0)*VLOOKUP('Données projet'!$B$18,Paramètres!$A$1:$I$89,5,0)</f>
        <v>0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375.89365709113105</v>
      </c>
      <c r="HA175" s="59">
        <f t="shared" si="160"/>
        <v>279.39056561403834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26.925952947351991</v>
      </c>
      <c r="HH175" s="21">
        <f>EXP(-LN(2)/25)*HH174+(1-EXP(-LN(2)/25))/(LN(2)/25)*Calculateur!HC175*Calculateur!HE175*VLOOKUP('Données projet'!$B$18,Paramètres!$A$1:$I$89,3,0)*0.475*44/12</f>
        <v>6.4690747061272278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33.395027653479218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178.09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485.97169920000039</v>
      </c>
      <c r="P176" s="13">
        <f t="shared" si="141"/>
        <v>109.00377173434057</v>
      </c>
      <c r="Q176" s="20">
        <f t="shared" si="162"/>
        <v>1036.2489452106438</v>
      </c>
      <c r="R176" s="59">
        <f t="shared" si="109"/>
        <v>1324.8882897376629</v>
      </c>
      <c r="S176" s="59">
        <f ca="1">AVERAGE(OFFSET($R$3,0,0,'Données projet'!$E$9+1,1))-AVERAGE(OFFSET($H$3,0,0,'Données projet'!$E$9+1,1))</f>
        <v>631.31712308065664</v>
      </c>
      <c r="T176" s="59">
        <f t="shared" si="142"/>
        <v>290.92244624361285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61.657776023608484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61.657776023608484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-2.8421709430404007E-14</v>
      </c>
      <c r="AJ176" s="13">
        <f>AI176*VLOOKUP('Données projet'!$B$10,Paramètres!$A$1:$I$89,3,0)*VLOOKUP('Données projet'!$B$10,Paramètres!$A$1:$I$89,5,0)</f>
        <v>-2.3942448024172337E-14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401.19166052471473</v>
      </c>
      <c r="AO176" s="59">
        <f t="shared" si="144"/>
        <v>271.10067497534271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51.381908544329136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51.381908544329136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544.62345600000049</v>
      </c>
      <c r="BF176" s="13">
        <f t="shared" si="167"/>
        <v>120.54988278104692</v>
      </c>
      <c r="BG176" s="20">
        <f t="shared" si="168"/>
        <v>1158.510231710324</v>
      </c>
      <c r="BH176" s="59">
        <f t="shared" si="116"/>
        <v>1447.1495762373429</v>
      </c>
      <c r="BI176" s="59">
        <f ca="1">AVERAGE(OFFSET($BH$3,0,0,'Données projet'!$E$11+1,1))-AVERAGE(OFFSET($H$3,0,0,'Données projet'!$E$11+1,1))</f>
        <v>695.93700574708214</v>
      </c>
      <c r="BJ176" s="59">
        <f t="shared" si="146"/>
        <v>318.31690229208471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69.099231750595749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69.099231750595749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1.7053025658242404E-13</v>
      </c>
      <c r="BZ176" s="13">
        <f>BY176*VLOOKUP('Données projet'!$B$12,Paramètres!$A$1:$I$89,3,0)*VLOOKUP('Données projet'!$B$12,Paramètres!$A$1:$I$89,5,0)</f>
        <v>1.1173142411280423E-13</v>
      </c>
      <c r="CA176" s="13">
        <f t="shared" si="170"/>
        <v>1.6569896290553793E-12</v>
      </c>
      <c r="CB176" s="20">
        <f t="shared" si="171"/>
        <v>3.0805225009345862E-12</v>
      </c>
      <c r="CC176" s="59">
        <f t="shared" si="119"/>
        <v>288.6393445270221</v>
      </c>
      <c r="CD176" s="59">
        <f ca="1">AVERAGE(OFFSET($CC$3,0,0,'Données projet'!$E$12+1,1))-AVERAGE(OFFSET($H$3,0,0,'Données projet'!$E$12+1,1))</f>
        <v>260.25859566735949</v>
      </c>
      <c r="CE176" s="59">
        <f t="shared" si="148"/>
        <v>256.93649773468667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10.682218145742004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10.682218145742004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1.7053025658242404E-13</v>
      </c>
      <c r="CU176" s="17">
        <f>CT176*VLOOKUP('Données projet'!$B$13,Paramètres!$A$1:$I$89,3,0)*VLOOKUP('Données projet'!$B$13,Paramètres!$A$1:$I$89,5,0)</f>
        <v>1.1173142411280423E-13</v>
      </c>
      <c r="CV176" s="13">
        <f t="shared" si="173"/>
        <v>1.6569896290553793E-12</v>
      </c>
      <c r="CW176" s="20">
        <f t="shared" si="174"/>
        <v>3.0805225009345862E-12</v>
      </c>
      <c r="CX176" s="59">
        <f t="shared" si="122"/>
        <v>288.6393445270221</v>
      </c>
      <c r="CY176" s="59">
        <f ca="1">AVERAGE(OFFSET($CX$3,0,0,'Données projet'!$E$13+1,1))-AVERAGE(OFFSET($H$3,0,0,'Données projet'!$E$13+1,1))</f>
        <v>260.25859566735949</v>
      </c>
      <c r="CZ176" s="59">
        <f t="shared" si="150"/>
        <v>256.93649773468667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10.682218145742004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10.682218145742004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-2.2737367544323206E-13</v>
      </c>
      <c r="DP176" s="17">
        <f>DO176*VLOOKUP('Données projet'!$B$14,Paramètres!$A$1:$I$89,3,0)*VLOOKUP('Données projet'!$B$14,Paramètres!$A$1:$I$89,5,0)</f>
        <v>-1.3005774235352875E-13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349.56396446903</v>
      </c>
      <c r="DU176" s="59">
        <f t="shared" si="152"/>
        <v>270.64279448634522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35.734083889902969</v>
      </c>
      <c r="EB176" s="21">
        <f>EXP(-LN(2)/25)*EB175+(1-EXP(-LN(2)/25))/(LN(2)/25)*Calculateur!DW176*Calculateur!DY176*VLOOKUP('Données projet'!$B$14,Paramètres!$A$1:$I$89,3,0)*0.475*44/12</f>
        <v>10.135491333276855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45.869575223179822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375.89365709113105</v>
      </c>
      <c r="EP176" s="59">
        <f t="shared" si="154"/>
        <v>279.39056561403834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26.397951433264058</v>
      </c>
      <c r="EW176" s="21">
        <f>EXP(-LN(2)/25)*EW175+(1-EXP(-LN(2)/25))/(LN(2)/25)*Calculateur!ER176*Calculateur!ET176*VLOOKUP('Données projet'!$B$15,Paramètres!$A$1:$I$89,3,0)*0.475*44/12</f>
        <v>6.2921775180943254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32.690128951358382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-1.1368683772161603E-13</v>
      </c>
      <c r="FF176" s="17">
        <f>FE176*VLOOKUP('Données projet'!$B$16,Paramètres!$A$1:$I$89,3,0)*VLOOKUP('Données projet'!$B$16,Paramètres!$A$1:$I$89,5,0)</f>
        <v>-6.7984728957526396E-14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319.29539841078537</v>
      </c>
      <c r="FK176" s="59">
        <f t="shared" si="156"/>
        <v>327.26871144121412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14.754312498553169</v>
      </c>
      <c r="FR176" s="21">
        <f>EXP(-LN(2)/25)*FR175+(1-EXP(-LN(2)/25))/(LN(2)/25)*Calculateur!FM176*Calculateur!FO176*VLOOKUP('Données projet'!$B$16,Paramètres!$A$1:$I$89,3,0)*0.475*44/12</f>
        <v>3.7350948408906848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18.489407339443854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2.2737367544323206E-13</v>
      </c>
      <c r="GA176" s="17">
        <f>FZ176*VLOOKUP('Données projet'!$B$17,Paramètres!$A$1:$I$89,3,0)*VLOOKUP('Données projet'!$B$17,Paramètres!$A$1:$I$89,5,0)</f>
        <v>1.0049916454590858E-13</v>
      </c>
      <c r="GB176" s="13">
        <f t="shared" si="185"/>
        <v>1.5089081593838289E-12</v>
      </c>
      <c r="GC176" s="20">
        <f t="shared" si="186"/>
        <v>2.8030510891776262E-12</v>
      </c>
      <c r="GD176" s="59">
        <f t="shared" si="134"/>
        <v>288.63934452702182</v>
      </c>
      <c r="GE176" s="59">
        <f ca="1">AVERAGE(OFFSET($GD$3,0,0,'Données projet'!$E$17+1,1))-AVERAGE(OFFSET($H$3,0,0,'Données projet'!$E$17+1,1))</f>
        <v>342.89128067483233</v>
      </c>
      <c r="GF176" s="59">
        <f t="shared" si="158"/>
        <v>453.47615302202996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17.608792621633089</v>
      </c>
      <c r="GM176" s="21">
        <f>EXP(-LN(2)/25)*GM175+(1-EXP(-LN(2)/25))/(LN(2)/25)*Calculateur!GH176*Calculateur!GJ176*VLOOKUP('Données projet'!$B$17,Paramètres!$A$1:$I$89,3,0)*0.475*44/12</f>
        <v>5.1171284087065221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22.725921030339613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68.719821234641557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>
        <f>GU176*VLOOKUP('Données projet'!$B$18,Paramètres!$A$1:$I$89,3,0)*VLOOKUP('Données projet'!$B$18,Paramètres!$A$1:$I$89,5,0)</f>
        <v>0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375.89365709113105</v>
      </c>
      <c r="HA176" s="59">
        <f t="shared" si="160"/>
        <v>279.39056561403834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26.397951433264058</v>
      </c>
      <c r="HH176" s="21">
        <f>EXP(-LN(2)/25)*HH175+(1-EXP(-LN(2)/25))/(LN(2)/25)*Calculateur!HC176*Calculateur!HE176*VLOOKUP('Données projet'!$B$18,Paramètres!$A$1:$I$89,3,0)*0.475*44/12</f>
        <v>6.2921775180943254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32.690128951358382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178.09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493.7041200000005</v>
      </c>
      <c r="P177" s="13">
        <f t="shared" si="141"/>
        <v>110.53486532995269</v>
      </c>
      <c r="Q177" s="20">
        <f t="shared" si="162"/>
        <v>1052.3828994496685</v>
      </c>
      <c r="R177" s="59">
        <f t="shared" si="109"/>
        <v>1341.1036741882904</v>
      </c>
      <c r="S177" s="59">
        <f ca="1">AVERAGE(OFFSET($R$3,0,0,'Données projet'!$E$9+1,1))-AVERAGE(OFFSET($H$3,0,0,'Données projet'!$E$9+1,1))</f>
        <v>631.31712308065664</v>
      </c>
      <c r="T177" s="59">
        <f t="shared" si="142"/>
        <v>290.92244624361285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115.87208689768337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115.87208689768337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-2.8421709430404007E-14</v>
      </c>
      <c r="AJ177" s="13">
        <f>AI177*VLOOKUP('Données projet'!$B$10,Paramètres!$A$1:$I$89,3,0)*VLOOKUP('Données projet'!$B$10,Paramètres!$A$1:$I$89,5,0)</f>
        <v>-2.3942448024172337E-14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401.19166052471473</v>
      </c>
      <c r="AO177" s="59">
        <f t="shared" si="144"/>
        <v>271.10067497534271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50.374340657644495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50.374340657644495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553.28910000000053</v>
      </c>
      <c r="BF177" s="13">
        <f t="shared" si="167"/>
        <v>122.24315587188718</v>
      </c>
      <c r="BG177" s="20">
        <f t="shared" si="168"/>
        <v>1176.5520123102044</v>
      </c>
      <c r="BH177" s="59">
        <f t="shared" si="116"/>
        <v>1465.2727870488261</v>
      </c>
      <c r="BI177" s="59">
        <f ca="1">AVERAGE(OFFSET($BH$3,0,0,'Données projet'!$E$11+1,1))-AVERAGE(OFFSET($H$3,0,0,'Données projet'!$E$11+1,1))</f>
        <v>695.93700574708214</v>
      </c>
      <c r="BJ177" s="59">
        <f t="shared" si="146"/>
        <v>318.31690229208471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129.85664910947281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129.85664910947281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1.7053025658242404E-13</v>
      </c>
      <c r="BZ177" s="13">
        <f>BY177*VLOOKUP('Données projet'!$B$12,Paramètres!$A$1:$I$89,3,0)*VLOOKUP('Données projet'!$B$12,Paramètres!$A$1:$I$89,5,0)</f>
        <v>1.1173142411280423E-13</v>
      </c>
      <c r="CA177" s="13">
        <f t="shared" si="170"/>
        <v>1.6569896290553793E-12</v>
      </c>
      <c r="CB177" s="20">
        <f t="shared" si="171"/>
        <v>3.0805225009345862E-12</v>
      </c>
      <c r="CC177" s="59">
        <f t="shared" si="119"/>
        <v>288.72077473862487</v>
      </c>
      <c r="CD177" s="59">
        <f ca="1">AVERAGE(OFFSET($CC$3,0,0,'Données projet'!$E$12+1,1))-AVERAGE(OFFSET($H$3,0,0,'Données projet'!$E$12+1,1))</f>
        <v>260.25859566735949</v>
      </c>
      <c r="CE177" s="59">
        <f t="shared" si="148"/>
        <v>256.93649773468667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10.472746363413719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10.472746363413719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1.7053025658242404E-13</v>
      </c>
      <c r="CU177" s="17">
        <f>CT177*VLOOKUP('Données projet'!$B$13,Paramètres!$A$1:$I$89,3,0)*VLOOKUP('Données projet'!$B$13,Paramètres!$A$1:$I$89,5,0)</f>
        <v>1.1173142411280423E-13</v>
      </c>
      <c r="CV177" s="13">
        <f t="shared" si="173"/>
        <v>1.6569896290553793E-12</v>
      </c>
      <c r="CW177" s="20">
        <f t="shared" si="174"/>
        <v>3.0805225009345862E-12</v>
      </c>
      <c r="CX177" s="59">
        <f t="shared" si="122"/>
        <v>288.72077473862487</v>
      </c>
      <c r="CY177" s="59">
        <f ca="1">AVERAGE(OFFSET($CX$3,0,0,'Données projet'!$E$13+1,1))-AVERAGE(OFFSET($H$3,0,0,'Données projet'!$E$13+1,1))</f>
        <v>260.25859566735949</v>
      </c>
      <c r="CZ177" s="59">
        <f t="shared" si="150"/>
        <v>256.93649773468667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10.472746363413719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10.472746363413719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-2.2737367544323206E-13</v>
      </c>
      <c r="DP177" s="17">
        <f>DO177*VLOOKUP('Données projet'!$B$14,Paramètres!$A$1:$I$89,3,0)*VLOOKUP('Données projet'!$B$14,Paramètres!$A$1:$I$89,5,0)</f>
        <v>-1.3005774235352875E-13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349.56396446903</v>
      </c>
      <c r="DU177" s="59">
        <f t="shared" si="152"/>
        <v>270.64279448634522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35.033360300461005</v>
      </c>
      <c r="EB177" s="21">
        <f>EXP(-LN(2)/25)*EB176+(1-EXP(-LN(2)/25))/(LN(2)/25)*Calculateur!DW177*Calculateur!DY177*VLOOKUP('Données projet'!$B$14,Paramètres!$A$1:$I$89,3,0)*0.475*44/12</f>
        <v>9.8583357897660751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44.891696090227079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375.89365709113105</v>
      </c>
      <c r="EP177" s="59">
        <f t="shared" si="154"/>
        <v>279.39056561403834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25.880303706818268</v>
      </c>
      <c r="EW177" s="21">
        <f>EXP(-LN(2)/25)*EW176+(1-EXP(-LN(2)/25))/(LN(2)/25)*Calculateur!ER177*Calculateur!ET177*VLOOKUP('Données projet'!$B$15,Paramètres!$A$1:$I$89,3,0)*0.475*44/12</f>
        <v>6.1201175929708009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32.000421299789068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-1.1368683772161603E-13</v>
      </c>
      <c r="FF177" s="17">
        <f>FE177*VLOOKUP('Données projet'!$B$16,Paramètres!$A$1:$I$89,3,0)*VLOOKUP('Données projet'!$B$16,Paramètres!$A$1:$I$89,5,0)</f>
        <v>-6.7984728957526396E-14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319.29539841078537</v>
      </c>
      <c r="FK177" s="59">
        <f t="shared" si="156"/>
        <v>327.26871144121412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14.464989429698564</v>
      </c>
      <c r="FR177" s="21">
        <f>EXP(-LN(2)/25)*FR176+(1-EXP(-LN(2)/25))/(LN(2)/25)*Calculateur!FM177*Calculateur!FO177*VLOOKUP('Données projet'!$B$16,Paramètres!$A$1:$I$89,3,0)*0.475*44/12</f>
        <v>3.632958476046428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18.097947905744991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2.2737367544323206E-13</v>
      </c>
      <c r="GA177" s="17">
        <f>FZ177*VLOOKUP('Données projet'!$B$17,Paramètres!$A$1:$I$89,3,0)*VLOOKUP('Données projet'!$B$17,Paramètres!$A$1:$I$89,5,0)</f>
        <v>1.0049916454590858E-13</v>
      </c>
      <c r="GB177" s="13">
        <f t="shared" si="185"/>
        <v>1.5089081593838289E-12</v>
      </c>
      <c r="GC177" s="20">
        <f t="shared" si="186"/>
        <v>2.8030510891776262E-12</v>
      </c>
      <c r="GD177" s="59">
        <f t="shared" si="134"/>
        <v>288.72077473862458</v>
      </c>
      <c r="GE177" s="59">
        <f ca="1">AVERAGE(OFFSET($GD$3,0,0,'Données projet'!$E$17+1,1))-AVERAGE(OFFSET($H$3,0,0,'Données projet'!$E$17+1,1))</f>
        <v>342.89128067483233</v>
      </c>
      <c r="GF177" s="59">
        <f t="shared" si="158"/>
        <v>453.47615302202996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17.263494938625847</v>
      </c>
      <c r="GM177" s="21">
        <f>EXP(-LN(2)/25)*GM176+(1-EXP(-LN(2)/25))/(LN(2)/25)*Calculateur!GH177*Calculateur!GJ177*VLOOKUP('Données projet'!$B$17,Paramètres!$A$1:$I$89,3,0)*0.475*44/12</f>
        <v>4.9772002632723549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22.240695201898202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68.742029474169584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>
        <f>GU177*VLOOKUP('Données projet'!$B$18,Paramètres!$A$1:$I$89,3,0)*VLOOKUP('Données projet'!$B$18,Paramètres!$A$1:$I$89,5,0)</f>
        <v>0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375.89365709113105</v>
      </c>
      <c r="HA177" s="59">
        <f t="shared" si="160"/>
        <v>279.39056561403834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25.880303706818268</v>
      </c>
      <c r="HH177" s="21">
        <f>EXP(-LN(2)/25)*HH176+(1-EXP(-LN(2)/25))/(LN(2)/25)*Calculateur!HC177*Calculateur!HE177*VLOOKUP('Données projet'!$B$18,Paramètres!$A$1:$I$89,3,0)*0.475*44/12</f>
        <v>6.1201175929708009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32.000421299789068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178.09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304.2540800000005</v>
      </c>
      <c r="P178" s="13">
        <f t="shared" si="141"/>
        <v>72.067549889405967</v>
      </c>
      <c r="Q178" s="20">
        <f t="shared" si="162"/>
        <v>655.42683872404962</v>
      </c>
      <c r="R178" s="59">
        <f t="shared" si="109"/>
        <v>944.22763104215346</v>
      </c>
      <c r="S178" s="59">
        <f ca="1">AVERAGE(OFFSET($R$3,0,0,'Données projet'!$E$9+1,1))-AVERAGE(OFFSET($H$3,0,0,'Données projet'!$E$9+1,1))</f>
        <v>631.31712308065664</v>
      </c>
      <c r="T178" s="59">
        <f t="shared" si="142"/>
        <v>290.92244624361285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113.59990594861424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113.59990594861424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-2.8421709430404007E-14</v>
      </c>
      <c r="AJ178" s="13">
        <f>AI178*VLOOKUP('Données projet'!$B$10,Paramètres!$A$1:$I$89,3,0)*VLOOKUP('Données projet'!$B$10,Paramètres!$A$1:$I$89,5,0)</f>
        <v>-2.3942448024172337E-14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401.19166052471473</v>
      </c>
      <c r="AO178" s="59">
        <f t="shared" si="144"/>
        <v>271.10067497534271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49.386530562662017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49.386530562662017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340.97440000000057</v>
      </c>
      <c r="BF178" s="13">
        <f t="shared" si="167"/>
        <v>79.70123008824433</v>
      </c>
      <c r="BG178" s="20">
        <f t="shared" si="168"/>
        <v>732.67672240369313</v>
      </c>
      <c r="BH178" s="59">
        <f t="shared" si="116"/>
        <v>1021.477514721797</v>
      </c>
      <c r="BI178" s="59">
        <f ca="1">AVERAGE(OFFSET($BH$3,0,0,'Données projet'!$E$11+1,1))-AVERAGE(OFFSET($H$3,0,0,'Données projet'!$E$11+1,1))</f>
        <v>695.93700574708214</v>
      </c>
      <c r="BJ178" s="59">
        <f t="shared" si="146"/>
        <v>318.31690229208471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127.31023942517119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127.31023942517119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1.7053025658242404E-13</v>
      </c>
      <c r="BZ178" s="13">
        <f>BY178*VLOOKUP('Données projet'!$B$12,Paramètres!$A$1:$I$89,3,0)*VLOOKUP('Données projet'!$B$12,Paramètres!$A$1:$I$89,5,0)</f>
        <v>1.1173142411280423E-13</v>
      </c>
      <c r="CA178" s="13">
        <f t="shared" si="170"/>
        <v>1.6569896290553793E-12</v>
      </c>
      <c r="CB178" s="20">
        <f t="shared" si="171"/>
        <v>3.0805225009345862E-12</v>
      </c>
      <c r="CC178" s="59">
        <f t="shared" si="119"/>
        <v>288.80079231810686</v>
      </c>
      <c r="CD178" s="59">
        <f ca="1">AVERAGE(OFFSET($CC$3,0,0,'Données projet'!$E$12+1,1))-AVERAGE(OFFSET($H$3,0,0,'Données projet'!$E$12+1,1))</f>
        <v>260.25859566735949</v>
      </c>
      <c r="CE178" s="59">
        <f t="shared" si="148"/>
        <v>256.93649773468667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10.26738219497172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10.26738219497172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1.7053025658242404E-13</v>
      </c>
      <c r="CU178" s="17">
        <f>CT178*VLOOKUP('Données projet'!$B$13,Paramètres!$A$1:$I$89,3,0)*VLOOKUP('Données projet'!$B$13,Paramètres!$A$1:$I$89,5,0)</f>
        <v>1.1173142411280423E-13</v>
      </c>
      <c r="CV178" s="13">
        <f t="shared" si="173"/>
        <v>1.6569896290553793E-12</v>
      </c>
      <c r="CW178" s="20">
        <f t="shared" si="174"/>
        <v>3.0805225009345862E-12</v>
      </c>
      <c r="CX178" s="59">
        <f t="shared" si="122"/>
        <v>288.80079231810686</v>
      </c>
      <c r="CY178" s="59">
        <f ca="1">AVERAGE(OFFSET($CX$3,0,0,'Données projet'!$E$13+1,1))-AVERAGE(OFFSET($H$3,0,0,'Données projet'!$E$13+1,1))</f>
        <v>260.25859566735949</v>
      </c>
      <c r="CZ178" s="59">
        <f t="shared" si="150"/>
        <v>256.93649773468667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10.26738219497172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10.26738219497172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-2.2737367544323206E-13</v>
      </c>
      <c r="DP178" s="17">
        <f>DO178*VLOOKUP('Données projet'!$B$14,Paramètres!$A$1:$I$89,3,0)*VLOOKUP('Données projet'!$B$14,Paramètres!$A$1:$I$89,5,0)</f>
        <v>-1.3005774235352875E-13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349.56396446903</v>
      </c>
      <c r="DU178" s="59">
        <f t="shared" si="152"/>
        <v>270.64279448634522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34.346377473208811</v>
      </c>
      <c r="EB178" s="21">
        <f>EXP(-LN(2)/25)*EB177+(1-EXP(-LN(2)/25))/(LN(2)/25)*Calculateur!DW178*Calculateur!DY178*VLOOKUP('Données projet'!$B$14,Paramètres!$A$1:$I$89,3,0)*0.475*44/12</f>
        <v>9.5887590791675734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43.935136552376385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375.89365709113105</v>
      </c>
      <c r="EP178" s="59">
        <f t="shared" si="154"/>
        <v>279.39056561403834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25.372806736554143</v>
      </c>
      <c r="EW178" s="21">
        <f>EXP(-LN(2)/25)*EW177+(1-EXP(-LN(2)/25))/(LN(2)/25)*Calculateur!ER178*Calculateur!ET178*VLOOKUP('Données projet'!$B$15,Paramètres!$A$1:$I$89,3,0)*0.475*44/12</f>
        <v>5.9527626555480175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31.32556939210216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-1.1368683772161603E-13</v>
      </c>
      <c r="FF178" s="17">
        <f>FE178*VLOOKUP('Données projet'!$B$16,Paramètres!$A$1:$I$89,3,0)*VLOOKUP('Données projet'!$B$16,Paramètres!$A$1:$I$89,5,0)</f>
        <v>-6.7984728957526396E-14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319.29539841078537</v>
      </c>
      <c r="FK178" s="59">
        <f t="shared" si="156"/>
        <v>327.26871144121412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14.181339809754551</v>
      </c>
      <c r="FR178" s="21">
        <f>EXP(-LN(2)/25)*FR177+(1-EXP(-LN(2)/25))/(LN(2)/25)*Calculateur!FM178*Calculateur!FO178*VLOOKUP('Données projet'!$B$16,Paramètres!$A$1:$I$89,3,0)*0.475*44/12</f>
        <v>3.5336150354699556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17.714954845224508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2.2737367544323206E-13</v>
      </c>
      <c r="GA178" s="17">
        <f>FZ178*VLOOKUP('Données projet'!$B$17,Paramètres!$A$1:$I$89,3,0)*VLOOKUP('Données projet'!$B$17,Paramètres!$A$1:$I$89,5,0)</f>
        <v>1.0049916454590858E-13</v>
      </c>
      <c r="GB178" s="13">
        <f t="shared" si="185"/>
        <v>1.5089081593838289E-12</v>
      </c>
      <c r="GC178" s="20">
        <f t="shared" si="186"/>
        <v>2.8030510891776262E-12</v>
      </c>
      <c r="GD178" s="59">
        <f t="shared" si="134"/>
        <v>288.80079231810657</v>
      </c>
      <c r="GE178" s="59">
        <f ca="1">AVERAGE(OFFSET($GD$3,0,0,'Données projet'!$E$17+1,1))-AVERAGE(OFFSET($H$3,0,0,'Données projet'!$E$17+1,1))</f>
        <v>342.89128067483233</v>
      </c>
      <c r="GF178" s="59">
        <f t="shared" si="158"/>
        <v>453.47615302202996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16.924968332571584</v>
      </c>
      <c r="GM178" s="21">
        <f>EXP(-LN(2)/25)*GM177+(1-EXP(-LN(2)/25))/(LN(2)/25)*Calculateur!GH178*Calculateur!GJ178*VLOOKUP('Données projet'!$B$17,Paramètres!$A$1:$I$89,3,0)*0.475*44/12</f>
        <v>4.841098460333586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21.766066792905171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68.763852450391951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>
        <f>GU178*VLOOKUP('Données projet'!$B$18,Paramètres!$A$1:$I$89,3,0)*VLOOKUP('Données projet'!$B$18,Paramètres!$A$1:$I$89,5,0)</f>
        <v>0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375.89365709113105</v>
      </c>
      <c r="HA178" s="59">
        <f t="shared" si="160"/>
        <v>279.39056561403834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25.372806736554143</v>
      </c>
      <c r="HH178" s="21">
        <f>EXP(-LN(2)/25)*HH177+(1-EXP(-LN(2)/25))/(LN(2)/25)*Calculateur!HC178*Calculateur!HE178*VLOOKUP('Données projet'!$B$18,Paramètres!$A$1:$I$89,3,0)*0.475*44/12</f>
        <v>5.9527626555480175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31.32556939210216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178.09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309.12793600000049</v>
      </c>
      <c r="P179" s="13">
        <f t="shared" si="141"/>
        <v>73.086678650713282</v>
      </c>
      <c r="Q179" s="20">
        <f t="shared" si="162"/>
        <v>665.6904538499931</v>
      </c>
      <c r="R179" s="59">
        <f t="shared" si="109"/>
        <v>954.56987562146765</v>
      </c>
      <c r="S179" s="59">
        <f ca="1">AVERAGE(OFFSET($R$3,0,0,'Données projet'!$E$9+1,1))-AVERAGE(OFFSET($H$3,0,0,'Données projet'!$E$9+1,1))</f>
        <v>631.31712308065664</v>
      </c>
      <c r="T179" s="59">
        <f t="shared" si="142"/>
        <v>290.92244624361285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111.37228108206281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111.37228108206281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-2.8421709430404007E-14</v>
      </c>
      <c r="AJ179" s="13">
        <f>AI179*VLOOKUP('Données projet'!$B$10,Paramètres!$A$1:$I$89,3,0)*VLOOKUP('Données projet'!$B$10,Paramètres!$A$1:$I$89,5,0)</f>
        <v>-2.3942448024172337E-14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401.19166052471473</v>
      </c>
      <c r="AO179" s="59">
        <f t="shared" si="144"/>
        <v>271.10067497534271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48.418090821137476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48.418090821137476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346.43648000000053</v>
      </c>
      <c r="BF179" s="13">
        <f t="shared" si="167"/>
        <v>80.828309002667666</v>
      </c>
      <c r="BG179" s="20">
        <f t="shared" si="168"/>
        <v>744.15284084631367</v>
      </c>
      <c r="BH179" s="59">
        <f t="shared" si="116"/>
        <v>1033.0322626177881</v>
      </c>
      <c r="BI179" s="59">
        <f ca="1">AVERAGE(OFFSET($BH$3,0,0,'Données projet'!$E$11+1,1))-AVERAGE(OFFSET($H$3,0,0,'Données projet'!$E$11+1,1))</f>
        <v>695.93700574708214</v>
      </c>
      <c r="BJ179" s="59">
        <f t="shared" si="146"/>
        <v>318.31690229208471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124.81376328162217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124.81376328162217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1.7053025658242404E-13</v>
      </c>
      <c r="BZ179" s="13">
        <f>BY179*VLOOKUP('Données projet'!$B$12,Paramètres!$A$1:$I$89,3,0)*VLOOKUP('Données projet'!$B$12,Paramètres!$A$1:$I$89,5,0)</f>
        <v>1.1173142411280423E-13</v>
      </c>
      <c r="CA179" s="13">
        <f t="shared" si="170"/>
        <v>1.6569896290553793E-12</v>
      </c>
      <c r="CB179" s="20">
        <f t="shared" si="171"/>
        <v>3.0805225009345862E-12</v>
      </c>
      <c r="CC179" s="59">
        <f t="shared" si="119"/>
        <v>288.87942177147755</v>
      </c>
      <c r="CD179" s="59">
        <f ca="1">AVERAGE(OFFSET($CC$3,0,0,'Données projet'!$E$12+1,1))-AVERAGE(OFFSET($H$3,0,0,'Données projet'!$E$12+1,1))</f>
        <v>260.25859566735949</v>
      </c>
      <c r="CE179" s="59">
        <f t="shared" si="148"/>
        <v>256.93649773468667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10.066045092613095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10.066045092613095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1.7053025658242404E-13</v>
      </c>
      <c r="CU179" s="17">
        <f>CT179*VLOOKUP('Données projet'!$B$13,Paramètres!$A$1:$I$89,3,0)*VLOOKUP('Données projet'!$B$13,Paramètres!$A$1:$I$89,5,0)</f>
        <v>1.1173142411280423E-13</v>
      </c>
      <c r="CV179" s="13">
        <f t="shared" si="173"/>
        <v>1.6569896290553793E-12</v>
      </c>
      <c r="CW179" s="20">
        <f t="shared" si="174"/>
        <v>3.0805225009345862E-12</v>
      </c>
      <c r="CX179" s="59">
        <f t="shared" si="122"/>
        <v>288.87942177147755</v>
      </c>
      <c r="CY179" s="59">
        <f ca="1">AVERAGE(OFFSET($CX$3,0,0,'Données projet'!$E$13+1,1))-AVERAGE(OFFSET($H$3,0,0,'Données projet'!$E$13+1,1))</f>
        <v>260.25859566735949</v>
      </c>
      <c r="CZ179" s="59">
        <f t="shared" si="150"/>
        <v>256.93649773468667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10.066045092613095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10.066045092613095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-2.2737367544323206E-13</v>
      </c>
      <c r="DP179" s="17">
        <f>DO179*VLOOKUP('Données projet'!$B$14,Paramètres!$A$1:$I$89,3,0)*VLOOKUP('Données projet'!$B$14,Paramètres!$A$1:$I$89,5,0)</f>
        <v>-1.3005774235352875E-13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349.56396446903</v>
      </c>
      <c r="DU179" s="59">
        <f t="shared" si="152"/>
        <v>270.64279448634522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33.672865960180879</v>
      </c>
      <c r="EB179" s="21">
        <f>EXP(-LN(2)/25)*EB178+(1-EXP(-LN(2)/25))/(LN(2)/25)*Calculateur!DW179*Calculateur!DY179*VLOOKUP('Données projet'!$B$14,Paramètres!$A$1:$I$89,3,0)*0.475*44/12</f>
        <v>9.3265539578968113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42.999419918077692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375.89365709113105</v>
      </c>
      <c r="EP179" s="59">
        <f t="shared" si="154"/>
        <v>279.39056561403834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24.875261472334309</v>
      </c>
      <c r="EW179" s="21">
        <f>EXP(-LN(2)/25)*EW178+(1-EXP(-LN(2)/25))/(LN(2)/25)*Calculateur!ER179*Calculateur!ET179*VLOOKUP('Données projet'!$B$15,Paramètres!$A$1:$I$89,3,0)*0.475*44/12</f>
        <v>5.7899840476898738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30.665245520024182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-1.1368683772161603E-13</v>
      </c>
      <c r="FF179" s="17">
        <f>FE179*VLOOKUP('Données projet'!$B$16,Paramètres!$A$1:$I$89,3,0)*VLOOKUP('Données projet'!$B$16,Paramètres!$A$1:$I$89,5,0)</f>
        <v>-6.7984728957526396E-14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319.29539841078537</v>
      </c>
      <c r="FK179" s="59">
        <f t="shared" si="156"/>
        <v>327.26871144121412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13.903252385848456</v>
      </c>
      <c r="FR179" s="21">
        <f>EXP(-LN(2)/25)*FR178+(1-EXP(-LN(2)/25))/(LN(2)/25)*Calculateur!FM179*Calculateur!FO179*VLOOKUP('Données projet'!$B$16,Paramètres!$A$1:$I$89,3,0)*0.475*44/12</f>
        <v>3.4369881465002909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17.340240532348748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2.2737367544323206E-13</v>
      </c>
      <c r="GA179" s="17">
        <f>FZ179*VLOOKUP('Données projet'!$B$17,Paramètres!$A$1:$I$89,3,0)*VLOOKUP('Données projet'!$B$17,Paramètres!$A$1:$I$89,5,0)</f>
        <v>1.0049916454590858E-13</v>
      </c>
      <c r="GB179" s="13">
        <f t="shared" si="185"/>
        <v>1.5089081593838289E-12</v>
      </c>
      <c r="GC179" s="20">
        <f t="shared" si="186"/>
        <v>2.8030510891776262E-12</v>
      </c>
      <c r="GD179" s="59">
        <f t="shared" si="134"/>
        <v>288.87942177147727</v>
      </c>
      <c r="GE179" s="59">
        <f ca="1">AVERAGE(OFFSET($GD$3,0,0,'Données projet'!$E$17+1,1))-AVERAGE(OFFSET($H$3,0,0,'Données projet'!$E$17+1,1))</f>
        <v>342.89128067483233</v>
      </c>
      <c r="GF179" s="59">
        <f t="shared" si="158"/>
        <v>453.47615302202996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16.593080026781205</v>
      </c>
      <c r="GM179" s="21">
        <f>EXP(-LN(2)/25)*GM178+(1-EXP(-LN(2)/25))/(LN(2)/25)*Calculateur!GH179*Calculateur!GJ179*VLOOKUP('Données projet'!$B$17,Paramètres!$A$1:$I$89,3,0)*0.475*44/12</f>
        <v>4.7087183683534608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21.301798395134668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68.78529684676576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>
        <f>GU179*VLOOKUP('Données projet'!$B$18,Paramètres!$A$1:$I$89,3,0)*VLOOKUP('Données projet'!$B$18,Paramètres!$A$1:$I$89,5,0)</f>
        <v>0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375.89365709113105</v>
      </c>
      <c r="HA179" s="59">
        <f t="shared" si="160"/>
        <v>279.39056561403834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24.875261472334309</v>
      </c>
      <c r="HH179" s="21">
        <f>EXP(-LN(2)/25)*HH178+(1-EXP(-LN(2)/25))/(LN(2)/25)*Calculateur!HC179*Calculateur!HE179*VLOOKUP('Données projet'!$B$18,Paramètres!$A$1:$I$89,3,0)*0.475*44/12</f>
        <v>5.7899840476898738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30.665245520024182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178.09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314.00179200000048</v>
      </c>
      <c r="P180" s="13">
        <f t="shared" si="141"/>
        <v>74.103938722927282</v>
      </c>
      <c r="Q180" s="20">
        <f t="shared" si="162"/>
        <v>675.95081434243241</v>
      </c>
      <c r="R180" s="59">
        <f t="shared" si="109"/>
        <v>964.90750152205055</v>
      </c>
      <c r="S180" s="59">
        <f ca="1">AVERAGE(OFFSET($R$3,0,0,'Données projet'!$E$9+1,1))-AVERAGE(OFFSET($H$3,0,0,'Données projet'!$E$9+1,1))</f>
        <v>631.31712308065664</v>
      </c>
      <c r="T180" s="59">
        <f t="shared" si="142"/>
        <v>290.92244624361285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138.91418204963006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138.91418204963006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-2.8421709430404007E-14</v>
      </c>
      <c r="AJ180" s="13">
        <f>AI180*VLOOKUP('Données projet'!$B$10,Paramètres!$A$1:$I$89,3,0)*VLOOKUP('Données projet'!$B$10,Paramètres!$A$1:$I$89,5,0)</f>
        <v>-2.3942448024172337E-14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401.19166052471473</v>
      </c>
      <c r="AO180" s="59">
        <f t="shared" si="144"/>
        <v>271.10067497534271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47.468641592254315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47.468641592254315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351.8985600000006</v>
      </c>
      <c r="BF180" s="13">
        <f t="shared" si="167"/>
        <v>81.953321289050805</v>
      </c>
      <c r="BG180" s="20">
        <f t="shared" si="168"/>
        <v>755.62535991176446</v>
      </c>
      <c r="BH180" s="59">
        <f t="shared" si="116"/>
        <v>1044.5820470913827</v>
      </c>
      <c r="BI180" s="59">
        <f ca="1">AVERAGE(OFFSET($BH$3,0,0,'Données projet'!$E$11+1,1))-AVERAGE(OFFSET($H$3,0,0,'Données projet'!$E$11+1,1))</f>
        <v>695.93700574708214</v>
      </c>
      <c r="BJ180" s="59">
        <f t="shared" si="146"/>
        <v>318.31690229208471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155.67968677975784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155.67968677975784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1.7053025658242404E-13</v>
      </c>
      <c r="BZ180" s="13">
        <f>BY180*VLOOKUP('Données projet'!$B$12,Paramètres!$A$1:$I$89,3,0)*VLOOKUP('Données projet'!$B$12,Paramètres!$A$1:$I$89,5,0)</f>
        <v>1.1173142411280423E-13</v>
      </c>
      <c r="CA180" s="13">
        <f t="shared" si="170"/>
        <v>1.6569896290553793E-12</v>
      </c>
      <c r="CB180" s="20">
        <f t="shared" si="171"/>
        <v>3.0805225009345862E-12</v>
      </c>
      <c r="CC180" s="59">
        <f t="shared" si="119"/>
        <v>288.95668717962127</v>
      </c>
      <c r="CD180" s="59">
        <f ca="1">AVERAGE(OFFSET($CC$3,0,0,'Données projet'!$E$12+1,1))-AVERAGE(OFFSET($H$3,0,0,'Données projet'!$E$12+1,1))</f>
        <v>260.25859566735949</v>
      </c>
      <c r="CE180" s="59">
        <f t="shared" si="148"/>
        <v>256.93649773468667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9.8686560880282155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9.8686560880282155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1.7053025658242404E-13</v>
      </c>
      <c r="CU180" s="17">
        <f>CT180*VLOOKUP('Données projet'!$B$13,Paramètres!$A$1:$I$89,3,0)*VLOOKUP('Données projet'!$B$13,Paramètres!$A$1:$I$89,5,0)</f>
        <v>1.1173142411280423E-13</v>
      </c>
      <c r="CV180" s="13">
        <f t="shared" si="173"/>
        <v>1.6569896290553793E-12</v>
      </c>
      <c r="CW180" s="20">
        <f t="shared" si="174"/>
        <v>3.0805225009345862E-12</v>
      </c>
      <c r="CX180" s="59">
        <f t="shared" si="122"/>
        <v>288.95668717962127</v>
      </c>
      <c r="CY180" s="59">
        <f ca="1">AVERAGE(OFFSET($CX$3,0,0,'Données projet'!$E$13+1,1))-AVERAGE(OFFSET($H$3,0,0,'Données projet'!$E$13+1,1))</f>
        <v>260.25859566735949</v>
      </c>
      <c r="CZ180" s="59">
        <f t="shared" si="150"/>
        <v>256.93649773468667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9.8686560880282155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9.8686560880282155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-2.2737367544323206E-13</v>
      </c>
      <c r="DP180" s="17">
        <f>DO180*VLOOKUP('Données projet'!$B$14,Paramètres!$A$1:$I$89,3,0)*VLOOKUP('Données projet'!$B$14,Paramètres!$A$1:$I$89,5,0)</f>
        <v>-1.3005774235352875E-13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349.56396446903</v>
      </c>
      <c r="DU180" s="59">
        <f t="shared" si="152"/>
        <v>270.64279448634522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33.012561597121966</v>
      </c>
      <c r="EB180" s="21">
        <f>EXP(-LN(2)/25)*EB179+(1-EXP(-LN(2)/25))/(LN(2)/25)*Calculateur!DW180*Calculateur!DY180*VLOOKUP('Données projet'!$B$14,Paramètres!$A$1:$I$89,3,0)*0.475*44/12</f>
        <v>9.0715188494559662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42.084080446577929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375.89365709113105</v>
      </c>
      <c r="EP180" s="59">
        <f t="shared" si="154"/>
        <v>279.39056561403834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24.387472767273181</v>
      </c>
      <c r="EW180" s="21">
        <f>EXP(-LN(2)/25)*EW179+(1-EXP(-LN(2)/25))/(LN(2)/25)*Calculateur!ER180*Calculateur!ET180*VLOOKUP('Données projet'!$B$15,Paramètres!$A$1:$I$89,3,0)*0.475*44/12</f>
        <v>5.631656629423766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30.019129396696947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-1.1368683772161603E-13</v>
      </c>
      <c r="FF180" s="17">
        <f>FE180*VLOOKUP('Données projet'!$B$16,Paramètres!$A$1:$I$89,3,0)*VLOOKUP('Données projet'!$B$16,Paramètres!$A$1:$I$89,5,0)</f>
        <v>-6.7984728957526396E-14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319.29539841078537</v>
      </c>
      <c r="FK180" s="59">
        <f t="shared" si="156"/>
        <v>327.26871144121412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13.630618086708578</v>
      </c>
      <c r="FR180" s="21">
        <f>EXP(-LN(2)/25)*FR179+(1-EXP(-LN(2)/25))/(LN(2)/25)*Calculateur!FM180*Calculateur!FO180*VLOOKUP('Données projet'!$B$16,Paramètres!$A$1:$I$89,3,0)*0.475*44/12</f>
        <v>3.3430035248908894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16.973621611599469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2.2737367544323206E-13</v>
      </c>
      <c r="GA180" s="17">
        <f>FZ180*VLOOKUP('Données projet'!$B$17,Paramètres!$A$1:$I$89,3,0)*VLOOKUP('Données projet'!$B$17,Paramètres!$A$1:$I$89,5,0)</f>
        <v>1.0049916454590858E-13</v>
      </c>
      <c r="GB180" s="13">
        <f t="shared" si="185"/>
        <v>1.5089081593838289E-12</v>
      </c>
      <c r="GC180" s="20">
        <f t="shared" si="186"/>
        <v>2.8030510891776262E-12</v>
      </c>
      <c r="GD180" s="59">
        <f t="shared" si="134"/>
        <v>288.95668717962099</v>
      </c>
      <c r="GE180" s="59">
        <f ca="1">AVERAGE(OFFSET($GD$3,0,0,'Données projet'!$E$17+1,1))-AVERAGE(OFFSET($H$3,0,0,'Données projet'!$E$17+1,1))</f>
        <v>342.89128067483233</v>
      </c>
      <c r="GF180" s="59">
        <f t="shared" si="158"/>
        <v>453.47615302202996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16.267699848235498</v>
      </c>
      <c r="GM180" s="21">
        <f>EXP(-LN(2)/25)*GM179+(1-EXP(-LN(2)/25))/(LN(2)/25)*Calculateur!GH180*Calculateur!GJ180*VLOOKUP('Données projet'!$B$17,Paramètres!$A$1:$I$89,3,0)*0.475*44/12</f>
        <v>4.5799582169500983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20.847658065185598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68.806369230804961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>
        <f>GU180*VLOOKUP('Données projet'!$B$18,Paramètres!$A$1:$I$89,3,0)*VLOOKUP('Données projet'!$B$18,Paramètres!$A$1:$I$89,5,0)</f>
        <v>0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375.89365709113105</v>
      </c>
      <c r="HA180" s="59">
        <f t="shared" si="160"/>
        <v>279.39056561403834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24.387472767273181</v>
      </c>
      <c r="HH180" s="21">
        <f>EXP(-LN(2)/25)*HH179+(1-EXP(-LN(2)/25))/(LN(2)/25)*Calculateur!HC180*Calculateur!HE180*VLOOKUP('Données projet'!$B$18,Paramètres!$A$1:$I$89,3,0)*0.475*44/12</f>
        <v>5.631656629423766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30.019129396696947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178.09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212.72451200000049</v>
      </c>
      <c r="P181" s="13">
        <f t="shared" si="141"/>
        <v>52.530512718953382</v>
      </c>
      <c r="Q181" s="20">
        <f t="shared" si="162"/>
        <v>461.98583471884461</v>
      </c>
      <c r="R181" s="59">
        <f t="shared" si="109"/>
        <v>751.01844692451482</v>
      </c>
      <c r="S181" s="59">
        <f ca="1">AVERAGE(OFFSET($R$3,0,0,'Données projet'!$E$9+1,1))-AVERAGE(OFFSET($H$3,0,0,'Données projet'!$E$9+1,1))</f>
        <v>631.31712308065664</v>
      </c>
      <c r="T181" s="59">
        <f t="shared" si="142"/>
        <v>290.92244624361285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136.19015966892155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136.19015966892155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-2.8421709430404007E-14</v>
      </c>
      <c r="AJ181" s="13">
        <f>AI181*VLOOKUP('Données projet'!$B$10,Paramètres!$A$1:$I$89,3,0)*VLOOKUP('Données projet'!$B$10,Paramètres!$A$1:$I$89,5,0)</f>
        <v>-2.3942448024172337E-14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401.19166052471473</v>
      </c>
      <c r="AO181" s="59">
        <f t="shared" si="144"/>
        <v>271.10067497534271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46.537810483642708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46.537810483642708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238.39816000000053</v>
      </c>
      <c r="BF181" s="13">
        <f t="shared" si="167"/>
        <v>58.09475259380514</v>
      </c>
      <c r="BG181" s="20">
        <f t="shared" si="168"/>
        <v>516.39182276754491</v>
      </c>
      <c r="BH181" s="59">
        <f t="shared" si="116"/>
        <v>805.42443497321506</v>
      </c>
      <c r="BI181" s="59">
        <f ca="1">AVERAGE(OFFSET($BH$3,0,0,'Données projet'!$E$11+1,1))-AVERAGE(OFFSET($H$3,0,0,'Données projet'!$E$11+1,1))</f>
        <v>695.93700574708214</v>
      </c>
      <c r="BJ181" s="59">
        <f t="shared" si="146"/>
        <v>318.31690229208471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152.62690307723969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152.62690307723969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1.7053025658242404E-13</v>
      </c>
      <c r="BZ181" s="13">
        <f>BY181*VLOOKUP('Données projet'!$B$12,Paramètres!$A$1:$I$89,3,0)*VLOOKUP('Données projet'!$B$12,Paramètres!$A$1:$I$89,5,0)</f>
        <v>1.1173142411280423E-13</v>
      </c>
      <c r="CA181" s="13">
        <f t="shared" si="170"/>
        <v>1.6569896290553793E-12</v>
      </c>
      <c r="CB181" s="20">
        <f t="shared" si="171"/>
        <v>3.0805225009345862E-12</v>
      </c>
      <c r="CC181" s="59">
        <f t="shared" si="119"/>
        <v>289.03261220567327</v>
      </c>
      <c r="CD181" s="59">
        <f ca="1">AVERAGE(OFFSET($CC$3,0,0,'Données projet'!$E$12+1,1))-AVERAGE(OFFSET($H$3,0,0,'Données projet'!$E$12+1,1))</f>
        <v>260.25859566735949</v>
      </c>
      <c r="CE181" s="59">
        <f t="shared" si="148"/>
        <v>256.93649773468667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9.6751377614278411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9.6751377614278411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1.7053025658242404E-13</v>
      </c>
      <c r="CU181" s="17">
        <f>CT181*VLOOKUP('Données projet'!$B$13,Paramètres!$A$1:$I$89,3,0)*VLOOKUP('Données projet'!$B$13,Paramètres!$A$1:$I$89,5,0)</f>
        <v>1.1173142411280423E-13</v>
      </c>
      <c r="CV181" s="13">
        <f t="shared" si="173"/>
        <v>1.6569896290553793E-12</v>
      </c>
      <c r="CW181" s="20">
        <f t="shared" si="174"/>
        <v>3.0805225009345862E-12</v>
      </c>
      <c r="CX181" s="59">
        <f t="shared" si="122"/>
        <v>289.03261220567327</v>
      </c>
      <c r="CY181" s="59">
        <f ca="1">AVERAGE(OFFSET($CX$3,0,0,'Données projet'!$E$13+1,1))-AVERAGE(OFFSET($H$3,0,0,'Données projet'!$E$13+1,1))</f>
        <v>260.25859566735949</v>
      </c>
      <c r="CZ181" s="59">
        <f t="shared" si="150"/>
        <v>256.93649773468667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9.6751377614278411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9.6751377614278411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-2.2737367544323206E-13</v>
      </c>
      <c r="DP181" s="17">
        <f>DO181*VLOOKUP('Données projet'!$B$14,Paramètres!$A$1:$I$89,3,0)*VLOOKUP('Données projet'!$B$14,Paramètres!$A$1:$I$89,5,0)</f>
        <v>-1.3005774235352875E-13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349.56396446903</v>
      </c>
      <c r="DU181" s="59">
        <f t="shared" si="152"/>
        <v>270.64279448634522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32.365205399876743</v>
      </c>
      <c r="EB181" s="21">
        <f>EXP(-LN(2)/25)*EB180+(1-EXP(-LN(2)/25))/(LN(2)/25)*Calculateur!DW181*Calculateur!DY181*VLOOKUP('Données projet'!$B$14,Paramètres!$A$1:$I$89,3,0)*0.475*44/12</f>
        <v>8.8234576894671495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41.188663089343891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375.89365709113105</v>
      </c>
      <c r="EP181" s="59">
        <f t="shared" si="154"/>
        <v>279.39056561403834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23.909249301196567</v>
      </c>
      <c r="EW181" s="21">
        <f>EXP(-LN(2)/25)*EW180+(1-EXP(-LN(2)/25))/(LN(2)/25)*Calculateur!ER181*Calculateur!ET181*VLOOKUP('Données projet'!$B$15,Paramètres!$A$1:$I$89,3,0)*0.475*44/12</f>
        <v>5.4776586827362221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29.38690798393279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-1.1368683772161603E-13</v>
      </c>
      <c r="FF181" s="17">
        <f>FE181*VLOOKUP('Données projet'!$B$16,Paramètres!$A$1:$I$89,3,0)*VLOOKUP('Données projet'!$B$16,Paramètres!$A$1:$I$89,5,0)</f>
        <v>-6.7984728957526396E-14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319.29539841078537</v>
      </c>
      <c r="FK181" s="59">
        <f t="shared" si="156"/>
        <v>327.26871144121412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13.36332997988433</v>
      </c>
      <c r="FR181" s="21">
        <f>EXP(-LN(2)/25)*FR180+(1-EXP(-LN(2)/25))/(LN(2)/25)*Calculateur!FM181*Calculateur!FO181*VLOOKUP('Données projet'!$B$16,Paramètres!$A$1:$I$89,3,0)*0.475*44/12</f>
        <v>3.2515889177018331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16.614918897586165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2.2737367544323206E-13</v>
      </c>
      <c r="GA181" s="17">
        <f>FZ181*VLOOKUP('Données projet'!$B$17,Paramètres!$A$1:$I$89,3,0)*VLOOKUP('Données projet'!$B$17,Paramètres!$A$1:$I$89,5,0)</f>
        <v>1.0049916454590858E-13</v>
      </c>
      <c r="GB181" s="13">
        <f t="shared" si="185"/>
        <v>1.5089081593838289E-12</v>
      </c>
      <c r="GC181" s="20">
        <f t="shared" si="186"/>
        <v>2.8030510891776262E-12</v>
      </c>
      <c r="GD181" s="59">
        <f t="shared" si="134"/>
        <v>289.03261220567299</v>
      </c>
      <c r="GE181" s="59">
        <f ca="1">AVERAGE(OFFSET($GD$3,0,0,'Données projet'!$E$17+1,1))-AVERAGE(OFFSET($H$3,0,0,'Données projet'!$E$17+1,1))</f>
        <v>342.89128067483233</v>
      </c>
      <c r="GF181" s="59">
        <f t="shared" si="158"/>
        <v>453.47615302202996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15.94870017652876</v>
      </c>
      <c r="GM181" s="21">
        <f>EXP(-LN(2)/25)*GM180+(1-EXP(-LN(2)/25))/(LN(2)/25)*Calculateur!GH181*Calculateur!GJ181*VLOOKUP('Données projet'!$B$17,Paramètres!$A$1:$I$89,3,0)*0.475*44/12</f>
        <v>4.4547190186580625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20.403419195186821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68.827076056091869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>
        <f>GU181*VLOOKUP('Données projet'!$B$18,Paramètres!$A$1:$I$89,3,0)*VLOOKUP('Données projet'!$B$18,Paramètres!$A$1:$I$89,5,0)</f>
        <v>0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375.89365709113105</v>
      </c>
      <c r="HA181" s="59">
        <f t="shared" si="160"/>
        <v>279.39056561403834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23.909249301196567</v>
      </c>
      <c r="HH181" s="21">
        <f>EXP(-LN(2)/25)*HH180+(1-EXP(-LN(2)/25))/(LN(2)/25)*Calculateur!HC181*Calculateur!HE181*VLOOKUP('Données projet'!$B$18,Paramètres!$A$1:$I$89,3,0)*0.475*44/12</f>
        <v>5.4776586827362221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29.38690798393279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178.09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215.67114400000045</v>
      </c>
      <c r="P182" s="13">
        <f t="shared" si="141"/>
        <v>53.172944836363733</v>
      </c>
      <c r="Q182" s="20">
        <f t="shared" si="162"/>
        <v>468.23678805666754</v>
      </c>
      <c r="R182" s="59">
        <f t="shared" si="109"/>
        <v>757.34400815893071</v>
      </c>
      <c r="S182" s="59">
        <f ca="1">AVERAGE(OFFSET($R$3,0,0,'Données projet'!$E$9+1,1))-AVERAGE(OFFSET($H$3,0,0,'Données projet'!$E$9+1,1))</f>
        <v>631.31712308065664</v>
      </c>
      <c r="T182" s="59">
        <f t="shared" si="142"/>
        <v>290.92244624361285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133.51955370560913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133.51955370560913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-2.8421709430404007E-14</v>
      </c>
      <c r="AJ182" s="13">
        <f>AI182*VLOOKUP('Données projet'!$B$10,Paramètres!$A$1:$I$89,3,0)*VLOOKUP('Données projet'!$B$10,Paramètres!$A$1:$I$89,5,0)</f>
        <v>-2.3942448024172337E-14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401.19166052471473</v>
      </c>
      <c r="AO182" s="59">
        <f t="shared" si="144"/>
        <v>271.10067497534271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45.625232405320055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45.625232405320055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241.70042000000055</v>
      </c>
      <c r="BF182" s="13">
        <f t="shared" si="167"/>
        <v>58.805233664472574</v>
      </c>
      <c r="BG182" s="20">
        <f t="shared" si="168"/>
        <v>523.38068013229065</v>
      </c>
      <c r="BH182" s="59">
        <f t="shared" si="116"/>
        <v>812.48790023455376</v>
      </c>
      <c r="BI182" s="59">
        <f ca="1">AVERAGE(OFFSET($BH$3,0,0,'Données projet'!$E$11+1,1))-AVERAGE(OFFSET($H$3,0,0,'Données projet'!$E$11+1,1))</f>
        <v>695.93700574708214</v>
      </c>
      <c r="BJ182" s="59">
        <f t="shared" si="146"/>
        <v>318.31690229208471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149.6339826011137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149.6339826011137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1.7053025658242404E-13</v>
      </c>
      <c r="BZ182" s="13">
        <f>BY182*VLOOKUP('Données projet'!$B$12,Paramètres!$A$1:$I$89,3,0)*VLOOKUP('Données projet'!$B$12,Paramètres!$A$1:$I$89,5,0)</f>
        <v>1.1173142411280423E-13</v>
      </c>
      <c r="CA182" s="13">
        <f t="shared" si="170"/>
        <v>1.6569896290553793E-12</v>
      </c>
      <c r="CB182" s="20">
        <f t="shared" si="171"/>
        <v>3.0805225009345862E-12</v>
      </c>
      <c r="CC182" s="59">
        <f t="shared" si="119"/>
        <v>289.10722010226624</v>
      </c>
      <c r="CD182" s="59">
        <f ca="1">AVERAGE(OFFSET($CC$3,0,0,'Données projet'!$E$12+1,1))-AVERAGE(OFFSET($H$3,0,0,'Données projet'!$E$12+1,1))</f>
        <v>260.25859566735949</v>
      </c>
      <c r="CE182" s="59">
        <f t="shared" si="148"/>
        <v>256.93649773468667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9.4854142111775754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9.4854142111775754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1.7053025658242404E-13</v>
      </c>
      <c r="CU182" s="17">
        <f>CT182*VLOOKUP('Données projet'!$B$13,Paramètres!$A$1:$I$89,3,0)*VLOOKUP('Données projet'!$B$13,Paramètres!$A$1:$I$89,5,0)</f>
        <v>1.1173142411280423E-13</v>
      </c>
      <c r="CV182" s="13">
        <f t="shared" si="173"/>
        <v>1.6569896290553793E-12</v>
      </c>
      <c r="CW182" s="20">
        <f t="shared" si="174"/>
        <v>3.0805225009345862E-12</v>
      </c>
      <c r="CX182" s="59">
        <f t="shared" si="122"/>
        <v>289.10722010226624</v>
      </c>
      <c r="CY182" s="59">
        <f ca="1">AVERAGE(OFFSET($CX$3,0,0,'Données projet'!$E$13+1,1))-AVERAGE(OFFSET($H$3,0,0,'Données projet'!$E$13+1,1))</f>
        <v>260.25859566735949</v>
      </c>
      <c r="CZ182" s="59">
        <f t="shared" si="150"/>
        <v>256.93649773468667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9.4854142111775754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9.4854142111775754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-2.2737367544323206E-13</v>
      </c>
      <c r="DP182" s="17">
        <f>DO182*VLOOKUP('Données projet'!$B$14,Paramètres!$A$1:$I$89,3,0)*VLOOKUP('Données projet'!$B$14,Paramètres!$A$1:$I$89,5,0)</f>
        <v>-1.3005774235352875E-13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349.56396446903</v>
      </c>
      <c r="DU182" s="59">
        <f t="shared" si="152"/>
        <v>270.64279448634522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31.730543462811209</v>
      </c>
      <c r="EB182" s="21">
        <f>EXP(-LN(2)/25)*EB181+(1-EXP(-LN(2)/25))/(LN(2)/25)*Calculateur!DW182*Calculateur!DY182*VLOOKUP('Données projet'!$B$14,Paramètres!$A$1:$I$89,3,0)*0.475*44/12</f>
        <v>8.5821797749431958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40.312723237754405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375.89365709113105</v>
      </c>
      <c r="EP182" s="59">
        <f t="shared" si="154"/>
        <v>279.39056561403834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23.440403505602205</v>
      </c>
      <c r="EW182" s="21">
        <f>EXP(-LN(2)/25)*EW181+(1-EXP(-LN(2)/25))/(LN(2)/25)*Calculateur!ER182*Calculateur!ET182*VLOOKUP('Données projet'!$B$15,Paramètres!$A$1:$I$89,3,0)*0.475*44/12</f>
        <v>5.3278718179992497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28.768275323601454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-1.1368683772161603E-13</v>
      </c>
      <c r="FF182" s="17">
        <f>FE182*VLOOKUP('Données projet'!$B$16,Paramètres!$A$1:$I$89,3,0)*VLOOKUP('Données projet'!$B$16,Paramètres!$A$1:$I$89,5,0)</f>
        <v>-6.7984728957526396E-14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319.29539841078537</v>
      </c>
      <c r="FK182" s="59">
        <f t="shared" si="156"/>
        <v>327.26871144121412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13.10128322980526</v>
      </c>
      <c r="FR182" s="21">
        <f>EXP(-LN(2)/25)*FR181+(1-EXP(-LN(2)/25))/(LN(2)/25)*Calculateur!FM182*Calculateur!FO182*VLOOKUP('Données projet'!$B$16,Paramètres!$A$1:$I$89,3,0)*0.475*44/12</f>
        <v>3.1626740477536468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16.263957277558905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2.2737367544323206E-13</v>
      </c>
      <c r="GA182" s="17">
        <f>FZ182*VLOOKUP('Données projet'!$B$17,Paramètres!$A$1:$I$89,3,0)*VLOOKUP('Données projet'!$B$17,Paramètres!$A$1:$I$89,5,0)</f>
        <v>1.0049916454590858E-13</v>
      </c>
      <c r="GB182" s="13">
        <f t="shared" si="185"/>
        <v>1.5089081593838289E-12</v>
      </c>
      <c r="GC182" s="20">
        <f t="shared" si="186"/>
        <v>2.8030510891776262E-12</v>
      </c>
      <c r="GD182" s="59">
        <f t="shared" si="134"/>
        <v>289.10722010226596</v>
      </c>
      <c r="GE182" s="59">
        <f ca="1">AVERAGE(OFFSET($GD$3,0,0,'Données projet'!$E$17+1,1))-AVERAGE(OFFSET($H$3,0,0,'Données projet'!$E$17+1,1))</f>
        <v>342.89128067483233</v>
      </c>
      <c r="GF182" s="59">
        <f t="shared" si="158"/>
        <v>453.47615302202996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15.635955893813604</v>
      </c>
      <c r="GM182" s="21">
        <f>EXP(-LN(2)/25)*GM181+(1-EXP(-LN(2)/25))/(LN(2)/25)*Calculateur!GH182*Calculateur!GJ182*VLOOKUP('Données projet'!$B$17,Paramètres!$A$1:$I$89,3,0)*0.475*44/12</f>
        <v>4.3329044928293659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19.968860386642969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68.847423664253583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>
        <f>GU182*VLOOKUP('Données projet'!$B$18,Paramètres!$A$1:$I$89,3,0)*VLOOKUP('Données projet'!$B$18,Paramètres!$A$1:$I$89,5,0)</f>
        <v>0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375.89365709113105</v>
      </c>
      <c r="HA182" s="59">
        <f t="shared" si="160"/>
        <v>279.39056561403834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23.440403505602205</v>
      </c>
      <c r="HH182" s="21">
        <f>EXP(-LN(2)/25)*HH181+(1-EXP(-LN(2)/25))/(LN(2)/25)*Calculateur!HC182*Calculateur!HE182*VLOOKUP('Données projet'!$B$18,Paramètres!$A$1:$I$89,3,0)*0.475*44/12</f>
        <v>5.3278718179992497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28.768275323601454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178.09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218.61777600000045</v>
      </c>
      <c r="P183" s="13">
        <f t="shared" si="141"/>
        <v>53.814356054061541</v>
      </c>
      <c r="Q183" s="20">
        <f t="shared" si="162"/>
        <v>474.48596332749122</v>
      </c>
      <c r="R183" s="59">
        <f t="shared" si="109"/>
        <v>763.66649704613974</v>
      </c>
      <c r="S183" s="59">
        <f ca="1">AVERAGE(OFFSET($R$3,0,0,'Données projet'!$E$9+1,1))-AVERAGE(OFFSET($H$3,0,0,'Données projet'!$E$9+1,1))</f>
        <v>631.31712308065664</v>
      </c>
      <c r="T183" s="59">
        <f t="shared" si="142"/>
        <v>290.92244624361285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150.95768056842175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150.95768056842175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-2.8421709430404007E-14</v>
      </c>
      <c r="AJ183" s="13">
        <f>AI183*VLOOKUP('Données projet'!$B$10,Paramètres!$A$1:$I$89,3,0)*VLOOKUP('Données projet'!$B$10,Paramètres!$A$1:$I$89,5,0)</f>
        <v>-2.3942448024172337E-14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401.19166052471473</v>
      </c>
      <c r="AO183" s="59">
        <f t="shared" si="144"/>
        <v>271.10067497534271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44.730549426495649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44.730549426495649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245.00268000000054</v>
      </c>
      <c r="BF183" s="13">
        <f t="shared" si="167"/>
        <v>59.514585697688133</v>
      </c>
      <c r="BG183" s="20">
        <f t="shared" si="168"/>
        <v>530.36757109014115</v>
      </c>
      <c r="BH183" s="59">
        <f t="shared" si="116"/>
        <v>819.54810480878962</v>
      </c>
      <c r="BI183" s="59">
        <f ca="1">AVERAGE(OFFSET($BH$3,0,0,'Données projet'!$E$11+1,1))-AVERAGE(OFFSET($H$3,0,0,'Données projet'!$E$11+1,1))</f>
        <v>695.93700574708214</v>
      </c>
      <c r="BJ183" s="59">
        <f t="shared" si="146"/>
        <v>318.31690229208471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169.17671098185198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169.17671098185198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1.7053025658242404E-13</v>
      </c>
      <c r="BZ183" s="13">
        <f>BY183*VLOOKUP('Données projet'!$B$12,Paramètres!$A$1:$I$89,3,0)*VLOOKUP('Données projet'!$B$12,Paramètres!$A$1:$I$89,5,0)</f>
        <v>1.1173142411280423E-13</v>
      </c>
      <c r="CA183" s="13">
        <f t="shared" si="170"/>
        <v>1.6569896290553793E-12</v>
      </c>
      <c r="CB183" s="20">
        <f t="shared" si="171"/>
        <v>3.0805225009345862E-12</v>
      </c>
      <c r="CC183" s="59">
        <f t="shared" si="119"/>
        <v>289.18053371865153</v>
      </c>
      <c r="CD183" s="59">
        <f ca="1">AVERAGE(OFFSET($CC$3,0,0,'Données projet'!$E$12+1,1))-AVERAGE(OFFSET($H$3,0,0,'Données projet'!$E$12+1,1))</f>
        <v>260.25859566735949</v>
      </c>
      <c r="CE183" s="59">
        <f t="shared" si="148"/>
        <v>256.93649773468667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9.2994110240277781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9.2994110240277781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1.7053025658242404E-13</v>
      </c>
      <c r="CU183" s="17">
        <f>CT183*VLOOKUP('Données projet'!$B$13,Paramètres!$A$1:$I$89,3,0)*VLOOKUP('Données projet'!$B$13,Paramètres!$A$1:$I$89,5,0)</f>
        <v>1.1173142411280423E-13</v>
      </c>
      <c r="CV183" s="13">
        <f t="shared" si="173"/>
        <v>1.6569896290553793E-12</v>
      </c>
      <c r="CW183" s="20">
        <f t="shared" si="174"/>
        <v>3.0805225009345862E-12</v>
      </c>
      <c r="CX183" s="59">
        <f t="shared" si="122"/>
        <v>289.18053371865153</v>
      </c>
      <c r="CY183" s="59">
        <f ca="1">AVERAGE(OFFSET($CX$3,0,0,'Données projet'!$E$13+1,1))-AVERAGE(OFFSET($H$3,0,0,'Données projet'!$E$13+1,1))</f>
        <v>260.25859566735949</v>
      </c>
      <c r="CZ183" s="59">
        <f t="shared" si="150"/>
        <v>256.93649773468667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9.2994110240277781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9.2994110240277781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-2.2737367544323206E-13</v>
      </c>
      <c r="DP183" s="17">
        <f>DO183*VLOOKUP('Données projet'!$B$14,Paramètres!$A$1:$I$89,3,0)*VLOOKUP('Données projet'!$B$14,Paramètres!$A$1:$I$89,5,0)</f>
        <v>-1.3005774235352875E-13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349.56396446903</v>
      </c>
      <c r="DU183" s="59">
        <f t="shared" si="152"/>
        <v>270.64279448634522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31.108326859225972</v>
      </c>
      <c r="EB183" s="21">
        <f>EXP(-LN(2)/25)*EB182+(1-EXP(-LN(2)/25))/(LN(2)/25)*Calculateur!DW183*Calculateur!DY183*VLOOKUP('Données projet'!$B$14,Paramètres!$A$1:$I$89,3,0)*0.475*44/12</f>
        <v>8.347499617680155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39.455826476906125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375.89365709113105</v>
      </c>
      <c r="EP183" s="59">
        <f t="shared" si="154"/>
        <v>279.39056561403834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22.980751490091748</v>
      </c>
      <c r="EW183" s="21">
        <f>EXP(-LN(2)/25)*EW182+(1-EXP(-LN(2)/25))/(LN(2)/25)*Calculateur!ER183*Calculateur!ET183*VLOOKUP('Données projet'!$B$15,Paramètres!$A$1:$I$89,3,0)*0.475*44/12</f>
        <v>5.1821808829554588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28.162932373047205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-1.1368683772161603E-13</v>
      </c>
      <c r="FF183" s="17">
        <f>FE183*VLOOKUP('Données projet'!$B$16,Paramètres!$A$1:$I$89,3,0)*VLOOKUP('Données projet'!$B$16,Paramètres!$A$1:$I$89,5,0)</f>
        <v>-6.7984728957526396E-14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319.29539841078537</v>
      </c>
      <c r="FK183" s="59">
        <f t="shared" si="156"/>
        <v>327.26871144121412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12.844375056662503</v>
      </c>
      <c r="FR183" s="21">
        <f>EXP(-LN(2)/25)*FR182+(1-EXP(-LN(2)/25))/(LN(2)/25)*Calculateur!FM183*Calculateur!FO183*VLOOKUP('Données projet'!$B$16,Paramètres!$A$1:$I$89,3,0)*0.475*44/12</f>
        <v>3.0761905596000236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15.920565616262527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2.2737367544323206E-13</v>
      </c>
      <c r="GA183" s="17">
        <f>FZ183*VLOOKUP('Données projet'!$B$17,Paramètres!$A$1:$I$89,3,0)*VLOOKUP('Données projet'!$B$17,Paramètres!$A$1:$I$89,5,0)</f>
        <v>1.0049916454590858E-13</v>
      </c>
      <c r="GB183" s="13">
        <f t="shared" si="185"/>
        <v>1.5089081593838289E-12</v>
      </c>
      <c r="GC183" s="20">
        <f t="shared" si="186"/>
        <v>2.8030510891776262E-12</v>
      </c>
      <c r="GD183" s="59">
        <f t="shared" si="134"/>
        <v>289.18053371865125</v>
      </c>
      <c r="GE183" s="59">
        <f ca="1">AVERAGE(OFFSET($GD$3,0,0,'Données projet'!$E$17+1,1))-AVERAGE(OFFSET($H$3,0,0,'Données projet'!$E$17+1,1))</f>
        <v>342.89128067483233</v>
      </c>
      <c r="GF183" s="59">
        <f t="shared" si="158"/>
        <v>453.47615302202996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15.329344335727315</v>
      </c>
      <c r="GM183" s="21">
        <f>EXP(-LN(2)/25)*GM182+(1-EXP(-LN(2)/25))/(LN(2)/25)*Calculateur!GH183*Calculateur!GJ183*VLOOKUP('Données projet'!$B$17,Paramètres!$A$1:$I$89,3,0)*0.475*44/12</f>
        <v>4.2144209916154027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19.543765327342719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68.867418286904126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>
        <f>GU183*VLOOKUP('Données projet'!$B$18,Paramètres!$A$1:$I$89,3,0)*VLOOKUP('Données projet'!$B$18,Paramètres!$A$1:$I$89,5,0)</f>
        <v>0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375.89365709113105</v>
      </c>
      <c r="HA183" s="59">
        <f t="shared" si="160"/>
        <v>279.39056561403834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22.980751490091748</v>
      </c>
      <c r="HH183" s="21">
        <f>EXP(-LN(2)/25)*HH182+(1-EXP(-LN(2)/25))/(LN(2)/25)*Calculateur!HC183*Calculateur!HE183*VLOOKUP('Données projet'!$B$18,Paramètres!$A$1:$I$89,3,0)*0.475*44/12</f>
        <v>5.1821808829554588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28.162932373047205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178.09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150.06409600000046</v>
      </c>
      <c r="P184" s="13">
        <f t="shared" si="141"/>
        <v>38.593151304664545</v>
      </c>
      <c r="Q184" s="20">
        <f t="shared" si="162"/>
        <v>328.57803905562486</v>
      </c>
      <c r="R184" s="59">
        <f t="shared" si="109"/>
        <v>617.83061456331905</v>
      </c>
      <c r="S184" s="59">
        <f ca="1">AVERAGE(OFFSET($R$3,0,0,'Données projet'!$E$9+1,1))-AVERAGE(OFFSET($H$3,0,0,'Données projet'!$E$9+1,1))</f>
        <v>631.31712308065664</v>
      </c>
      <c r="T184" s="59">
        <f t="shared" si="142"/>
        <v>290.92244624361285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147.99749252756848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147.99749252756848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-2.8421709430404007E-14</v>
      </c>
      <c r="AJ184" s="13">
        <f>AI184*VLOOKUP('Données projet'!$B$10,Paramètres!$A$1:$I$89,3,0)*VLOOKUP('Données projet'!$B$10,Paramètres!$A$1:$I$89,5,0)</f>
        <v>-2.3942448024172337E-14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401.19166052471473</v>
      </c>
      <c r="AO184" s="59">
        <f t="shared" si="144"/>
        <v>271.10067497534271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43.853410635183252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43.853410635183252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168.17528000000053</v>
      </c>
      <c r="BF184" s="13">
        <f t="shared" si="167"/>
        <v>42.681090680670735</v>
      </c>
      <c r="BG184" s="20">
        <f t="shared" si="168"/>
        <v>367.24151226883578</v>
      </c>
      <c r="BH184" s="59">
        <f t="shared" si="116"/>
        <v>656.49408777653002</v>
      </c>
      <c r="BI184" s="59">
        <f ca="1">AVERAGE(OFFSET($BH$3,0,0,'Données projet'!$E$11+1,1))-AVERAGE(OFFSET($H$3,0,0,'Données projet'!$E$11+1,1))</f>
        <v>695.93700574708214</v>
      </c>
      <c r="BJ184" s="59">
        <f t="shared" si="146"/>
        <v>318.31690229208471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165.85925886710262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165.85925886710262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1.7053025658242404E-13</v>
      </c>
      <c r="BZ184" s="13">
        <f>BY184*VLOOKUP('Données projet'!$B$12,Paramètres!$A$1:$I$89,3,0)*VLOOKUP('Données projet'!$B$12,Paramètres!$A$1:$I$89,5,0)</f>
        <v>1.1173142411280423E-13</v>
      </c>
      <c r="CA184" s="13">
        <f t="shared" si="170"/>
        <v>1.6569896290553793E-12</v>
      </c>
      <c r="CB184" s="20">
        <f t="shared" si="171"/>
        <v>3.0805225009345862E-12</v>
      </c>
      <c r="CC184" s="59">
        <f t="shared" si="119"/>
        <v>289.25257550769726</v>
      </c>
      <c r="CD184" s="59">
        <f ca="1">AVERAGE(OFFSET($CC$3,0,0,'Données projet'!$E$12+1,1))-AVERAGE(OFFSET($H$3,0,0,'Données projet'!$E$12+1,1))</f>
        <v>260.25859566735949</v>
      </c>
      <c r="CE184" s="59">
        <f t="shared" si="148"/>
        <v>256.93649773468667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9.1170552459272471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9.1170552459272471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1.7053025658242404E-13</v>
      </c>
      <c r="CU184" s="17">
        <f>CT184*VLOOKUP('Données projet'!$B$13,Paramètres!$A$1:$I$89,3,0)*VLOOKUP('Données projet'!$B$13,Paramètres!$A$1:$I$89,5,0)</f>
        <v>1.1173142411280423E-13</v>
      </c>
      <c r="CV184" s="13">
        <f t="shared" si="173"/>
        <v>1.6569896290553793E-12</v>
      </c>
      <c r="CW184" s="20">
        <f t="shared" si="174"/>
        <v>3.0805225009345862E-12</v>
      </c>
      <c r="CX184" s="59">
        <f t="shared" si="122"/>
        <v>289.25257550769726</v>
      </c>
      <c r="CY184" s="59">
        <f ca="1">AVERAGE(OFFSET($CX$3,0,0,'Données projet'!$E$13+1,1))-AVERAGE(OFFSET($H$3,0,0,'Données projet'!$E$13+1,1))</f>
        <v>260.25859566735949</v>
      </c>
      <c r="CZ184" s="59">
        <f t="shared" si="150"/>
        <v>256.93649773468667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9.1170552459272471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9.1170552459272471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-2.2737367544323206E-13</v>
      </c>
      <c r="DP184" s="17">
        <f>DO184*VLOOKUP('Données projet'!$B$14,Paramètres!$A$1:$I$89,3,0)*VLOOKUP('Données projet'!$B$14,Paramètres!$A$1:$I$89,5,0)</f>
        <v>-1.3005774235352875E-13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349.56396446903</v>
      </c>
      <c r="DU184" s="59">
        <f t="shared" si="152"/>
        <v>270.64279448634522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30.498311543722387</v>
      </c>
      <c r="EB184" s="21">
        <f>EXP(-LN(2)/25)*EB183+(1-EXP(-LN(2)/25))/(LN(2)/25)*Calculateur!DW184*Calculateur!DY184*VLOOKUP('Données projet'!$B$14,Paramètres!$A$1:$I$89,3,0)*0.475*44/12</f>
        <v>8.119236801658765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38.617548345381152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375.89365709113105</v>
      </c>
      <c r="EP184" s="59">
        <f t="shared" si="154"/>
        <v>279.39056561403834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22.530112970245408</v>
      </c>
      <c r="EW184" s="21">
        <f>EXP(-LN(2)/25)*EW183+(1-EXP(-LN(2)/25))/(LN(2)/25)*Calculateur!ER184*Calculateur!ET184*VLOOKUP('Données projet'!$B$15,Paramètres!$A$1:$I$89,3,0)*0.475*44/12</f>
        <v>5.040473874191993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27.5705868444374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-1.1368683772161603E-13</v>
      </c>
      <c r="FF184" s="17">
        <f>FE184*VLOOKUP('Données projet'!$B$16,Paramètres!$A$1:$I$89,3,0)*VLOOKUP('Données projet'!$B$16,Paramètres!$A$1:$I$89,5,0)</f>
        <v>-6.7984728957526396E-14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319.29539841078537</v>
      </c>
      <c r="FK184" s="59">
        <f t="shared" si="156"/>
        <v>327.26871144121412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12.592504696096563</v>
      </c>
      <c r="FR184" s="21">
        <f>EXP(-LN(2)/25)*FR183+(1-EXP(-LN(2)/25))/(LN(2)/25)*Calculateur!FM184*Calculateur!FO184*VLOOKUP('Données projet'!$B$16,Paramètres!$A$1:$I$89,3,0)*0.475*44/12</f>
        <v>2.9920719669779303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15.584576663074493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2.2737367544323206E-13</v>
      </c>
      <c r="GA184" s="17">
        <f>FZ184*VLOOKUP('Données projet'!$B$17,Paramètres!$A$1:$I$89,3,0)*VLOOKUP('Données projet'!$B$17,Paramètres!$A$1:$I$89,5,0)</f>
        <v>1.0049916454590858E-13</v>
      </c>
      <c r="GB184" s="13">
        <f t="shared" si="185"/>
        <v>1.5089081593838289E-12</v>
      </c>
      <c r="GC184" s="20">
        <f t="shared" si="186"/>
        <v>2.8030510891776262E-12</v>
      </c>
      <c r="GD184" s="59">
        <f t="shared" si="134"/>
        <v>289.25257550769697</v>
      </c>
      <c r="GE184" s="59">
        <f ca="1">AVERAGE(OFFSET($GD$3,0,0,'Données projet'!$E$17+1,1))-AVERAGE(OFFSET($H$3,0,0,'Données projet'!$E$17+1,1))</f>
        <v>342.89128067483233</v>
      </c>
      <c r="GF184" s="59">
        <f t="shared" si="158"/>
        <v>453.47615302202996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15.028745243280515</v>
      </c>
      <c r="GM184" s="21">
        <f>EXP(-LN(2)/25)*GM183+(1-EXP(-LN(2)/25))/(LN(2)/25)*Calculateur!GH184*Calculateur!GJ184*VLOOKUP('Données projet'!$B$17,Paramètres!$A$1:$I$89,3,0)*0.475*44/12</f>
        <v>4.0991774279729114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19.127922671253426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68.887066047552963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>
        <f>GU184*VLOOKUP('Données projet'!$B$18,Paramètres!$A$1:$I$89,3,0)*VLOOKUP('Données projet'!$B$18,Paramètres!$A$1:$I$89,5,0)</f>
        <v>0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375.89365709113105</v>
      </c>
      <c r="HA184" s="59">
        <f t="shared" si="160"/>
        <v>279.39056561403834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22.530112970245408</v>
      </c>
      <c r="HH184" s="21">
        <f>EXP(-LN(2)/25)*HH183+(1-EXP(-LN(2)/25))/(LN(2)/25)*Calculateur!HC184*Calculateur!HE184*VLOOKUP('Données projet'!$B$18,Paramètres!$A$1:$I$89,3,0)*0.475*44/12</f>
        <v>5.040473874191993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27.5705868444374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178.09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151.83147200000045</v>
      </c>
      <c r="P185" s="13">
        <f t="shared" si="141"/>
        <v>38.994499777620597</v>
      </c>
      <c r="Q185" s="20">
        <f t="shared" si="162"/>
        <v>332.35523417935661</v>
      </c>
      <c r="R185" s="59">
        <f t="shared" si="109"/>
        <v>621.67860171211794</v>
      </c>
      <c r="S185" s="59">
        <f ca="1">AVERAGE(OFFSET($R$3,0,0,'Données projet'!$E$9+1,1))-AVERAGE(OFFSET($H$3,0,0,'Données projet'!$E$9+1,1))</f>
        <v>631.31712308065664</v>
      </c>
      <c r="T185" s="59">
        <f t="shared" si="142"/>
        <v>290.92244624361285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145.09535196865994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145.09535196865994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-2.8421709430404007E-14</v>
      </c>
      <c r="AJ185" s="13">
        <f>AI185*VLOOKUP('Données projet'!$B$10,Paramètres!$A$1:$I$89,3,0)*VLOOKUP('Données projet'!$B$10,Paramètres!$A$1:$I$89,5,0)</f>
        <v>-2.3942448024172337E-14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401.19166052471473</v>
      </c>
      <c r="AO185" s="59">
        <f t="shared" si="144"/>
        <v>271.10067497534271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42.993472000566655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42.993472000566655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170.1559600000005</v>
      </c>
      <c r="BF185" s="13">
        <f t="shared" si="167"/>
        <v>43.124951572816009</v>
      </c>
      <c r="BG185" s="20">
        <f t="shared" si="168"/>
        <v>371.46425432265534</v>
      </c>
      <c r="BH185" s="59">
        <f t="shared" si="116"/>
        <v>660.78762185541666</v>
      </c>
      <c r="BI185" s="59">
        <f ca="1">AVERAGE(OFFSET($BH$3,0,0,'Données projet'!$E$11+1,1))-AVERAGE(OFFSET($H$3,0,0,'Données projet'!$E$11+1,1))</f>
        <v>695.93700574708214</v>
      </c>
      <c r="BJ185" s="59">
        <f t="shared" si="146"/>
        <v>318.31690229208471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162.60685996487751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162.60685996487751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1.7053025658242404E-13</v>
      </c>
      <c r="BZ185" s="13">
        <f>BY185*VLOOKUP('Données projet'!$B$12,Paramètres!$A$1:$I$89,3,0)*VLOOKUP('Données projet'!$B$12,Paramètres!$A$1:$I$89,5,0)</f>
        <v>1.1173142411280423E-13</v>
      </c>
      <c r="CA185" s="13">
        <f t="shared" si="170"/>
        <v>1.6569896290553793E-12</v>
      </c>
      <c r="CB185" s="20">
        <f t="shared" si="171"/>
        <v>3.0805225009345862E-12</v>
      </c>
      <c r="CC185" s="59">
        <f t="shared" si="119"/>
        <v>289.32336753276439</v>
      </c>
      <c r="CD185" s="59">
        <f ca="1">AVERAGE(OFFSET($CC$3,0,0,'Données projet'!$E$12+1,1))-AVERAGE(OFFSET($H$3,0,0,'Données projet'!$E$12+1,1))</f>
        <v>260.25859566735949</v>
      </c>
      <c r="CE185" s="59">
        <f t="shared" si="148"/>
        <v>256.93649773468667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8.9382753534092245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8.9382753534092245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1.7053025658242404E-13</v>
      </c>
      <c r="CU185" s="17">
        <f>CT185*VLOOKUP('Données projet'!$B$13,Paramètres!$A$1:$I$89,3,0)*VLOOKUP('Données projet'!$B$13,Paramètres!$A$1:$I$89,5,0)</f>
        <v>1.1173142411280423E-13</v>
      </c>
      <c r="CV185" s="13">
        <f t="shared" si="173"/>
        <v>1.6569896290553793E-12</v>
      </c>
      <c r="CW185" s="20">
        <f t="shared" si="174"/>
        <v>3.0805225009345862E-12</v>
      </c>
      <c r="CX185" s="59">
        <f t="shared" si="122"/>
        <v>289.32336753276439</v>
      </c>
      <c r="CY185" s="59">
        <f ca="1">AVERAGE(OFFSET($CX$3,0,0,'Données projet'!$E$13+1,1))-AVERAGE(OFFSET($H$3,0,0,'Données projet'!$E$13+1,1))</f>
        <v>260.25859566735949</v>
      </c>
      <c r="CZ185" s="59">
        <f t="shared" si="150"/>
        <v>256.93649773468667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8.9382753534092245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8.9382753534092245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-2.2737367544323206E-13</v>
      </c>
      <c r="DP185" s="17">
        <f>DO185*VLOOKUP('Données projet'!$B$14,Paramètres!$A$1:$I$89,3,0)*VLOOKUP('Données projet'!$B$14,Paramètres!$A$1:$I$89,5,0)</f>
        <v>-1.3005774235352875E-13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349.56396446903</v>
      </c>
      <c r="DU185" s="59">
        <f t="shared" si="152"/>
        <v>270.64279448634522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29.900258256483223</v>
      </c>
      <c r="EB185" s="21">
        <f>EXP(-LN(2)/25)*EB184+(1-EXP(-LN(2)/25))/(LN(2)/25)*Calculateur!DW185*Calculateur!DY185*VLOOKUP('Données projet'!$B$14,Paramètres!$A$1:$I$89,3,0)*0.475*44/12</f>
        <v>7.8972158443452996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37.797474100828524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375.89365709113105</v>
      </c>
      <c r="EP185" s="59">
        <f t="shared" si="154"/>
        <v>279.39056561403834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22.088311196910897</v>
      </c>
      <c r="EW185" s="21">
        <f>EXP(-LN(2)/25)*EW184+(1-EXP(-LN(2)/25))/(LN(2)/25)*Calculateur!ER185*Calculateur!ET185*VLOOKUP('Données projet'!$B$15,Paramètres!$A$1:$I$89,3,0)*0.475*44/12</f>
        <v>4.9026418510352121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26.99095304794611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-1.1368683772161603E-13</v>
      </c>
      <c r="FF185" s="17">
        <f>FE185*VLOOKUP('Données projet'!$B$16,Paramètres!$A$1:$I$89,3,0)*VLOOKUP('Données projet'!$B$16,Paramètres!$A$1:$I$89,5,0)</f>
        <v>-6.7984728957526396E-14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319.29539841078537</v>
      </c>
      <c r="FK185" s="59">
        <f t="shared" si="156"/>
        <v>327.26871144121412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12.345573359675571</v>
      </c>
      <c r="FR185" s="21">
        <f>EXP(-LN(2)/25)*FR184+(1-EXP(-LN(2)/25))/(LN(2)/25)*Calculateur!FM185*Calculateur!FO185*VLOOKUP('Données projet'!$B$16,Paramètres!$A$1:$I$89,3,0)*0.475*44/12</f>
        <v>2.9102536016946927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15.255826961370264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2.2737367544323206E-13</v>
      </c>
      <c r="GA185" s="17">
        <f>FZ185*VLOOKUP('Données projet'!$B$17,Paramètres!$A$1:$I$89,3,0)*VLOOKUP('Données projet'!$B$17,Paramètres!$A$1:$I$89,5,0)</f>
        <v>1.0049916454590858E-13</v>
      </c>
      <c r="GB185" s="13">
        <f t="shared" si="185"/>
        <v>1.5089081593838289E-12</v>
      </c>
      <c r="GC185" s="20">
        <f t="shared" si="186"/>
        <v>2.8030510891776262E-12</v>
      </c>
      <c r="GD185" s="59">
        <f t="shared" si="134"/>
        <v>289.32336753276411</v>
      </c>
      <c r="GE185" s="59">
        <f ca="1">AVERAGE(OFFSET($GD$3,0,0,'Données projet'!$E$17+1,1))-AVERAGE(OFFSET($H$3,0,0,'Données projet'!$E$17+1,1))</f>
        <v>342.89128067483233</v>
      </c>
      <c r="GF185" s="59">
        <f t="shared" si="158"/>
        <v>453.47615302202996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14.734040715689252</v>
      </c>
      <c r="GM185" s="21">
        <f>EXP(-LN(2)/25)*GM184+(1-EXP(-LN(2)/25))/(LN(2)/25)*Calculateur!GH185*Calculateur!GJ185*VLOOKUP('Données projet'!$B$17,Paramètres!$A$1:$I$89,3,0)*0.475*44/12</f>
        <v>3.9870852056386199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18.721125921327872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68.906372963480365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>
        <f>GU185*VLOOKUP('Données projet'!$B$18,Paramètres!$A$1:$I$89,3,0)*VLOOKUP('Données projet'!$B$18,Paramètres!$A$1:$I$89,5,0)</f>
        <v>0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375.89365709113105</v>
      </c>
      <c r="HA185" s="59">
        <f t="shared" si="160"/>
        <v>279.39056561403834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22.088311196910897</v>
      </c>
      <c r="HH185" s="21">
        <f>EXP(-LN(2)/25)*HH184+(1-EXP(-LN(2)/25))/(LN(2)/25)*Calculateur!HC185*Calculateur!HE185*VLOOKUP('Données projet'!$B$18,Paramètres!$A$1:$I$89,3,0)*0.475*44/12</f>
        <v>4.9026418510352121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26.99095304794611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178.09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153.5988480000004</v>
      </c>
      <c r="P186" s="13">
        <f t="shared" si="141"/>
        <v>39.395304802658316</v>
      </c>
      <c r="Q186" s="20">
        <f t="shared" si="162"/>
        <v>336.13148279796388</v>
      </c>
      <c r="R186" s="59">
        <f t="shared" si="109"/>
        <v>625.52441427242456</v>
      </c>
      <c r="S186" s="59">
        <f ca="1">AVERAGE(OFFSET($R$3,0,0,'Données projet'!$E$9+1,1))-AVERAGE(OFFSET($H$3,0,0,'Données projet'!$E$9+1,1))</f>
        <v>631.31712308065664</v>
      </c>
      <c r="T186" s="59">
        <f t="shared" si="142"/>
        <v>290.92244624361285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186.05825662893167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186.05825662893167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-2.8421709430404007E-14</v>
      </c>
      <c r="AJ186" s="13">
        <f>AI186*VLOOKUP('Données projet'!$B$10,Paramètres!$A$1:$I$89,3,0)*VLOOKUP('Données projet'!$B$10,Paramètres!$A$1:$I$89,5,0)</f>
        <v>-2.3942448024172337E-14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401.19166052471473</v>
      </c>
      <c r="AO186" s="59">
        <f t="shared" si="144"/>
        <v>271.10067497534271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42.150396238064111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42.150396238064111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172.13664000000048</v>
      </c>
      <c r="BF186" s="13">
        <f t="shared" si="167"/>
        <v>43.568211452887901</v>
      </c>
      <c r="BG186" s="20">
        <f t="shared" si="168"/>
        <v>375.68594961378062</v>
      </c>
      <c r="BH186" s="59">
        <f t="shared" si="116"/>
        <v>665.07888108824136</v>
      </c>
      <c r="BI186" s="59">
        <f ca="1">AVERAGE(OFFSET($BH$3,0,0,'Données projet'!$E$11+1,1))-AVERAGE(OFFSET($H$3,0,0,'Données projet'!$E$11+1,1))</f>
        <v>695.93700574708214</v>
      </c>
      <c r="BJ186" s="59">
        <f t="shared" si="146"/>
        <v>318.31690229208471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208.51356346345793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208.51356346345793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1.7053025658242404E-13</v>
      </c>
      <c r="BZ186" s="13">
        <f>BY186*VLOOKUP('Données projet'!$B$12,Paramètres!$A$1:$I$89,3,0)*VLOOKUP('Données projet'!$B$12,Paramètres!$A$1:$I$89,5,0)</f>
        <v>1.1173142411280423E-13</v>
      </c>
      <c r="CA186" s="13">
        <f t="shared" si="170"/>
        <v>1.6569896290553793E-12</v>
      </c>
      <c r="CB186" s="20">
        <f t="shared" si="171"/>
        <v>3.0805225009345862E-12</v>
      </c>
      <c r="CC186" s="59">
        <f t="shared" si="119"/>
        <v>289.39293147446381</v>
      </c>
      <c r="CD186" s="59">
        <f ca="1">AVERAGE(OFFSET($CC$3,0,0,'Données projet'!$E$12+1,1))-AVERAGE(OFFSET($H$3,0,0,'Données projet'!$E$12+1,1))</f>
        <v>260.25859566735949</v>
      </c>
      <c r="CE186" s="59">
        <f t="shared" si="148"/>
        <v>256.93649773468667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8.7630012255385132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8.7630012255385132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1.7053025658242404E-13</v>
      </c>
      <c r="CU186" s="17">
        <f>CT186*VLOOKUP('Données projet'!$B$13,Paramètres!$A$1:$I$89,3,0)*VLOOKUP('Données projet'!$B$13,Paramètres!$A$1:$I$89,5,0)</f>
        <v>1.1173142411280423E-13</v>
      </c>
      <c r="CV186" s="13">
        <f t="shared" si="173"/>
        <v>1.6569896290553793E-12</v>
      </c>
      <c r="CW186" s="20">
        <f t="shared" si="174"/>
        <v>3.0805225009345862E-12</v>
      </c>
      <c r="CX186" s="59">
        <f t="shared" si="122"/>
        <v>289.39293147446381</v>
      </c>
      <c r="CY186" s="59">
        <f ca="1">AVERAGE(OFFSET($CX$3,0,0,'Données projet'!$E$13+1,1))-AVERAGE(OFFSET($H$3,0,0,'Données projet'!$E$13+1,1))</f>
        <v>260.25859566735949</v>
      </c>
      <c r="CZ186" s="59">
        <f t="shared" si="150"/>
        <v>256.93649773468667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8.7630012255385132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8.7630012255385132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-2.2737367544323206E-13</v>
      </c>
      <c r="DP186" s="17">
        <f>DO186*VLOOKUP('Données projet'!$B$14,Paramètres!$A$1:$I$89,3,0)*VLOOKUP('Données projet'!$B$14,Paramètres!$A$1:$I$89,5,0)</f>
        <v>-1.3005774235352875E-13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349.56396446903</v>
      </c>
      <c r="DU186" s="59">
        <f t="shared" si="152"/>
        <v>270.64279448634522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29.313932429430334</v>
      </c>
      <c r="EB186" s="21">
        <f>EXP(-LN(2)/25)*EB185+(1-EXP(-LN(2)/25))/(LN(2)/25)*Calculateur!DW186*Calculateur!DY186*VLOOKUP('Données projet'!$B$14,Paramètres!$A$1:$I$89,3,0)*0.475*44/12</f>
        <v>7.6812660617851458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36.995198491215483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375.89365709113105</v>
      </c>
      <c r="EP186" s="59">
        <f t="shared" si="154"/>
        <v>279.39056561403834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21.655172886879001</v>
      </c>
      <c r="EW186" s="21">
        <f>EXP(-LN(2)/25)*EW185+(1-EXP(-LN(2)/25))/(LN(2)/25)*Calculateur!ER186*Calculateur!ET186*VLOOKUP('Données projet'!$B$15,Paramètres!$A$1:$I$89,3,0)*0.475*44/12</f>
        <v>4.7685788517999246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26.423751738678924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-1.1368683772161603E-13</v>
      </c>
      <c r="FF186" s="17">
        <f>FE186*VLOOKUP('Données projet'!$B$16,Paramètres!$A$1:$I$89,3,0)*VLOOKUP('Données projet'!$B$16,Paramètres!$A$1:$I$89,5,0)</f>
        <v>-6.7984728957526396E-14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319.29539841078537</v>
      </c>
      <c r="FK186" s="59">
        <f t="shared" si="156"/>
        <v>327.26871144121412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12.103484196148552</v>
      </c>
      <c r="FR186" s="21">
        <f>EXP(-LN(2)/25)*FR185+(1-EXP(-LN(2)/25))/(LN(2)/25)*Calculateur!FM186*Calculateur!FO186*VLOOKUP('Données projet'!$B$16,Paramètres!$A$1:$I$89,3,0)*0.475*44/12</f>
        <v>2.8306725639127661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14.934156760061317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2.2737367544323206E-13</v>
      </c>
      <c r="GA186" s="17">
        <f>FZ186*VLOOKUP('Données projet'!$B$17,Paramètres!$A$1:$I$89,3,0)*VLOOKUP('Données projet'!$B$17,Paramètres!$A$1:$I$89,5,0)</f>
        <v>1.0049916454590858E-13</v>
      </c>
      <c r="GB186" s="13">
        <f t="shared" si="185"/>
        <v>1.5089081593838289E-12</v>
      </c>
      <c r="GC186" s="20">
        <f t="shared" si="186"/>
        <v>2.8030510891776262E-12</v>
      </c>
      <c r="GD186" s="59">
        <f t="shared" si="134"/>
        <v>289.39293147446352</v>
      </c>
      <c r="GE186" s="59">
        <f ca="1">AVERAGE(OFFSET($GD$3,0,0,'Données projet'!$E$17+1,1))-AVERAGE(OFFSET($H$3,0,0,'Données projet'!$E$17+1,1))</f>
        <v>342.89128067483233</v>
      </c>
      <c r="GF186" s="59">
        <f t="shared" si="158"/>
        <v>453.47615302202996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14.445115164132043</v>
      </c>
      <c r="GM186" s="21">
        <f>EXP(-LN(2)/25)*GM185+(1-EXP(-LN(2)/25))/(LN(2)/25)*Calculateur!GH186*Calculateur!GJ186*VLOOKUP('Données projet'!$B$17,Paramètres!$A$1:$I$89,3,0)*0.475*44/12</f>
        <v>3.8780581510187333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18.323173315150775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68.9253449475802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>
        <f>GU186*VLOOKUP('Données projet'!$B$18,Paramètres!$A$1:$I$89,3,0)*VLOOKUP('Données projet'!$B$18,Paramètres!$A$1:$I$89,5,0)</f>
        <v>0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375.89365709113105</v>
      </c>
      <c r="HA186" s="59">
        <f t="shared" si="160"/>
        <v>279.39056561403834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21.655172886879001</v>
      </c>
      <c r="HH186" s="21">
        <f>EXP(-LN(2)/25)*HH185+(1-EXP(-LN(2)/25))/(LN(2)/25)*Calculateur!HC186*Calculateur!HE186*VLOOKUP('Données projet'!$B$18,Paramètres!$A$1:$I$89,3,0)*0.475*44/12</f>
        <v>4.7685788517999246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26.423751738678924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178.09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4.3717136577470225E-13</v>
      </c>
      <c r="P187" s="13">
        <f t="shared" si="141"/>
        <v>5.5313598682231701E-12</v>
      </c>
      <c r="Q187" s="20">
        <f t="shared" si="162"/>
        <v>1.039519189921296E-11</v>
      </c>
      <c r="R187" s="59">
        <f t="shared" si="109"/>
        <v>289.46128863730382</v>
      </c>
      <c r="S187" s="59">
        <f ca="1">AVERAGE(OFFSET($R$3,0,0,'Données projet'!$E$9+1,1))-AVERAGE(OFFSET($H$3,0,0,'Données projet'!$E$9+1,1))</f>
        <v>631.31712308065664</v>
      </c>
      <c r="T187" s="59">
        <f t="shared" si="142"/>
        <v>290.92244624361285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182.40976770076921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182.40976770076921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-2.8421709430404007E-14</v>
      </c>
      <c r="AJ187" s="13">
        <f>AI187*VLOOKUP('Données projet'!$B$10,Paramètres!$A$1:$I$89,3,0)*VLOOKUP('Données projet'!$B$10,Paramètres!$A$1:$I$89,5,0)</f>
        <v>-2.3942448024172337E-14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401.19166052471473</v>
      </c>
      <c r="AO187" s="59">
        <f t="shared" si="144"/>
        <v>271.10067497534271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41.323852677038808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41.323852677038808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4.8993342716130437E-13</v>
      </c>
      <c r="BF187" s="13">
        <f t="shared" si="167"/>
        <v>6.1172634040517391E-12</v>
      </c>
      <c r="BG187" s="20">
        <f t="shared" si="168"/>
        <v>1.1507534481029384E-11</v>
      </c>
      <c r="BH187" s="59">
        <f t="shared" si="116"/>
        <v>289.4612886373049</v>
      </c>
      <c r="BI187" s="59">
        <f ca="1">AVERAGE(OFFSET($BH$3,0,0,'Données projet'!$E$11+1,1))-AVERAGE(OFFSET($H$3,0,0,'Données projet'!$E$11+1,1))</f>
        <v>695.93700574708214</v>
      </c>
      <c r="BJ187" s="59">
        <f t="shared" si="146"/>
        <v>318.31690229208471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204.42473966465516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204.42473966465516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1.7053025658242404E-13</v>
      </c>
      <c r="BZ187" s="13">
        <f>BY187*VLOOKUP('Données projet'!$B$12,Paramètres!$A$1:$I$89,3,0)*VLOOKUP('Données projet'!$B$12,Paramètres!$A$1:$I$89,5,0)</f>
        <v>1.1173142411280423E-13</v>
      </c>
      <c r="CA187" s="13">
        <f t="shared" si="170"/>
        <v>1.6569896290553793E-12</v>
      </c>
      <c r="CB187" s="20">
        <f t="shared" si="171"/>
        <v>3.0805225009345862E-12</v>
      </c>
      <c r="CC187" s="59">
        <f t="shared" si="119"/>
        <v>289.46128863729649</v>
      </c>
      <c r="CD187" s="59">
        <f ca="1">AVERAGE(OFFSET($CC$3,0,0,'Données projet'!$E$12+1,1))-AVERAGE(OFFSET($H$3,0,0,'Données projet'!$E$12+1,1))</f>
        <v>260.25859566735949</v>
      </c>
      <c r="CE187" s="59">
        <f t="shared" si="148"/>
        <v>256.93649773468667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8.5911641164086845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8.5911641164086845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1.7053025658242404E-13</v>
      </c>
      <c r="CU187" s="17">
        <f>CT187*VLOOKUP('Données projet'!$B$13,Paramètres!$A$1:$I$89,3,0)*VLOOKUP('Données projet'!$B$13,Paramètres!$A$1:$I$89,5,0)</f>
        <v>1.1173142411280423E-13</v>
      </c>
      <c r="CV187" s="13">
        <f t="shared" si="173"/>
        <v>1.6569896290553793E-12</v>
      </c>
      <c r="CW187" s="20">
        <f t="shared" si="174"/>
        <v>3.0805225009345862E-12</v>
      </c>
      <c r="CX187" s="59">
        <f t="shared" si="122"/>
        <v>289.46128863729649</v>
      </c>
      <c r="CY187" s="59">
        <f ca="1">AVERAGE(OFFSET($CX$3,0,0,'Données projet'!$E$13+1,1))-AVERAGE(OFFSET($H$3,0,0,'Données projet'!$E$13+1,1))</f>
        <v>260.25859566735949</v>
      </c>
      <c r="CZ187" s="59">
        <f t="shared" si="150"/>
        <v>256.93649773468667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8.5911641164086845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8.5911641164086845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-2.2737367544323206E-13</v>
      </c>
      <c r="DP187" s="17">
        <f>DO187*VLOOKUP('Données projet'!$B$14,Paramètres!$A$1:$I$89,3,0)*VLOOKUP('Données projet'!$B$14,Paramètres!$A$1:$I$89,5,0)</f>
        <v>-1.3005774235352875E-13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349.56396446903</v>
      </c>
      <c r="DU187" s="59">
        <f t="shared" si="152"/>
        <v>270.64279448634522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28.739104094222512</v>
      </c>
      <c r="EB187" s="21">
        <f>EXP(-LN(2)/25)*EB186+(1-EXP(-LN(2)/25))/(LN(2)/25)*Calculateur!DW187*Calculateur!DY187*VLOOKUP('Données projet'!$B$14,Paramètres!$A$1:$I$89,3,0)*0.475*44/12</f>
        <v>7.4712214373854042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36.210325531607914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375.89365709113105</v>
      </c>
      <c r="EP187" s="59">
        <f t="shared" si="154"/>
        <v>279.39056561403834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21.230528154918549</v>
      </c>
      <c r="EW187" s="21">
        <f>EXP(-LN(2)/25)*EW186+(1-EXP(-LN(2)/25))/(LN(2)/25)*Calculateur!ER187*Calculateur!ET187*VLOOKUP('Données projet'!$B$15,Paramètres!$A$1:$I$89,3,0)*0.475*44/12</f>
        <v>4.6381818123287921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25.868709967247341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-1.1368683772161603E-13</v>
      </c>
      <c r="FF187" s="17">
        <f>FE187*VLOOKUP('Données projet'!$B$16,Paramètres!$A$1:$I$89,3,0)*VLOOKUP('Données projet'!$B$16,Paramètres!$A$1:$I$89,5,0)</f>
        <v>-6.7984728957526396E-14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319.29539841078537</v>
      </c>
      <c r="FK187" s="59">
        <f t="shared" si="156"/>
        <v>327.26871144121412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11.866142253458486</v>
      </c>
      <c r="FR187" s="21">
        <f>EXP(-LN(2)/25)*FR186+(1-EXP(-LN(2)/25))/(LN(2)/25)*Calculateur!FM187*Calculateur!FO187*VLOOKUP('Données projet'!$B$16,Paramètres!$A$1:$I$89,3,0)*0.475*44/12</f>
        <v>2.753267673793971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14.619409927252457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2.2737367544323206E-13</v>
      </c>
      <c r="GA187" s="17">
        <f>FZ187*VLOOKUP('Données projet'!$B$17,Paramètres!$A$1:$I$89,3,0)*VLOOKUP('Données projet'!$B$17,Paramètres!$A$1:$I$89,5,0)</f>
        <v>1.0049916454590858E-13</v>
      </c>
      <c r="GB187" s="13">
        <f t="shared" si="185"/>
        <v>1.5089081593838289E-12</v>
      </c>
      <c r="GC187" s="20">
        <f t="shared" si="186"/>
        <v>2.8030510891776262E-12</v>
      </c>
      <c r="GD187" s="59">
        <f t="shared" si="134"/>
        <v>289.46128863729621</v>
      </c>
      <c r="GE187" s="59">
        <f ca="1">AVERAGE(OFFSET($GD$3,0,0,'Données projet'!$E$17+1,1))-AVERAGE(OFFSET($H$3,0,0,'Données projet'!$E$17+1,1))</f>
        <v>342.89128067483233</v>
      </c>
      <c r="GF187" s="59">
        <f t="shared" si="158"/>
        <v>453.47615302202996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14.161855266413683</v>
      </c>
      <c r="GM187" s="21">
        <f>EXP(-LN(2)/25)*GM186+(1-EXP(-LN(2)/25))/(LN(2)/25)*Calculateur!GH187*Calculateur!GJ187*VLOOKUP('Données projet'!$B$17,Paramètres!$A$1:$I$89,3,0)*0.475*44/12</f>
        <v>3.7720124469409111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17.933867713354594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68.943987810170924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>
        <f>GU187*VLOOKUP('Données projet'!$B$18,Paramètres!$A$1:$I$89,3,0)*VLOOKUP('Données projet'!$B$18,Paramètres!$A$1:$I$89,5,0)</f>
        <v>0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375.89365709113105</v>
      </c>
      <c r="HA187" s="59">
        <f t="shared" si="160"/>
        <v>279.39056561403834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21.230528154918549</v>
      </c>
      <c r="HH187" s="21">
        <f>EXP(-LN(2)/25)*HH186+(1-EXP(-LN(2)/25))/(LN(2)/25)*Calculateur!HC187*Calculateur!HE187*VLOOKUP('Données projet'!$B$18,Paramètres!$A$1:$I$89,3,0)*0.475*44/12</f>
        <v>4.6381818123287921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25.868709967247341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178.09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4.3717136577470225E-13</v>
      </c>
      <c r="P188" s="13">
        <f t="shared" si="141"/>
        <v>5.5313598682231701E-12</v>
      </c>
      <c r="Q188" s="20">
        <f t="shared" si="162"/>
        <v>1.039519189921296E-11</v>
      </c>
      <c r="R188" s="59">
        <f t="shared" si="109"/>
        <v>289.52845995618497</v>
      </c>
      <c r="S188" s="59">
        <f ca="1">AVERAGE(OFFSET($R$3,0,0,'Données projet'!$E$9+1,1))-AVERAGE(OFFSET($H$3,0,0,'Données projet'!$E$9+1,1))</f>
        <v>631.31712308065664</v>
      </c>
      <c r="T188" s="59">
        <f t="shared" si="142"/>
        <v>290.92244624361285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178.83282341512952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178.83282341512952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-2.8421709430404007E-14</v>
      </c>
      <c r="AJ188" s="13">
        <f>AI188*VLOOKUP('Données projet'!$B$10,Paramètres!$A$1:$I$89,3,0)*VLOOKUP('Données projet'!$B$10,Paramètres!$A$1:$I$89,5,0)</f>
        <v>-2.3942448024172337E-14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401.19166052471473</v>
      </c>
      <c r="AO188" s="59">
        <f t="shared" si="144"/>
        <v>271.10067497534271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40.51351713110342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40.51351713110342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4.8993342716130437E-13</v>
      </c>
      <c r="BF188" s="13">
        <f t="shared" si="167"/>
        <v>6.1172634040517391E-12</v>
      </c>
      <c r="BG188" s="20">
        <f t="shared" si="168"/>
        <v>1.1507534481029384E-11</v>
      </c>
      <c r="BH188" s="59">
        <f t="shared" si="116"/>
        <v>289.52845995618605</v>
      </c>
      <c r="BI188" s="59">
        <f ca="1">AVERAGE(OFFSET($BH$3,0,0,'Données projet'!$E$11+1,1))-AVERAGE(OFFSET($H$3,0,0,'Données projet'!$E$11+1,1))</f>
        <v>695.93700574708214</v>
      </c>
      <c r="BJ188" s="59">
        <f t="shared" si="146"/>
        <v>318.31690229208471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200.41609520661066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200.41609520661066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1.7053025658242404E-13</v>
      </c>
      <c r="BZ188" s="13">
        <f>BY188*VLOOKUP('Données projet'!$B$12,Paramètres!$A$1:$I$89,3,0)*VLOOKUP('Données projet'!$B$12,Paramètres!$A$1:$I$89,5,0)</f>
        <v>1.1173142411280423E-13</v>
      </c>
      <c r="CA188" s="13">
        <f t="shared" si="170"/>
        <v>1.6569896290553793E-12</v>
      </c>
      <c r="CB188" s="20">
        <f t="shared" si="171"/>
        <v>3.0805225009345862E-12</v>
      </c>
      <c r="CC188" s="59">
        <f t="shared" si="119"/>
        <v>289.52845995617764</v>
      </c>
      <c r="CD188" s="59">
        <f ca="1">AVERAGE(OFFSET($CC$3,0,0,'Données projet'!$E$12+1,1))-AVERAGE(OFFSET($H$3,0,0,'Données projet'!$E$12+1,1))</f>
        <v>260.25859566735949</v>
      </c>
      <c r="CE188" s="59">
        <f t="shared" si="148"/>
        <v>256.93649773468667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8.4226966281786044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8.4226966281786044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1.7053025658242404E-13</v>
      </c>
      <c r="CU188" s="17">
        <f>CT188*VLOOKUP('Données projet'!$B$13,Paramètres!$A$1:$I$89,3,0)*VLOOKUP('Données projet'!$B$13,Paramètres!$A$1:$I$89,5,0)</f>
        <v>1.1173142411280423E-13</v>
      </c>
      <c r="CV188" s="13">
        <f t="shared" si="173"/>
        <v>1.6569896290553793E-12</v>
      </c>
      <c r="CW188" s="20">
        <f t="shared" si="174"/>
        <v>3.0805225009345862E-12</v>
      </c>
      <c r="CX188" s="59">
        <f t="shared" si="122"/>
        <v>289.52845995617764</v>
      </c>
      <c r="CY188" s="59">
        <f ca="1">AVERAGE(OFFSET($CX$3,0,0,'Données projet'!$E$13+1,1))-AVERAGE(OFFSET($H$3,0,0,'Données projet'!$E$13+1,1))</f>
        <v>260.25859566735949</v>
      </c>
      <c r="CZ188" s="59">
        <f t="shared" si="150"/>
        <v>256.93649773468667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8.4226966281786044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8.4226966281786044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-2.2737367544323206E-13</v>
      </c>
      <c r="DP188" s="17">
        <f>DO188*VLOOKUP('Données projet'!$B$14,Paramètres!$A$1:$I$89,3,0)*VLOOKUP('Données projet'!$B$14,Paramètres!$A$1:$I$89,5,0)</f>
        <v>-1.3005774235352875E-13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349.56396446903</v>
      </c>
      <c r="DU188" s="59">
        <f t="shared" si="152"/>
        <v>270.64279448634522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28.175547792057447</v>
      </c>
      <c r="EB188" s="21">
        <f>EXP(-LN(2)/25)*EB187+(1-EXP(-LN(2)/25))/(LN(2)/25)*Calculateur!DW188*Calculateur!DY188*VLOOKUP('Données projet'!$B$14,Paramètres!$A$1:$I$89,3,0)*0.475*44/12</f>
        <v>7.2669204942856407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35.442468286343086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375.89365709113105</v>
      </c>
      <c r="EP188" s="59">
        <f t="shared" si="154"/>
        <v>279.39056561403834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20.814210447144131</v>
      </c>
      <c r="EW188" s="21">
        <f>EXP(-LN(2)/25)*EW187+(1-EXP(-LN(2)/25))/(LN(2)/25)*Calculateur!ER188*Calculateur!ET188*VLOOKUP('Données projet'!$B$15,Paramètres!$A$1:$I$89,3,0)*0.475*44/12</f>
        <v>4.5113504867592802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25.325560933903411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-1.1368683772161603E-13</v>
      </c>
      <c r="FF188" s="17">
        <f>FE188*VLOOKUP('Données projet'!$B$16,Paramètres!$A$1:$I$89,3,0)*VLOOKUP('Données projet'!$B$16,Paramètres!$A$1:$I$89,5,0)</f>
        <v>-6.7984728957526396E-14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319.29539841078537</v>
      </c>
      <c r="FK188" s="59">
        <f t="shared" si="156"/>
        <v>327.26871144121412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11.633454441500284</v>
      </c>
      <c r="FR188" s="21">
        <f>EXP(-LN(2)/25)*FR187+(1-EXP(-LN(2)/25))/(LN(2)/25)*Calculateur!FM188*Calculateur!FO188*VLOOKUP('Données projet'!$B$16,Paramètres!$A$1:$I$89,3,0)*0.475*44/12</f>
        <v>2.6779794244660207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14.311433865966304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2.2737367544323206E-13</v>
      </c>
      <c r="GA188" s="17">
        <f>FZ188*VLOOKUP('Données projet'!$B$17,Paramètres!$A$1:$I$89,3,0)*VLOOKUP('Données projet'!$B$17,Paramètres!$A$1:$I$89,5,0)</f>
        <v>1.0049916454590858E-13</v>
      </c>
      <c r="GB188" s="13">
        <f t="shared" si="185"/>
        <v>1.5089081593838289E-12</v>
      </c>
      <c r="GC188" s="20">
        <f t="shared" si="186"/>
        <v>2.8030510891776262E-12</v>
      </c>
      <c r="GD188" s="59">
        <f t="shared" si="134"/>
        <v>289.52845995617736</v>
      </c>
      <c r="GE188" s="59">
        <f ca="1">AVERAGE(OFFSET($GD$3,0,0,'Données projet'!$E$17+1,1))-AVERAGE(OFFSET($H$3,0,0,'Données projet'!$E$17+1,1))</f>
        <v>342.89128067483233</v>
      </c>
      <c r="GF188" s="59">
        <f t="shared" si="158"/>
        <v>453.47615302202996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13.884149922518104</v>
      </c>
      <c r="GM188" s="21">
        <f>EXP(-LN(2)/25)*GM187+(1-EXP(-LN(2)/25))/(LN(2)/25)*Calculateur!GH188*Calculateur!GJ188*VLOOKUP('Données projet'!$B$17,Paramètres!$A$1:$I$89,3,0)*0.475*44/12</f>
        <v>3.6688665682177986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17.553016490735903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68.962307260774892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>
        <f>GU188*VLOOKUP('Données projet'!$B$18,Paramètres!$A$1:$I$89,3,0)*VLOOKUP('Données projet'!$B$18,Paramètres!$A$1:$I$89,5,0)</f>
        <v>0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375.89365709113105</v>
      </c>
      <c r="HA188" s="59">
        <f t="shared" si="160"/>
        <v>279.39056561403834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20.814210447144131</v>
      </c>
      <c r="HH188" s="21">
        <f>EXP(-LN(2)/25)*HH187+(1-EXP(-LN(2)/25))/(LN(2)/25)*Calculateur!HC188*Calculateur!HE188*VLOOKUP('Données projet'!$B$18,Paramètres!$A$1:$I$89,3,0)*0.475*44/12</f>
        <v>4.5113504867592802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25.325560933903411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178.09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4.3717136577470225E-13</v>
      </c>
      <c r="P189" s="13">
        <f t="shared" si="141"/>
        <v>5.5313598682231701E-12</v>
      </c>
      <c r="Q189" s="20">
        <f t="shared" si="162"/>
        <v>1.039519189921296E-11</v>
      </c>
      <c r="R189" s="59">
        <f t="shared" si="109"/>
        <v>289.59446600285617</v>
      </c>
      <c r="S189" s="59">
        <f ca="1">AVERAGE(OFFSET($R$3,0,0,'Données projet'!$E$9+1,1))-AVERAGE(OFFSET($H$3,0,0,'Données projet'!$E$9+1,1))</f>
        <v>631.31712308065664</v>
      </c>
      <c r="T189" s="59">
        <f t="shared" si="142"/>
        <v>290.92244624361285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175.32602082521063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175.32602082521063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-2.8421709430404007E-14</v>
      </c>
      <c r="AJ189" s="13">
        <f>AI189*VLOOKUP('Données projet'!$B$10,Paramètres!$A$1:$I$89,3,0)*VLOOKUP('Données projet'!$B$10,Paramètres!$A$1:$I$89,5,0)</f>
        <v>-2.3942448024172337E-14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401.19166052471473</v>
      </c>
      <c r="AO189" s="59">
        <f t="shared" si="144"/>
        <v>271.10067497534271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39.719071770967943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39.719071770967943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4.8993342716130437E-13</v>
      </c>
      <c r="BF189" s="13">
        <f t="shared" si="167"/>
        <v>6.1172634040517391E-12</v>
      </c>
      <c r="BG189" s="20">
        <f t="shared" si="168"/>
        <v>1.1507534481029384E-11</v>
      </c>
      <c r="BH189" s="59">
        <f t="shared" si="116"/>
        <v>289.59446600285725</v>
      </c>
      <c r="BI189" s="59">
        <f ca="1">AVERAGE(OFFSET($BH$3,0,0,'Données projet'!$E$11+1,1))-AVERAGE(OFFSET($H$3,0,0,'Données projet'!$E$11+1,1))</f>
        <v>695.93700574708214</v>
      </c>
      <c r="BJ189" s="59">
        <f t="shared" si="146"/>
        <v>318.31690229208471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196.48605782135672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196.48605782135672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1.7053025658242404E-13</v>
      </c>
      <c r="BZ189" s="13">
        <f>BY189*VLOOKUP('Données projet'!$B$12,Paramètres!$A$1:$I$89,3,0)*VLOOKUP('Données projet'!$B$12,Paramètres!$A$1:$I$89,5,0)</f>
        <v>1.1173142411280423E-13</v>
      </c>
      <c r="CA189" s="13">
        <f t="shared" si="170"/>
        <v>1.6569896290553793E-12</v>
      </c>
      <c r="CB189" s="20">
        <f t="shared" si="171"/>
        <v>3.0805225009345862E-12</v>
      </c>
      <c r="CC189" s="59">
        <f t="shared" si="119"/>
        <v>289.59446600284883</v>
      </c>
      <c r="CD189" s="59">
        <f ca="1">AVERAGE(OFFSET($CC$3,0,0,'Données projet'!$E$12+1,1))-AVERAGE(OFFSET($H$3,0,0,'Données projet'!$E$12+1,1))</f>
        <v>260.25859566735949</v>
      </c>
      <c r="CE189" s="59">
        <f t="shared" si="148"/>
        <v>256.93649773468667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8.2575326846376953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8.2575326846376953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1.7053025658242404E-13</v>
      </c>
      <c r="CU189" s="17">
        <f>CT189*VLOOKUP('Données projet'!$B$13,Paramètres!$A$1:$I$89,3,0)*VLOOKUP('Données projet'!$B$13,Paramètres!$A$1:$I$89,5,0)</f>
        <v>1.1173142411280423E-13</v>
      </c>
      <c r="CV189" s="13">
        <f t="shared" si="173"/>
        <v>1.6569896290553793E-12</v>
      </c>
      <c r="CW189" s="20">
        <f t="shared" si="174"/>
        <v>3.0805225009345862E-12</v>
      </c>
      <c r="CX189" s="59">
        <f t="shared" si="122"/>
        <v>289.59446600284883</v>
      </c>
      <c r="CY189" s="59">
        <f ca="1">AVERAGE(OFFSET($CX$3,0,0,'Données projet'!$E$13+1,1))-AVERAGE(OFFSET($H$3,0,0,'Données projet'!$E$13+1,1))</f>
        <v>260.25859566735949</v>
      </c>
      <c r="CZ189" s="59">
        <f t="shared" si="150"/>
        <v>256.93649773468667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8.2575326846376953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8.2575326846376953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-2.2737367544323206E-13</v>
      </c>
      <c r="DP189" s="17">
        <f>DO189*VLOOKUP('Données projet'!$B$14,Paramètres!$A$1:$I$89,3,0)*VLOOKUP('Données projet'!$B$14,Paramètres!$A$1:$I$89,5,0)</f>
        <v>-1.3005774235352875E-13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349.56396446903</v>
      </c>
      <c r="DU189" s="59">
        <f t="shared" si="152"/>
        <v>270.64279448634522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27.623042485242436</v>
      </c>
      <c r="EB189" s="21">
        <f>EXP(-LN(2)/25)*EB188+(1-EXP(-LN(2)/25))/(LN(2)/25)*Calculateur!DW189*Calculateur!DY189*VLOOKUP('Données projet'!$B$14,Paramètres!$A$1:$I$89,3,0)*0.475*44/12</f>
        <v>7.0682061712186597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34.691248656461099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375.89365709113105</v>
      </c>
      <c r="EP189" s="59">
        <f t="shared" si="154"/>
        <v>279.39056561403834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20.406056475690438</v>
      </c>
      <c r="EW189" s="21">
        <f>EXP(-LN(2)/25)*EW188+(1-EXP(-LN(2)/25))/(LN(2)/25)*Calculateur!ER189*Calculateur!ET189*VLOOKUP('Données projet'!$B$15,Paramètres!$A$1:$I$89,3,0)*0.475*44/12</f>
        <v>4.3879873704572363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24.794043846147673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-1.1368683772161603E-13</v>
      </c>
      <c r="FF189" s="17">
        <f>FE189*VLOOKUP('Données projet'!$B$16,Paramètres!$A$1:$I$89,3,0)*VLOOKUP('Données projet'!$B$16,Paramètres!$A$1:$I$89,5,0)</f>
        <v>-6.7984728957526396E-14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319.29539841078537</v>
      </c>
      <c r="FK189" s="59">
        <f t="shared" si="156"/>
        <v>327.26871144121412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11.405329495609029</v>
      </c>
      <c r="FR189" s="21">
        <f>EXP(-LN(2)/25)*FR188+(1-EXP(-LN(2)/25))/(LN(2)/25)*Calculateur!FM189*Calculateur!FO189*VLOOKUP('Données projet'!$B$16,Paramètres!$A$1:$I$89,3,0)*0.475*44/12</f>
        <v>2.60474993627518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14.010079431884209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2.2737367544323206E-13</v>
      </c>
      <c r="GA189" s="17">
        <f>FZ189*VLOOKUP('Données projet'!$B$17,Paramètres!$A$1:$I$89,3,0)*VLOOKUP('Données projet'!$B$17,Paramètres!$A$1:$I$89,5,0)</f>
        <v>1.0049916454590858E-13</v>
      </c>
      <c r="GB189" s="13">
        <f t="shared" si="185"/>
        <v>1.5089081593838289E-12</v>
      </c>
      <c r="GC189" s="20">
        <f t="shared" si="186"/>
        <v>2.8030510891776262E-12</v>
      </c>
      <c r="GD189" s="59">
        <f t="shared" si="134"/>
        <v>289.59446600284855</v>
      </c>
      <c r="GE189" s="59">
        <f ca="1">AVERAGE(OFFSET($GD$3,0,0,'Données projet'!$E$17+1,1))-AVERAGE(OFFSET($H$3,0,0,'Données projet'!$E$17+1,1))</f>
        <v>342.89128067483233</v>
      </c>
      <c r="GF189" s="59">
        <f t="shared" si="158"/>
        <v>453.47615302202996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13.611890211032781</v>
      </c>
      <c r="GM189" s="21">
        <f>EXP(-LN(2)/25)*GM188+(1-EXP(-LN(2)/25))/(LN(2)/25)*Calculateur!GH189*Calculateur!GJ189*VLOOKUP('Données projet'!$B$17,Paramètres!$A$1:$I$89,3,0)*0.475*44/12</f>
        <v>3.5685412189725754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17.180431430005356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68.980308909867034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>
        <f>GU189*VLOOKUP('Données projet'!$B$18,Paramètres!$A$1:$I$89,3,0)*VLOOKUP('Données projet'!$B$18,Paramètres!$A$1:$I$89,5,0)</f>
        <v>0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375.89365709113105</v>
      </c>
      <c r="HA189" s="59">
        <f t="shared" si="160"/>
        <v>279.39056561403834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20.406056475690438</v>
      </c>
      <c r="HH189" s="21">
        <f>EXP(-LN(2)/25)*HH188+(1-EXP(-LN(2)/25))/(LN(2)/25)*Calculateur!HC189*Calculateur!HE189*VLOOKUP('Données projet'!$B$18,Paramètres!$A$1:$I$89,3,0)*0.475*44/12</f>
        <v>4.3879873704572363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24.794043846147673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178.09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4.3717136577470225E-13</v>
      </c>
      <c r="P190" s="13">
        <f t="shared" si="141"/>
        <v>5.5313598682231701E-12</v>
      </c>
      <c r="Q190" s="20">
        <f t="shared" si="162"/>
        <v>1.039519189921296E-11</v>
      </c>
      <c r="R190" s="59">
        <f t="shared" si="109"/>
        <v>289.65932699218502</v>
      </c>
      <c r="S190" s="59">
        <f ca="1">AVERAGE(OFFSET($R$3,0,0,'Données projet'!$E$9+1,1))-AVERAGE(OFFSET($H$3,0,0,'Données projet'!$E$9+1,1))</f>
        <v>631.31712308065664</v>
      </c>
      <c r="T190" s="59">
        <f t="shared" si="142"/>
        <v>290.92244624361285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171.88798449514167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171.88798449514167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-2.8421709430404007E-14</v>
      </c>
      <c r="AJ190" s="13">
        <f>AI190*VLOOKUP('Données projet'!$B$10,Paramètres!$A$1:$I$89,3,0)*VLOOKUP('Données projet'!$B$10,Paramètres!$A$1:$I$89,5,0)</f>
        <v>-2.3942448024172337E-14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401.19166052471473</v>
      </c>
      <c r="AO190" s="59">
        <f t="shared" si="144"/>
        <v>271.10067497534271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38.940204999780903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38.940204999780903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4.8993342716130437E-13</v>
      </c>
      <c r="BF190" s="13">
        <f t="shared" si="167"/>
        <v>6.1172634040517391E-12</v>
      </c>
      <c r="BG190" s="20">
        <f t="shared" si="168"/>
        <v>1.1507534481029384E-11</v>
      </c>
      <c r="BH190" s="59">
        <f t="shared" si="116"/>
        <v>289.6593269921861</v>
      </c>
      <c r="BI190" s="59">
        <f ca="1">AVERAGE(OFFSET($BH$3,0,0,'Données projet'!$E$11+1,1))-AVERAGE(OFFSET($H$3,0,0,'Données projet'!$E$11+1,1))</f>
        <v>695.93700574708214</v>
      </c>
      <c r="BJ190" s="59">
        <f t="shared" si="146"/>
        <v>318.31690229208471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192.63308607214151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192.63308607214151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1.7053025658242404E-13</v>
      </c>
      <c r="BZ190" s="13">
        <f>BY190*VLOOKUP('Données projet'!$B$12,Paramètres!$A$1:$I$89,3,0)*VLOOKUP('Données projet'!$B$12,Paramètres!$A$1:$I$89,5,0)</f>
        <v>1.1173142411280423E-13</v>
      </c>
      <c r="CA190" s="13">
        <f t="shared" si="170"/>
        <v>1.6569896290553793E-12</v>
      </c>
      <c r="CB190" s="20">
        <f t="shared" si="171"/>
        <v>3.0805225009345862E-12</v>
      </c>
      <c r="CC190" s="59">
        <f t="shared" si="119"/>
        <v>289.65932699217768</v>
      </c>
      <c r="CD190" s="59">
        <f ca="1">AVERAGE(OFFSET($CC$3,0,0,'Données projet'!$E$12+1,1))-AVERAGE(OFFSET($H$3,0,0,'Données projet'!$E$12+1,1))</f>
        <v>260.25859566735949</v>
      </c>
      <c r="CE190" s="59">
        <f t="shared" si="148"/>
        <v>256.93649773468667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8.0956075052895642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8.0956075052895642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1.7053025658242404E-13</v>
      </c>
      <c r="CU190" s="17">
        <f>CT190*VLOOKUP('Données projet'!$B$13,Paramètres!$A$1:$I$89,3,0)*VLOOKUP('Données projet'!$B$13,Paramètres!$A$1:$I$89,5,0)</f>
        <v>1.1173142411280423E-13</v>
      </c>
      <c r="CV190" s="13">
        <f t="shared" si="173"/>
        <v>1.6569896290553793E-12</v>
      </c>
      <c r="CW190" s="20">
        <f t="shared" si="174"/>
        <v>3.0805225009345862E-12</v>
      </c>
      <c r="CX190" s="59">
        <f t="shared" si="122"/>
        <v>289.65932699217768</v>
      </c>
      <c r="CY190" s="59">
        <f ca="1">AVERAGE(OFFSET($CX$3,0,0,'Données projet'!$E$13+1,1))-AVERAGE(OFFSET($H$3,0,0,'Données projet'!$E$13+1,1))</f>
        <v>260.25859566735949</v>
      </c>
      <c r="CZ190" s="59">
        <f t="shared" si="150"/>
        <v>256.93649773468667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8.0956075052895642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8.0956075052895642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-2.2737367544323206E-13</v>
      </c>
      <c r="DP190" s="17">
        <f>DO190*VLOOKUP('Données projet'!$B$14,Paramètres!$A$1:$I$89,3,0)*VLOOKUP('Données projet'!$B$14,Paramètres!$A$1:$I$89,5,0)</f>
        <v>-1.3005774235352875E-13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349.56396446903</v>
      </c>
      <c r="DU190" s="59">
        <f t="shared" si="152"/>
        <v>270.64279448634522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27.081371470499107</v>
      </c>
      <c r="EB190" s="21">
        <f>EXP(-LN(2)/25)*EB189+(1-EXP(-LN(2)/25))/(LN(2)/25)*Calculateur!DW190*Calculateur!DY190*VLOOKUP('Données projet'!$B$14,Paramètres!$A$1:$I$89,3,0)*0.475*44/12</f>
        <v>6.8749257017658776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33.956297172264982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375.89365709113105</v>
      </c>
      <c r="EP190" s="59">
        <f t="shared" si="154"/>
        <v>279.39056561403834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20.005906154667613</v>
      </c>
      <c r="EW190" s="21">
        <f>EXP(-LN(2)/25)*EW189+(1-EXP(-LN(2)/25))/(LN(2)/25)*Calculateur!ER190*Calculateur!ET190*VLOOKUP('Données projet'!$B$15,Paramètres!$A$1:$I$89,3,0)*0.475*44/12</f>
        <v>4.2679976250578564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24.273903779725469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-1.1368683772161603E-13</v>
      </c>
      <c r="FF190" s="17">
        <f>FE190*VLOOKUP('Données projet'!$B$16,Paramètres!$A$1:$I$89,3,0)*VLOOKUP('Données projet'!$B$16,Paramètres!$A$1:$I$89,5,0)</f>
        <v>-6.7984728957526396E-14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319.29539841078537</v>
      </c>
      <c r="FK190" s="59">
        <f t="shared" si="156"/>
        <v>327.26871144121412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11.181677940764224</v>
      </c>
      <c r="FR190" s="21">
        <f>EXP(-LN(2)/25)*FR189+(1-EXP(-LN(2)/25))/(LN(2)/25)*Calculateur!FM190*Calculateur!FO190*VLOOKUP('Données projet'!$B$16,Paramètres!$A$1:$I$89,3,0)*0.475*44/12</f>
        <v>2.5335229122898895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13.715200853054114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2.2737367544323206E-13</v>
      </c>
      <c r="GA190" s="17">
        <f>FZ190*VLOOKUP('Données projet'!$B$17,Paramètres!$A$1:$I$89,3,0)*VLOOKUP('Données projet'!$B$17,Paramètres!$A$1:$I$89,5,0)</f>
        <v>1.0049916454590858E-13</v>
      </c>
      <c r="GB190" s="13">
        <f t="shared" si="185"/>
        <v>1.5089081593838289E-12</v>
      </c>
      <c r="GC190" s="20">
        <f t="shared" si="186"/>
        <v>2.8030510891776262E-12</v>
      </c>
      <c r="GD190" s="59">
        <f t="shared" si="134"/>
        <v>289.6593269921774</v>
      </c>
      <c r="GE190" s="59">
        <f ca="1">AVERAGE(OFFSET($GD$3,0,0,'Données projet'!$E$17+1,1))-AVERAGE(OFFSET($H$3,0,0,'Données projet'!$E$17+1,1))</f>
        <v>342.89128067483233</v>
      </c>
      <c r="GF190" s="59">
        <f t="shared" si="158"/>
        <v>453.47615302202996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13.344969346427661</v>
      </c>
      <c r="GM190" s="21">
        <f>EXP(-LN(2)/25)*GM189+(1-EXP(-LN(2)/25))/(LN(2)/25)*Calculateur!GH190*Calculateur!GJ190*VLOOKUP('Données projet'!$B$17,Paramètres!$A$1:$I$89,3,0)*0.475*44/12</f>
        <v>3.4709592716783435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16.815928618106003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68.997998270593087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>
        <f>GU190*VLOOKUP('Données projet'!$B$18,Paramètres!$A$1:$I$89,3,0)*VLOOKUP('Données projet'!$B$18,Paramètres!$A$1:$I$89,5,0)</f>
        <v>0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375.89365709113105</v>
      </c>
      <c r="HA190" s="59">
        <f t="shared" si="160"/>
        <v>279.39056561403834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20.005906154667613</v>
      </c>
      <c r="HH190" s="21">
        <f>EXP(-LN(2)/25)*HH189+(1-EXP(-LN(2)/25))/(LN(2)/25)*Calculateur!HC190*Calculateur!HE190*VLOOKUP('Données projet'!$B$18,Paramètres!$A$1:$I$89,3,0)*0.475*44/12</f>
        <v>4.2679976250578564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24.273903779725469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178.09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4.3717136577470225E-13</v>
      </c>
      <c r="P191" s="13">
        <f t="shared" si="141"/>
        <v>5.5313598682231701E-12</v>
      </c>
      <c r="Q191" s="20">
        <f t="shared" si="162"/>
        <v>1.039519189921296E-11</v>
      </c>
      <c r="R191" s="59">
        <f t="shared" si="109"/>
        <v>289.72306278835646</v>
      </c>
      <c r="S191" s="59">
        <f ca="1">AVERAGE(OFFSET($R$3,0,0,'Données projet'!$E$9+1,1))-AVERAGE(OFFSET($H$3,0,0,'Données projet'!$E$9+1,1))</f>
        <v>631.31712308065664</v>
      </c>
      <c r="T191" s="59">
        <f t="shared" si="142"/>
        <v>290.92244624361285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168.51736596051026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168.51736596051026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-2.8421709430404007E-14</v>
      </c>
      <c r="AJ191" s="13">
        <f>AI191*VLOOKUP('Données projet'!$B$10,Paramètres!$A$1:$I$89,3,0)*VLOOKUP('Données projet'!$B$10,Paramètres!$A$1:$I$89,5,0)</f>
        <v>-2.3942448024172337E-14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401.19166052471473</v>
      </c>
      <c r="AO191" s="59">
        <f t="shared" si="144"/>
        <v>271.10067497534271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38.176611330915016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38.176611330915016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4.8993342716130437E-13</v>
      </c>
      <c r="BF191" s="13">
        <f t="shared" si="167"/>
        <v>6.1172634040517391E-12</v>
      </c>
      <c r="BG191" s="20">
        <f t="shared" si="168"/>
        <v>1.1507534481029384E-11</v>
      </c>
      <c r="BH191" s="59">
        <f t="shared" si="116"/>
        <v>289.72306278835754</v>
      </c>
      <c r="BI191" s="59">
        <f ca="1">AVERAGE(OFFSET($BH$3,0,0,'Données projet'!$E$11+1,1))-AVERAGE(OFFSET($H$3,0,0,'Données projet'!$E$11+1,1))</f>
        <v>695.93700574708214</v>
      </c>
      <c r="BJ191" s="59">
        <f t="shared" si="146"/>
        <v>318.31690229208471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188.85566874884771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188.85566874884771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1.7053025658242404E-13</v>
      </c>
      <c r="BZ191" s="13">
        <f>BY191*VLOOKUP('Données projet'!$B$12,Paramètres!$A$1:$I$89,3,0)*VLOOKUP('Données projet'!$B$12,Paramètres!$A$1:$I$89,5,0)</f>
        <v>1.1173142411280423E-13</v>
      </c>
      <c r="CA191" s="13">
        <f t="shared" si="170"/>
        <v>1.6569896290553793E-12</v>
      </c>
      <c r="CB191" s="20">
        <f t="shared" si="171"/>
        <v>3.0805225009345862E-12</v>
      </c>
      <c r="CC191" s="59">
        <f t="shared" si="119"/>
        <v>289.72306278834913</v>
      </c>
      <c r="CD191" s="59">
        <f ca="1">AVERAGE(OFFSET($CC$3,0,0,'Données projet'!$E$12+1,1))-AVERAGE(OFFSET($H$3,0,0,'Données projet'!$E$12+1,1))</f>
        <v>260.25859566735949</v>
      </c>
      <c r="CE191" s="59">
        <f t="shared" si="148"/>
        <v>256.93649773468667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7.9368575799438439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7.9368575799438439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1.7053025658242404E-13</v>
      </c>
      <c r="CU191" s="17">
        <f>CT191*VLOOKUP('Données projet'!$B$13,Paramètres!$A$1:$I$89,3,0)*VLOOKUP('Données projet'!$B$13,Paramètres!$A$1:$I$89,5,0)</f>
        <v>1.1173142411280423E-13</v>
      </c>
      <c r="CV191" s="13">
        <f t="shared" si="173"/>
        <v>1.6569896290553793E-12</v>
      </c>
      <c r="CW191" s="20">
        <f t="shared" si="174"/>
        <v>3.0805225009345862E-12</v>
      </c>
      <c r="CX191" s="59">
        <f t="shared" si="122"/>
        <v>289.72306278834913</v>
      </c>
      <c r="CY191" s="59">
        <f ca="1">AVERAGE(OFFSET($CX$3,0,0,'Données projet'!$E$13+1,1))-AVERAGE(OFFSET($H$3,0,0,'Données projet'!$E$13+1,1))</f>
        <v>260.25859566735949</v>
      </c>
      <c r="CZ191" s="59">
        <f t="shared" si="150"/>
        <v>256.93649773468667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7.9368575799438439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7.9368575799438439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-2.2737367544323206E-13</v>
      </c>
      <c r="DP191" s="17">
        <f>DO191*VLOOKUP('Données projet'!$B$14,Paramètres!$A$1:$I$89,3,0)*VLOOKUP('Données projet'!$B$14,Paramètres!$A$1:$I$89,5,0)</f>
        <v>-1.3005774235352875E-13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349.56396446903</v>
      </c>
      <c r="DU191" s="59">
        <f t="shared" si="152"/>
        <v>270.64279448634522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26.5503222939682</v>
      </c>
      <c r="EB191" s="21">
        <f>EXP(-LN(2)/25)*EB190+(1-EXP(-LN(2)/25))/(LN(2)/25)*Calculateur!DW191*Calculateur!DY191*VLOOKUP('Données projet'!$B$14,Paramètres!$A$1:$I$89,3,0)*0.475*44/12</f>
        <v>6.6869304969144601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33.237252790882664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375.89365709113105</v>
      </c>
      <c r="EP191" s="59">
        <f t="shared" si="154"/>
        <v>279.39056561403834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19.613602537372451</v>
      </c>
      <c r="EW191" s="21">
        <f>EXP(-LN(2)/25)*EW190+(1-EXP(-LN(2)/25))/(LN(2)/25)*Calculateur!ER191*Calculateur!ET191*VLOOKUP('Données projet'!$B$15,Paramètres!$A$1:$I$89,3,0)*0.475*44/12</f>
        <v>4.1512890055564089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23.764891542928858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-1.1368683772161603E-13</v>
      </c>
      <c r="FF191" s="17">
        <f>FE191*VLOOKUP('Données projet'!$B$16,Paramètres!$A$1:$I$89,3,0)*VLOOKUP('Données projet'!$B$16,Paramètres!$A$1:$I$89,5,0)</f>
        <v>-6.7984728957526396E-14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319.29539841078537</v>
      </c>
      <c r="FK191" s="59">
        <f t="shared" si="156"/>
        <v>327.26871144121412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10.962412056495948</v>
      </c>
      <c r="FR191" s="21">
        <f>EXP(-LN(2)/25)*FR190+(1-EXP(-LN(2)/25))/(LN(2)/25)*Calculateur!FM191*Calculateur!FO191*VLOOKUP('Données projet'!$B$16,Paramètres!$A$1:$I$89,3,0)*0.475*44/12</f>
        <v>2.4642435950211428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13.426655651517091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2.2737367544323206E-13</v>
      </c>
      <c r="GA191" s="17">
        <f>FZ191*VLOOKUP('Données projet'!$B$17,Paramètres!$A$1:$I$89,3,0)*VLOOKUP('Données projet'!$B$17,Paramètres!$A$1:$I$89,5,0)</f>
        <v>1.0049916454590858E-13</v>
      </c>
      <c r="GB191" s="13">
        <f t="shared" si="185"/>
        <v>1.5089081593838289E-12</v>
      </c>
      <c r="GC191" s="20">
        <f t="shared" si="186"/>
        <v>2.8030510891776262E-12</v>
      </c>
      <c r="GD191" s="59">
        <f t="shared" si="134"/>
        <v>289.72306278834884</v>
      </c>
      <c r="GE191" s="59">
        <f ca="1">AVERAGE(OFFSET($GD$3,0,0,'Données projet'!$E$17+1,1))-AVERAGE(OFFSET($H$3,0,0,'Données projet'!$E$17+1,1))</f>
        <v>342.89128067483233</v>
      </c>
      <c r="GF191" s="59">
        <f t="shared" si="158"/>
        <v>453.47615302202996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13.083282637171793</v>
      </c>
      <c r="GM191" s="21">
        <f>EXP(-LN(2)/25)*GM190+(1-EXP(-LN(2)/25))/(LN(2)/25)*Calculateur!GH191*Calculateur!GJ191*VLOOKUP('Données projet'!$B$17,Paramètres!$A$1:$I$89,3,0)*0.475*44/12</f>
        <v>3.3760457078644839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16.459328345036276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69.015380760458015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>
        <f>GU191*VLOOKUP('Données projet'!$B$18,Paramètres!$A$1:$I$89,3,0)*VLOOKUP('Données projet'!$B$18,Paramètres!$A$1:$I$89,5,0)</f>
        <v>0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375.89365709113105</v>
      </c>
      <c r="HA191" s="59">
        <f t="shared" si="160"/>
        <v>279.39056561403834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19.613602537372451</v>
      </c>
      <c r="HH191" s="21">
        <f>EXP(-LN(2)/25)*HH190+(1-EXP(-LN(2)/25))/(LN(2)/25)*Calculateur!HC191*Calculateur!HE191*VLOOKUP('Données projet'!$B$18,Paramètres!$A$1:$I$89,3,0)*0.475*44/12</f>
        <v>4.1512890055564089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23.764891542928858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178.09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4.3717136577470225E-13</v>
      </c>
      <c r="P192" s="13">
        <f t="shared" si="141"/>
        <v>5.5313598682231701E-12</v>
      </c>
      <c r="Q192" s="20">
        <f t="shared" si="162"/>
        <v>1.039519189921296E-11</v>
      </c>
      <c r="R192" s="59">
        <f t="shared" si="109"/>
        <v>289.78569291095619</v>
      </c>
      <c r="S192" s="59">
        <f ca="1">AVERAGE(OFFSET($R$3,0,0,'Données projet'!$E$9+1,1))-AVERAGE(OFFSET($H$3,0,0,'Données projet'!$E$9+1,1))</f>
        <v>631.31712308065664</v>
      </c>
      <c r="T192" s="59">
        <f t="shared" si="142"/>
        <v>290.92244624361285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165.21284319946867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165.21284319946867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-2.8421709430404007E-14</v>
      </c>
      <c r="AJ192" s="13">
        <f>AI192*VLOOKUP('Données projet'!$B$10,Paramètres!$A$1:$I$89,3,0)*VLOOKUP('Données projet'!$B$10,Paramètres!$A$1:$I$89,5,0)</f>
        <v>-2.3942448024172337E-14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401.19166052471473</v>
      </c>
      <c r="AO192" s="59">
        <f t="shared" si="144"/>
        <v>271.10067497534271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37.427991268149441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37.427991268149441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4.8993342716130437E-13</v>
      </c>
      <c r="BF192" s="13">
        <f t="shared" si="167"/>
        <v>6.1172634040517391E-12</v>
      </c>
      <c r="BG192" s="20">
        <f t="shared" si="168"/>
        <v>1.1507534481029384E-11</v>
      </c>
      <c r="BH192" s="59">
        <f t="shared" si="116"/>
        <v>289.78569291095727</v>
      </c>
      <c r="BI192" s="59">
        <f ca="1">AVERAGE(OFFSET($BH$3,0,0,'Données projet'!$E$11+1,1))-AVERAGE(OFFSET($H$3,0,0,'Données projet'!$E$11+1,1))</f>
        <v>695.93700574708214</v>
      </c>
      <c r="BJ192" s="59">
        <f t="shared" si="146"/>
        <v>318.31690229208471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185.15232427526661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185.15232427526661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1.7053025658242404E-13</v>
      </c>
      <c r="BZ192" s="13">
        <f>BY192*VLOOKUP('Données projet'!$B$12,Paramètres!$A$1:$I$89,3,0)*VLOOKUP('Données projet'!$B$12,Paramètres!$A$1:$I$89,5,0)</f>
        <v>1.1173142411280423E-13</v>
      </c>
      <c r="CA192" s="13">
        <f t="shared" si="170"/>
        <v>1.6569896290553793E-12</v>
      </c>
      <c r="CB192" s="20">
        <f t="shared" si="171"/>
        <v>3.0805225009345862E-12</v>
      </c>
      <c r="CC192" s="59">
        <f t="shared" si="119"/>
        <v>289.78569291094885</v>
      </c>
      <c r="CD192" s="59">
        <f ca="1">AVERAGE(OFFSET($CC$3,0,0,'Données projet'!$E$12+1,1))-AVERAGE(OFFSET($H$3,0,0,'Données projet'!$E$12+1,1))</f>
        <v>260.25859566735949</v>
      </c>
      <c r="CE192" s="59">
        <f t="shared" si="148"/>
        <v>256.93649773468667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7.7812206438062592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7.7812206438062592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1.7053025658242404E-13</v>
      </c>
      <c r="CU192" s="17">
        <f>CT192*VLOOKUP('Données projet'!$B$13,Paramètres!$A$1:$I$89,3,0)*VLOOKUP('Données projet'!$B$13,Paramètres!$A$1:$I$89,5,0)</f>
        <v>1.1173142411280423E-13</v>
      </c>
      <c r="CV192" s="13">
        <f t="shared" si="173"/>
        <v>1.6569896290553793E-12</v>
      </c>
      <c r="CW192" s="20">
        <f t="shared" si="174"/>
        <v>3.0805225009345862E-12</v>
      </c>
      <c r="CX192" s="59">
        <f t="shared" si="122"/>
        <v>289.78569291094885</v>
      </c>
      <c r="CY192" s="59">
        <f ca="1">AVERAGE(OFFSET($CX$3,0,0,'Données projet'!$E$13+1,1))-AVERAGE(OFFSET($H$3,0,0,'Données projet'!$E$13+1,1))</f>
        <v>260.25859566735949</v>
      </c>
      <c r="CZ192" s="59">
        <f t="shared" si="150"/>
        <v>256.93649773468667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7.7812206438062592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7.7812206438062592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-2.2737367544323206E-13</v>
      </c>
      <c r="DP192" s="17">
        <f>DO192*VLOOKUP('Données projet'!$B$14,Paramètres!$A$1:$I$89,3,0)*VLOOKUP('Données projet'!$B$14,Paramètres!$A$1:$I$89,5,0)</f>
        <v>-1.3005774235352875E-13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349.56396446903</v>
      </c>
      <c r="DU192" s="59">
        <f t="shared" si="152"/>
        <v>270.64279448634522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26.029686667881048</v>
      </c>
      <c r="EB192" s="21">
        <f>EXP(-LN(2)/25)*EB191+(1-EXP(-LN(2)/25))/(LN(2)/25)*Calculateur!DW192*Calculateur!DY192*VLOOKUP('Données projet'!$B$14,Paramètres!$A$1:$I$89,3,0)*0.475*44/12</f>
        <v>6.5040760308259422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32.533762698706994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375.89365709113105</v>
      </c>
      <c r="EP192" s="59">
        <f t="shared" si="154"/>
        <v>279.39056561403834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19.228991754730867</v>
      </c>
      <c r="EW192" s="21">
        <f>EXP(-LN(2)/25)*EW191+(1-EXP(-LN(2)/25))/(LN(2)/25)*Calculateur!ER192*Calculateur!ET192*VLOOKUP('Données projet'!$B$15,Paramètres!$A$1:$I$89,3,0)*0.475*44/12</f>
        <v>4.0377717893926679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23.266763544123535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-1.1368683772161603E-13</v>
      </c>
      <c r="FF192" s="17">
        <f>FE192*VLOOKUP('Données projet'!$B$16,Paramètres!$A$1:$I$89,3,0)*VLOOKUP('Données projet'!$B$16,Paramètres!$A$1:$I$89,5,0)</f>
        <v>-6.7984728957526396E-14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319.29539841078537</v>
      </c>
      <c r="FK192" s="59">
        <f t="shared" si="156"/>
        <v>327.26871144121412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10.747445842479189</v>
      </c>
      <c r="FR192" s="21">
        <f>EXP(-LN(2)/25)*FR191+(1-EXP(-LN(2)/25))/(LN(2)/25)*Calculateur!FM192*Calculateur!FO192*VLOOKUP('Données projet'!$B$16,Paramètres!$A$1:$I$89,3,0)*0.475*44/12</f>
        <v>2.3968587243263513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13.144304566805541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2.2737367544323206E-13</v>
      </c>
      <c r="GA192" s="17">
        <f>FZ192*VLOOKUP('Données projet'!$B$17,Paramètres!$A$1:$I$89,3,0)*VLOOKUP('Données projet'!$B$17,Paramètres!$A$1:$I$89,5,0)</f>
        <v>1.0049916454590858E-13</v>
      </c>
      <c r="GB192" s="13">
        <f t="shared" si="185"/>
        <v>1.5089081593838289E-12</v>
      </c>
      <c r="GC192" s="20">
        <f t="shared" si="186"/>
        <v>2.8030510891776262E-12</v>
      </c>
      <c r="GD192" s="59">
        <f t="shared" si="134"/>
        <v>289.78569291094857</v>
      </c>
      <c r="GE192" s="59">
        <f ca="1">AVERAGE(OFFSET($GD$3,0,0,'Données projet'!$E$17+1,1))-AVERAGE(OFFSET($H$3,0,0,'Données projet'!$E$17+1,1))</f>
        <v>342.89128067483233</v>
      </c>
      <c r="GF192" s="59">
        <f t="shared" si="158"/>
        <v>453.47615302202996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12.826727444671302</v>
      </c>
      <c r="GM192" s="21">
        <f>EXP(-LN(2)/25)*GM191+(1-EXP(-LN(2)/25))/(LN(2)/25)*Calculateur!GH192*Calculateur!GJ192*VLOOKUP('Données projet'!$B$17,Paramètres!$A$1:$I$89,3,0)*0.475*44/12</f>
        <v>3.2837275604444018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16.110455005115703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69.032461702985216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>
        <f>GU192*VLOOKUP('Données projet'!$B$18,Paramètres!$A$1:$I$89,3,0)*VLOOKUP('Données projet'!$B$18,Paramètres!$A$1:$I$89,5,0)</f>
        <v>0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375.89365709113105</v>
      </c>
      <c r="HA192" s="59">
        <f t="shared" si="160"/>
        <v>279.39056561403834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19.228991754730867</v>
      </c>
      <c r="HH192" s="21">
        <f>EXP(-LN(2)/25)*HH191+(1-EXP(-LN(2)/25))/(LN(2)/25)*Calculateur!HC192*Calculateur!HE192*VLOOKUP('Données projet'!$B$18,Paramètres!$A$1:$I$89,3,0)*0.475*44/12</f>
        <v>4.0377717893926679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23.266763544123535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178.09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4.3717136577470225E-13</v>
      </c>
      <c r="P193" s="13">
        <f t="shared" si="141"/>
        <v>5.5313598682231701E-12</v>
      </c>
      <c r="Q193" s="20">
        <f t="shared" si="162"/>
        <v>1.039519189921296E-11</v>
      </c>
      <c r="R193" s="59">
        <f t="shared" si="109"/>
        <v>289.84723654094887</v>
      </c>
      <c r="S193" s="59">
        <f ca="1">AVERAGE(OFFSET($R$3,0,0,'Données projet'!$E$9+1,1))-AVERAGE(OFFSET($H$3,0,0,'Données projet'!$E$9+1,1))</f>
        <v>631.31712308065664</v>
      </c>
      <c r="T193" s="59">
        <f t="shared" si="142"/>
        <v>290.92244624361285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161.97312011421124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161.97312011421124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-2.8421709430404007E-14</v>
      </c>
      <c r="AJ193" s="13">
        <f>AI193*VLOOKUP('Données projet'!$B$10,Paramètres!$A$1:$I$89,3,0)*VLOOKUP('Données projet'!$B$10,Paramètres!$A$1:$I$89,5,0)</f>
        <v>-2.3942448024172337E-14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401.19166052471473</v>
      </c>
      <c r="AO193" s="59">
        <f t="shared" si="144"/>
        <v>271.10067497534271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36.694051188201549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36.694051188201549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4.8993342716130437E-13</v>
      </c>
      <c r="BF193" s="13">
        <f t="shared" si="167"/>
        <v>6.1172634040517391E-12</v>
      </c>
      <c r="BG193" s="20">
        <f t="shared" si="168"/>
        <v>1.1507534481029384E-11</v>
      </c>
      <c r="BH193" s="59">
        <f t="shared" si="116"/>
        <v>289.84723654094995</v>
      </c>
      <c r="BI193" s="59">
        <f ca="1">AVERAGE(OFFSET($BH$3,0,0,'Données projet'!$E$11+1,1))-AVERAGE(OFFSET($H$3,0,0,'Données projet'!$E$11+1,1))</f>
        <v>695.93700574708214</v>
      </c>
      <c r="BJ193" s="59">
        <f t="shared" si="146"/>
        <v>318.31690229208471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181.52160012799536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181.52160012799536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1.7053025658242404E-13</v>
      </c>
      <c r="BZ193" s="13">
        <f>BY193*VLOOKUP('Données projet'!$B$12,Paramètres!$A$1:$I$89,3,0)*VLOOKUP('Données projet'!$B$12,Paramètres!$A$1:$I$89,5,0)</f>
        <v>1.1173142411280423E-13</v>
      </c>
      <c r="CA193" s="13">
        <f t="shared" si="170"/>
        <v>1.6569896290553793E-12</v>
      </c>
      <c r="CB193" s="20">
        <f t="shared" si="171"/>
        <v>3.0805225009345862E-12</v>
      </c>
      <c r="CC193" s="59">
        <f t="shared" si="119"/>
        <v>289.84723654094154</v>
      </c>
      <c r="CD193" s="59">
        <f ca="1">AVERAGE(OFFSET($CC$3,0,0,'Données projet'!$E$12+1,1))-AVERAGE(OFFSET($H$3,0,0,'Données projet'!$E$12+1,1))</f>
        <v>260.25859566735949</v>
      </c>
      <c r="CE193" s="59">
        <f t="shared" si="148"/>
        <v>256.93649773468667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7.6286356530571755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7.6286356530571755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1.7053025658242404E-13</v>
      </c>
      <c r="CU193" s="17">
        <f>CT193*VLOOKUP('Données projet'!$B$13,Paramètres!$A$1:$I$89,3,0)*VLOOKUP('Données projet'!$B$13,Paramètres!$A$1:$I$89,5,0)</f>
        <v>1.1173142411280423E-13</v>
      </c>
      <c r="CV193" s="13">
        <f t="shared" si="173"/>
        <v>1.6569896290553793E-12</v>
      </c>
      <c r="CW193" s="20">
        <f t="shared" si="174"/>
        <v>3.0805225009345862E-12</v>
      </c>
      <c r="CX193" s="59">
        <f t="shared" si="122"/>
        <v>289.84723654094154</v>
      </c>
      <c r="CY193" s="59">
        <f ca="1">AVERAGE(OFFSET($CX$3,0,0,'Données projet'!$E$13+1,1))-AVERAGE(OFFSET($H$3,0,0,'Données projet'!$E$13+1,1))</f>
        <v>260.25859566735949</v>
      </c>
      <c r="CZ193" s="59">
        <f t="shared" si="150"/>
        <v>256.93649773468667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7.6286356530571755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7.6286356530571755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-2.2737367544323206E-13</v>
      </c>
      <c r="DP193" s="17">
        <f>DO193*VLOOKUP('Données projet'!$B$14,Paramètres!$A$1:$I$89,3,0)*VLOOKUP('Données projet'!$B$14,Paramètres!$A$1:$I$89,5,0)</f>
        <v>-1.3005774235352875E-13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349.56396446903</v>
      </c>
      <c r="DU193" s="59">
        <f t="shared" si="152"/>
        <v>270.64279448634522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25.519260388865089</v>
      </c>
      <c r="EB193" s="21">
        <f>EXP(-LN(2)/25)*EB192+(1-EXP(-LN(2)/25))/(LN(2)/25)*Calculateur!DW193*Calculateur!DY193*VLOOKUP('Données projet'!$B$14,Paramètres!$A$1:$I$89,3,0)*0.475*44/12</f>
        <v>6.3262217297285135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31.845482118593601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375.89365709113105</v>
      </c>
      <c r="EP193" s="59">
        <f t="shared" si="154"/>
        <v>279.39056561403834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18.851922954947469</v>
      </c>
      <c r="EW193" s="21">
        <f>EXP(-LN(2)/25)*EW192+(1-EXP(-LN(2)/25))/(LN(2)/25)*Calculateur!ER193*Calculateur!ET193*VLOOKUP('Données projet'!$B$15,Paramètres!$A$1:$I$89,3,0)*0.475*44/12</f>
        <v>3.9273587074745353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22.779281662422004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-1.1368683772161603E-13</v>
      </c>
      <c r="FF193" s="17">
        <f>FE193*VLOOKUP('Données projet'!$B$16,Paramètres!$A$1:$I$89,3,0)*VLOOKUP('Données projet'!$B$16,Paramètres!$A$1:$I$89,5,0)</f>
        <v>-6.7984728957526396E-14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319.29539841078537</v>
      </c>
      <c r="FK193" s="59">
        <f t="shared" si="156"/>
        <v>327.26871144121412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10.536694984802855</v>
      </c>
      <c r="FR193" s="21">
        <f>EXP(-LN(2)/25)*FR192+(1-EXP(-LN(2)/25))/(LN(2)/25)*Calculateur!FM193*Calculateur!FO193*VLOOKUP('Données projet'!$B$16,Paramètres!$A$1:$I$89,3,0)*0.475*44/12</f>
        <v>2.3313164964643249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12.86801148126718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2.2737367544323206E-13</v>
      </c>
      <c r="GA193" s="17">
        <f>FZ193*VLOOKUP('Données projet'!$B$17,Paramètres!$A$1:$I$89,3,0)*VLOOKUP('Données projet'!$B$17,Paramètres!$A$1:$I$89,5,0)</f>
        <v>1.0049916454590858E-13</v>
      </c>
      <c r="GB193" s="13">
        <f t="shared" si="185"/>
        <v>1.5089081593838289E-12</v>
      </c>
      <c r="GC193" s="20">
        <f t="shared" si="186"/>
        <v>2.8030510891776262E-12</v>
      </c>
      <c r="GD193" s="59">
        <f t="shared" si="134"/>
        <v>289.84723654094125</v>
      </c>
      <c r="GE193" s="59">
        <f ca="1">AVERAGE(OFFSET($GD$3,0,0,'Données projet'!$E$17+1,1))-AVERAGE(OFFSET($H$3,0,0,'Données projet'!$E$17+1,1))</f>
        <v>342.89128067483233</v>
      </c>
      <c r="GF193" s="59">
        <f t="shared" si="158"/>
        <v>453.47615302202996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12.57520314301253</v>
      </c>
      <c r="GM193" s="21">
        <f>EXP(-LN(2)/25)*GM192+(1-EXP(-LN(2)/25))/(LN(2)/25)*Calculateur!GH193*Calculateur!GJ193*VLOOKUP('Données projet'!$B$17,Paramètres!$A$1:$I$89,3,0)*0.475*44/12</f>
        <v>3.1939338576203222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15.769137000632853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69.049246329346857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>
        <f>GU193*VLOOKUP('Données projet'!$B$18,Paramètres!$A$1:$I$89,3,0)*VLOOKUP('Données projet'!$B$18,Paramètres!$A$1:$I$89,5,0)</f>
        <v>0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375.89365709113105</v>
      </c>
      <c r="HA193" s="59">
        <f t="shared" si="160"/>
        <v>279.39056561403834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18.851922954947469</v>
      </c>
      <c r="HH193" s="21">
        <f>EXP(-LN(2)/25)*HH192+(1-EXP(-LN(2)/25))/(LN(2)/25)*Calculateur!HC193*Calculateur!HE193*VLOOKUP('Données projet'!$B$18,Paramètres!$A$1:$I$89,3,0)*0.475*44/12</f>
        <v>3.9273587074745353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22.779281662422004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178.09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4.3717136577470225E-13</v>
      </c>
      <c r="P194" s="13">
        <f t="shared" si="141"/>
        <v>5.5313598682231701E-12</v>
      </c>
      <c r="Q194" s="20">
        <f t="shared" si="162"/>
        <v>1.039519189921296E-11</v>
      </c>
      <c r="R194" s="59">
        <f t="shared" si="109"/>
        <v>289.90771252655207</v>
      </c>
      <c r="S194" s="59">
        <f ca="1">AVERAGE(OFFSET($R$3,0,0,'Données projet'!$E$9+1,1))-AVERAGE(OFFSET($H$3,0,0,'Données projet'!$E$9+1,1))</f>
        <v>631.31712308065664</v>
      </c>
      <c r="T194" s="59">
        <f t="shared" si="142"/>
        <v>290.92244624361285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158.79692602261974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158.79692602261974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-2.8421709430404007E-14</v>
      </c>
      <c r="AJ194" s="13">
        <f>AI194*VLOOKUP('Données projet'!$B$10,Paramètres!$A$1:$I$89,3,0)*VLOOKUP('Données projet'!$B$10,Paramètres!$A$1:$I$89,5,0)</f>
        <v>-2.3942448024172337E-14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401.19166052471473</v>
      </c>
      <c r="AO194" s="59">
        <f t="shared" si="144"/>
        <v>271.10067497534271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35.974503225562188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35.974503225562188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4.8993342716130437E-13</v>
      </c>
      <c r="BF194" s="13">
        <f t="shared" si="167"/>
        <v>6.1172634040517391E-12</v>
      </c>
      <c r="BG194" s="20">
        <f t="shared" si="168"/>
        <v>1.1507534481029384E-11</v>
      </c>
      <c r="BH194" s="59">
        <f t="shared" si="116"/>
        <v>289.90771252655315</v>
      </c>
      <c r="BI194" s="59">
        <f ca="1">AVERAGE(OFFSET($BH$3,0,0,'Données projet'!$E$11+1,1))-AVERAGE(OFFSET($H$3,0,0,'Données projet'!$E$11+1,1))</f>
        <v>695.93700574708214</v>
      </c>
      <c r="BJ194" s="59">
        <f t="shared" si="146"/>
        <v>318.31690229208471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177.96207226672902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177.96207226672902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1.7053025658242404E-13</v>
      </c>
      <c r="BZ194" s="13">
        <f>BY194*VLOOKUP('Données projet'!$B$12,Paramètres!$A$1:$I$89,3,0)*VLOOKUP('Données projet'!$B$12,Paramètres!$A$1:$I$89,5,0)</f>
        <v>1.1173142411280423E-13</v>
      </c>
      <c r="CA194" s="13">
        <f t="shared" si="170"/>
        <v>1.6569896290553793E-12</v>
      </c>
      <c r="CB194" s="20">
        <f t="shared" si="171"/>
        <v>3.0805225009345862E-12</v>
      </c>
      <c r="CC194" s="59">
        <f t="shared" si="119"/>
        <v>289.90771252654474</v>
      </c>
      <c r="CD194" s="59">
        <f ca="1">AVERAGE(OFFSET($CC$3,0,0,'Données projet'!$E$12+1,1))-AVERAGE(OFFSET($H$3,0,0,'Données projet'!$E$12+1,1))</f>
        <v>260.25859566735949</v>
      </c>
      <c r="CE194" s="59">
        <f t="shared" si="148"/>
        <v>256.93649773468667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7.4790427609090262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7.4790427609090262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1.7053025658242404E-13</v>
      </c>
      <c r="CU194" s="17">
        <f>CT194*VLOOKUP('Données projet'!$B$13,Paramètres!$A$1:$I$89,3,0)*VLOOKUP('Données projet'!$B$13,Paramètres!$A$1:$I$89,5,0)</f>
        <v>1.1173142411280423E-13</v>
      </c>
      <c r="CV194" s="13">
        <f t="shared" si="173"/>
        <v>1.6569896290553793E-12</v>
      </c>
      <c r="CW194" s="20">
        <f t="shared" si="174"/>
        <v>3.0805225009345862E-12</v>
      </c>
      <c r="CX194" s="59">
        <f t="shared" si="122"/>
        <v>289.90771252654474</v>
      </c>
      <c r="CY194" s="59">
        <f ca="1">AVERAGE(OFFSET($CX$3,0,0,'Données projet'!$E$13+1,1))-AVERAGE(OFFSET($H$3,0,0,'Données projet'!$E$13+1,1))</f>
        <v>260.25859566735949</v>
      </c>
      <c r="CZ194" s="59">
        <f t="shared" si="150"/>
        <v>256.93649773468667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7.4790427609090262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7.4790427609090262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-2.2737367544323206E-13</v>
      </c>
      <c r="DP194" s="17">
        <f>DO194*VLOOKUP('Données projet'!$B$14,Paramètres!$A$1:$I$89,3,0)*VLOOKUP('Données projet'!$B$14,Paramètres!$A$1:$I$89,5,0)</f>
        <v>-1.3005774235352875E-13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349.56396446903</v>
      </c>
      <c r="DU194" s="59">
        <f t="shared" si="152"/>
        <v>270.64279448634522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25.018843257851344</v>
      </c>
      <c r="EB194" s="21">
        <f>EXP(-LN(2)/25)*EB193+(1-EXP(-LN(2)/25))/(LN(2)/25)*Calculateur!DW194*Calculateur!DY194*VLOOKUP('Données projet'!$B$14,Paramètres!$A$1:$I$89,3,0)*0.475*44/12</f>
        <v>6.1532308638475453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31.172074121698891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375.89365709113105</v>
      </c>
      <c r="EP194" s="59">
        <f t="shared" si="154"/>
        <v>279.39056561403834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18.482248244338564</v>
      </c>
      <c r="EW194" s="21">
        <f>EXP(-LN(2)/25)*EW193+(1-EXP(-LN(2)/25))/(LN(2)/25)*Calculateur!ER194*Calculateur!ET194*VLOOKUP('Données projet'!$B$15,Paramètres!$A$1:$I$89,3,0)*0.475*44/12</f>
        <v>3.8199648770878256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22.302213121426391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-1.1368683772161603E-13</v>
      </c>
      <c r="FF194" s="17">
        <f>FE194*VLOOKUP('Données projet'!$B$16,Paramètres!$A$1:$I$89,3,0)*VLOOKUP('Données projet'!$B$16,Paramètres!$A$1:$I$89,5,0)</f>
        <v>-6.7984728957526396E-14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319.29539841078537</v>
      </c>
      <c r="FK194" s="59">
        <f t="shared" si="156"/>
        <v>327.26871144121412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10.330076822900223</v>
      </c>
      <c r="FR194" s="21">
        <f>EXP(-LN(2)/25)*FR193+(1-EXP(-LN(2)/25))/(LN(2)/25)*Calculateur!FM194*Calculateur!FO194*VLOOKUP('Données projet'!$B$16,Paramètres!$A$1:$I$89,3,0)*0.475*44/12</f>
        <v>2.2675665242699017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12.597643347170123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2.2737367544323206E-13</v>
      </c>
      <c r="GA194" s="17">
        <f>FZ194*VLOOKUP('Données projet'!$B$17,Paramètres!$A$1:$I$89,3,0)*VLOOKUP('Données projet'!$B$17,Paramètres!$A$1:$I$89,5,0)</f>
        <v>1.0049916454590858E-13</v>
      </c>
      <c r="GB194" s="13">
        <f t="shared" si="185"/>
        <v>1.5089081593838289E-12</v>
      </c>
      <c r="GC194" s="20">
        <f t="shared" si="186"/>
        <v>2.8030510891776262E-12</v>
      </c>
      <c r="GD194" s="59">
        <f t="shared" si="134"/>
        <v>289.90771252654446</v>
      </c>
      <c r="GE194" s="59">
        <f ca="1">AVERAGE(OFFSET($GD$3,0,0,'Données projet'!$E$17+1,1))-AVERAGE(OFFSET($H$3,0,0,'Données projet'!$E$17+1,1))</f>
        <v>342.89128067483233</v>
      </c>
      <c r="GF194" s="59">
        <f t="shared" si="158"/>
        <v>453.47615302202996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12.32861107949461</v>
      </c>
      <c r="GM194" s="21">
        <f>EXP(-LN(2)/25)*GM193+(1-EXP(-LN(2)/25))/(LN(2)/25)*Calculateur!GH194*Calculateur!GJ194*VLOOKUP('Données projet'!$B$17,Paramètres!$A$1:$I$89,3,0)*0.475*44/12</f>
        <v>3.1065955683220126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15.435206647816623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69.065739779965909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>
        <f>GU194*VLOOKUP('Données projet'!$B$18,Paramètres!$A$1:$I$89,3,0)*VLOOKUP('Données projet'!$B$18,Paramètres!$A$1:$I$89,5,0)</f>
        <v>0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375.89365709113105</v>
      </c>
      <c r="HA194" s="59">
        <f t="shared" si="160"/>
        <v>279.39056561403834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18.482248244338564</v>
      </c>
      <c r="HH194" s="21">
        <f>EXP(-LN(2)/25)*HH193+(1-EXP(-LN(2)/25))/(LN(2)/25)*Calculateur!HC194*Calculateur!HE194*VLOOKUP('Données projet'!$B$18,Paramètres!$A$1:$I$89,3,0)*0.475*44/12</f>
        <v>3.8199648770878256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22.302213121426391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178.09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4.3717136577470225E-13</v>
      </c>
      <c r="P195" s="13">
        <f t="shared" si="141"/>
        <v>5.5313598682231701E-12</v>
      </c>
      <c r="Q195" s="20">
        <f t="shared" si="162"/>
        <v>1.039519189921296E-11</v>
      </c>
      <c r="R195" s="59">
        <f t="shared" ref="R195:R203" si="191">Q195+(I195+J195)*44/12</f>
        <v>289.96713938900916</v>
      </c>
      <c r="S195" s="59">
        <f ca="1">AVERAGE(OFFSET($R$3,0,0,'Données projet'!$E$9+1,1))-AVERAGE(OFFSET($H$3,0,0,'Données projet'!$E$9+1,1))</f>
        <v>631.31712308065664</v>
      </c>
      <c r="T195" s="59">
        <f t="shared" si="142"/>
        <v>290.92244624361285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155.68301515987724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155.68301515987724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-2.8421709430404007E-14</v>
      </c>
      <c r="AJ195" s="13">
        <f>AI195*VLOOKUP('Données projet'!$B$10,Paramètres!$A$1:$I$89,3,0)*VLOOKUP('Données projet'!$B$10,Paramètres!$A$1:$I$89,5,0)</f>
        <v>-2.3942448024172337E-14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401.19166052471473</v>
      </c>
      <c r="AO195" s="59">
        <f t="shared" si="144"/>
        <v>271.10067497534271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35.26906515958926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35.26906515958926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4.8993342716130437E-13</v>
      </c>
      <c r="BF195" s="13">
        <f t="shared" si="167"/>
        <v>6.1172634040517391E-12</v>
      </c>
      <c r="BG195" s="20">
        <f t="shared" si="168"/>
        <v>1.1507534481029384E-11</v>
      </c>
      <c r="BH195" s="59">
        <f t="shared" si="116"/>
        <v>289.96713938901024</v>
      </c>
      <c r="BI195" s="59">
        <f ca="1">AVERAGE(OFFSET($BH$3,0,0,'Données projet'!$E$11+1,1))-AVERAGE(OFFSET($H$3,0,0,'Données projet'!$E$11+1,1))</f>
        <v>695.93700574708214</v>
      </c>
      <c r="BJ195" s="59">
        <f t="shared" si="146"/>
        <v>318.31690229208471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174.47234457572452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174.47234457572452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1.7053025658242404E-13</v>
      </c>
      <c r="BZ195" s="13">
        <f>BY195*VLOOKUP('Données projet'!$B$12,Paramètres!$A$1:$I$89,3,0)*VLOOKUP('Données projet'!$B$12,Paramètres!$A$1:$I$89,5,0)</f>
        <v>1.1173142411280423E-13</v>
      </c>
      <c r="CA195" s="13">
        <f t="shared" si="170"/>
        <v>1.6569896290553793E-12</v>
      </c>
      <c r="CB195" s="20">
        <f t="shared" si="171"/>
        <v>3.0805225009345862E-12</v>
      </c>
      <c r="CC195" s="59">
        <f t="shared" si="119"/>
        <v>289.96713938900183</v>
      </c>
      <c r="CD195" s="59">
        <f ca="1">AVERAGE(OFFSET($CC$3,0,0,'Données projet'!$E$12+1,1))-AVERAGE(OFFSET($H$3,0,0,'Données projet'!$E$12+1,1))</f>
        <v>260.25859566735949</v>
      </c>
      <c r="CE195" s="59">
        <f t="shared" si="148"/>
        <v>256.93649773468667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7.3323832941332476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7.3323832941332476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1.7053025658242404E-13</v>
      </c>
      <c r="CU195" s="17">
        <f>CT195*VLOOKUP('Données projet'!$B$13,Paramètres!$A$1:$I$89,3,0)*VLOOKUP('Données projet'!$B$13,Paramètres!$A$1:$I$89,5,0)</f>
        <v>1.1173142411280423E-13</v>
      </c>
      <c r="CV195" s="13">
        <f t="shared" si="173"/>
        <v>1.6569896290553793E-12</v>
      </c>
      <c r="CW195" s="20">
        <f t="shared" si="174"/>
        <v>3.0805225009345862E-12</v>
      </c>
      <c r="CX195" s="59">
        <f t="shared" si="122"/>
        <v>289.96713938900183</v>
      </c>
      <c r="CY195" s="59">
        <f ca="1">AVERAGE(OFFSET($CX$3,0,0,'Données projet'!$E$13+1,1))-AVERAGE(OFFSET($H$3,0,0,'Données projet'!$E$13+1,1))</f>
        <v>260.25859566735949</v>
      </c>
      <c r="CZ195" s="59">
        <f t="shared" si="150"/>
        <v>256.93649773468667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7.3323832941332476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7.3323832941332476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-2.2737367544323206E-13</v>
      </c>
      <c r="DP195" s="17">
        <f>DO195*VLOOKUP('Données projet'!$B$14,Paramètres!$A$1:$I$89,3,0)*VLOOKUP('Données projet'!$B$14,Paramètres!$A$1:$I$89,5,0)</f>
        <v>-1.3005774235352875E-13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349.56396446903</v>
      </c>
      <c r="DU195" s="59">
        <f t="shared" si="152"/>
        <v>270.64279448634522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24.528239001552468</v>
      </c>
      <c r="EB195" s="21">
        <f>EXP(-LN(2)/25)*EB194+(1-EXP(-LN(2)/25))/(LN(2)/25)*Calculateur!DW195*Calculateur!DY195*VLOOKUP('Données projet'!$B$14,Paramètres!$A$1:$I$89,3,0)*0.475*44/12</f>
        <v>5.9849704422912868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30.513209443843756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375.89365709113105</v>
      </c>
      <c r="EP195" s="59">
        <f t="shared" si="154"/>
        <v>279.39056561403834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18.119822629325391</v>
      </c>
      <c r="EW195" s="21">
        <f>EXP(-LN(2)/25)*EW194+(1-EXP(-LN(2)/25))/(LN(2)/25)*Calculateur!ER195*Calculateur!ET195*VLOOKUP('Données projet'!$B$15,Paramètres!$A$1:$I$89,3,0)*0.475*44/12</f>
        <v>3.7155077366406366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21.835330365966026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-1.1368683772161603E-13</v>
      </c>
      <c r="FF195" s="17">
        <f>FE195*VLOOKUP('Données projet'!$B$16,Paramètres!$A$1:$I$89,3,0)*VLOOKUP('Données projet'!$B$16,Paramètres!$A$1:$I$89,5,0)</f>
        <v>-6.7984728957526396E-14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319.29539841078537</v>
      </c>
      <c r="FK195" s="59">
        <f t="shared" si="156"/>
        <v>327.26871144121412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10.127510317127866</v>
      </c>
      <c r="FR195" s="21">
        <f>EXP(-LN(2)/25)*FR194+(1-EXP(-LN(2)/25))/(LN(2)/25)*Calculateur!FM195*Calculateur!FO195*VLOOKUP('Données projet'!$B$16,Paramètres!$A$1:$I$89,3,0)*0.475*44/12</f>
        <v>2.2055597984176005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12.333070115545468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2.2737367544323206E-13</v>
      </c>
      <c r="GA195" s="17">
        <f>FZ195*VLOOKUP('Données projet'!$B$17,Paramètres!$A$1:$I$89,3,0)*VLOOKUP('Données projet'!$B$17,Paramètres!$A$1:$I$89,5,0)</f>
        <v>1.0049916454590858E-13</v>
      </c>
      <c r="GB195" s="13">
        <f t="shared" si="185"/>
        <v>1.5089081593838289E-12</v>
      </c>
      <c r="GC195" s="20">
        <f t="shared" si="186"/>
        <v>2.8030510891776262E-12</v>
      </c>
      <c r="GD195" s="59">
        <f t="shared" si="134"/>
        <v>289.96713938900155</v>
      </c>
      <c r="GE195" s="59">
        <f ca="1">AVERAGE(OFFSET($GD$3,0,0,'Données projet'!$E$17+1,1))-AVERAGE(OFFSET($H$3,0,0,'Données projet'!$E$17+1,1))</f>
        <v>342.89128067483233</v>
      </c>
      <c r="GF195" s="59">
        <f t="shared" si="158"/>
        <v>453.47615302202996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12.08685453593597</v>
      </c>
      <c r="GM195" s="21">
        <f>EXP(-LN(2)/25)*GM194+(1-EXP(-LN(2)/25))/(LN(2)/25)*Calculateur!GH195*Calculateur!GJ195*VLOOKUP('Données projet'!$B$17,Paramètres!$A$1:$I$89,3,0)*0.475*44/12</f>
        <v>3.0216455491374865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15.108500085073457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69.081947106090567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>
        <f>GU195*VLOOKUP('Données projet'!$B$18,Paramètres!$A$1:$I$89,3,0)*VLOOKUP('Données projet'!$B$18,Paramètres!$A$1:$I$89,5,0)</f>
        <v>0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375.89365709113105</v>
      </c>
      <c r="HA195" s="59">
        <f t="shared" si="160"/>
        <v>279.39056561403834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18.119822629325391</v>
      </c>
      <c r="HH195" s="21">
        <f>EXP(-LN(2)/25)*HH194+(1-EXP(-LN(2)/25))/(LN(2)/25)*Calculateur!HC195*Calculateur!HE195*VLOOKUP('Données projet'!$B$18,Paramètres!$A$1:$I$89,3,0)*0.475*44/12</f>
        <v>3.7155077366406366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21.835330365966026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178.09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4.3717136577470225E-13</v>
      </c>
      <c r="P196" s="13">
        <f t="shared" si="141"/>
        <v>5.5313598682231701E-12</v>
      </c>
      <c r="Q196" s="20">
        <f t="shared" si="162"/>
        <v>1.039519189921296E-11</v>
      </c>
      <c r="R196" s="59">
        <f t="shared" si="191"/>
        <v>290.02553532826107</v>
      </c>
      <c r="S196" s="59">
        <f ca="1">AVERAGE(OFFSET($R$3,0,0,'Données projet'!$E$9+1,1))-AVERAGE(OFFSET($H$3,0,0,'Données projet'!$E$9+1,1))</f>
        <v>631.31712308065664</v>
      </c>
      <c r="T196" s="59">
        <f t="shared" si="142"/>
        <v>290.92244624361285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152.63016618985506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152.63016618985506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-2.8421709430404007E-14</v>
      </c>
      <c r="AJ196" s="13">
        <f>AI196*VLOOKUP('Données projet'!$B$10,Paramètres!$A$1:$I$89,3,0)*VLOOKUP('Données projet'!$B$10,Paramètres!$A$1:$I$89,5,0)</f>
        <v>-2.3942448024172337E-14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401.19166052471473</v>
      </c>
      <c r="AO196" s="59">
        <f t="shared" si="144"/>
        <v>271.10067497534271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34.577460303815329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34.577460303815329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4.8993342716130437E-13</v>
      </c>
      <c r="BF196" s="13">
        <f t="shared" si="167"/>
        <v>6.1172634040517391E-12</v>
      </c>
      <c r="BG196" s="20">
        <f t="shared" si="168"/>
        <v>1.1507534481029384E-11</v>
      </c>
      <c r="BH196" s="59">
        <f t="shared" ref="BH196:BH203" si="194">BG196+(AY196+AZ196)*44/12</f>
        <v>290.02553532826215</v>
      </c>
      <c r="BI196" s="59">
        <f ca="1">AVERAGE(OFFSET($BH$3,0,0,'Données projet'!$E$11+1,1))-AVERAGE(OFFSET($H$3,0,0,'Données projet'!$E$11+1,1))</f>
        <v>695.93700574708214</v>
      </c>
      <c r="BJ196" s="59">
        <f t="shared" si="146"/>
        <v>318.31690229208471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171.05104831621688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171.05104831621688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1.7053025658242404E-13</v>
      </c>
      <c r="BZ196" s="13">
        <f>BY196*VLOOKUP('Données projet'!$B$12,Paramètres!$A$1:$I$89,3,0)*VLOOKUP('Données projet'!$B$12,Paramètres!$A$1:$I$89,5,0)</f>
        <v>1.1173142411280423E-13</v>
      </c>
      <c r="CA196" s="13">
        <f t="shared" si="170"/>
        <v>1.6569896290553793E-12</v>
      </c>
      <c r="CB196" s="20">
        <f t="shared" si="171"/>
        <v>3.0805225009345862E-12</v>
      </c>
      <c r="CC196" s="59">
        <f t="shared" ref="CC196:CC203" si="195">CB196+(BT196+BU196)*44/12</f>
        <v>290.02553532825374</v>
      </c>
      <c r="CD196" s="59">
        <f ca="1">AVERAGE(OFFSET($CC$3,0,0,'Données projet'!$E$12+1,1))-AVERAGE(OFFSET($H$3,0,0,'Données projet'!$E$12+1,1))</f>
        <v>260.25859566735949</v>
      </c>
      <c r="CE196" s="59">
        <f t="shared" si="148"/>
        <v>256.93649773468667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7.1885997300474997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7.1885997300474997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1.7053025658242404E-13</v>
      </c>
      <c r="CU196" s="17">
        <f>CT196*VLOOKUP('Données projet'!$B$13,Paramètres!$A$1:$I$89,3,0)*VLOOKUP('Données projet'!$B$13,Paramètres!$A$1:$I$89,5,0)</f>
        <v>1.1173142411280423E-13</v>
      </c>
      <c r="CV196" s="13">
        <f t="shared" si="173"/>
        <v>1.6569896290553793E-12</v>
      </c>
      <c r="CW196" s="20">
        <f t="shared" si="174"/>
        <v>3.0805225009345862E-12</v>
      </c>
      <c r="CX196" s="59">
        <f t="shared" ref="CX196:CX203" si="196">CW196+(CO196+CP196)*44/12</f>
        <v>290.02553532825374</v>
      </c>
      <c r="CY196" s="59">
        <f ca="1">AVERAGE(OFFSET($CX$3,0,0,'Données projet'!$E$13+1,1))-AVERAGE(OFFSET($H$3,0,0,'Données projet'!$E$13+1,1))</f>
        <v>260.25859566735949</v>
      </c>
      <c r="CZ196" s="59">
        <f t="shared" si="150"/>
        <v>256.93649773468667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7.1885997300474997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7.1885997300474997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-2.2737367544323206E-13</v>
      </c>
      <c r="DP196" s="17">
        <f>DO196*VLOOKUP('Données projet'!$B$14,Paramètres!$A$1:$I$89,3,0)*VLOOKUP('Données projet'!$B$14,Paramètres!$A$1:$I$89,5,0)</f>
        <v>-1.3005774235352875E-13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349.56396446903</v>
      </c>
      <c r="DU196" s="59">
        <f t="shared" si="152"/>
        <v>270.64279448634522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24.047255195480563</v>
      </c>
      <c r="EB196" s="21">
        <f>EXP(-LN(2)/25)*EB195+(1-EXP(-LN(2)/25))/(LN(2)/25)*Calculateur!DW196*Calculateur!DY196*VLOOKUP('Données projet'!$B$14,Paramètres!$A$1:$I$89,3,0)*0.475*44/12</f>
        <v>5.8213111108109148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29.868566306291477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375.89365709113105</v>
      </c>
      <c r="EP196" s="59">
        <f t="shared" si="154"/>
        <v>279.39056561403834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17.764503959564831</v>
      </c>
      <c r="EW196" s="21">
        <f>EXP(-LN(2)/25)*EW195+(1-EXP(-LN(2)/25))/(LN(2)/25)*Calculateur!ER196*Calculateur!ET196*VLOOKUP('Données projet'!$B$15,Paramètres!$A$1:$I$89,3,0)*0.475*44/12</f>
        <v>3.6139069821921384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21.378410941756968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-1.1368683772161603E-13</v>
      </c>
      <c r="FF196" s="17">
        <f>FE196*VLOOKUP('Données projet'!$B$16,Paramètres!$A$1:$I$89,3,0)*VLOOKUP('Données projet'!$B$16,Paramètres!$A$1:$I$89,5,0)</f>
        <v>-6.7984728957526396E-14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319.29539841078537</v>
      </c>
      <c r="FK196" s="59">
        <f t="shared" si="156"/>
        <v>327.26871144121412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9.9289160169803363</v>
      </c>
      <c r="FR196" s="21">
        <f>EXP(-LN(2)/25)*FR195+(1-EXP(-LN(2)/25))/(LN(2)/25)*Calculateur!FM196*Calculateur!FO196*VLOOKUP('Données projet'!$B$16,Paramètres!$A$1:$I$89,3,0)*0.475*44/12</f>
        <v>2.1452486497445222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12.074164666724858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2.2737367544323206E-13</v>
      </c>
      <c r="GA196" s="17">
        <f>FZ196*VLOOKUP('Données projet'!$B$17,Paramètres!$A$1:$I$89,3,0)*VLOOKUP('Données projet'!$B$17,Paramètres!$A$1:$I$89,5,0)</f>
        <v>1.0049916454590858E-13</v>
      </c>
      <c r="GB196" s="13">
        <f t="shared" si="185"/>
        <v>1.5089081593838289E-12</v>
      </c>
      <c r="GC196" s="20">
        <f t="shared" si="186"/>
        <v>2.8030510891776262E-12</v>
      </c>
      <c r="GD196" s="59">
        <f t="shared" ref="GD196:GD203" si="200">GC196+(FU196+FV196)*44/12</f>
        <v>290.02553532825345</v>
      </c>
      <c r="GE196" s="59">
        <f ca="1">AVERAGE(OFFSET($GD$3,0,0,'Données projet'!$E$17+1,1))-AVERAGE(OFFSET($H$3,0,0,'Données projet'!$E$17+1,1))</f>
        <v>342.89128067483233</v>
      </c>
      <c r="GF196" s="59">
        <f t="shared" si="158"/>
        <v>453.47615302202996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11.849838690739583</v>
      </c>
      <c r="GM196" s="21">
        <f>EXP(-LN(2)/25)*GM195+(1-EXP(-LN(2)/25))/(LN(2)/25)*Calculateur!GH196*Calculateur!GJ196*VLOOKUP('Données projet'!$B$17,Paramètres!$A$1:$I$89,3,0)*0.475*44/12</f>
        <v>2.9390184926948888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14.788857183434471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69.097873271341101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>
        <f>GU196*VLOOKUP('Données projet'!$B$18,Paramètres!$A$1:$I$89,3,0)*VLOOKUP('Données projet'!$B$18,Paramètres!$A$1:$I$89,5,0)</f>
        <v>0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375.89365709113105</v>
      </c>
      <c r="HA196" s="59">
        <f t="shared" si="160"/>
        <v>279.39056561403834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17.764503959564831</v>
      </c>
      <c r="HH196" s="21">
        <f>EXP(-LN(2)/25)*HH195+(1-EXP(-LN(2)/25))/(LN(2)/25)*Calculateur!HC196*Calculateur!HE196*VLOOKUP('Données projet'!$B$18,Paramètres!$A$1:$I$89,3,0)*0.475*44/12</f>
        <v>3.6139069821921384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21.378410941756968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178.09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4.3717136577470225E-13</v>
      </c>
      <c r="P197" s="13">
        <f t="shared" ref="P197:P203" si="203">EXP(-1.0587+0.8836*LN(O197)+0.284)</f>
        <v>5.5313598682231701E-12</v>
      </c>
      <c r="Q197" s="20">
        <f t="shared" si="162"/>
        <v>1.039519189921296E-11</v>
      </c>
      <c r="R197" s="59">
        <f t="shared" si="191"/>
        <v>290.08291822852084</v>
      </c>
      <c r="S197" s="59">
        <f ca="1">AVERAGE(OFFSET($R$3,0,0,'Données projet'!$E$9+1,1))-AVERAGE(OFFSET($H$3,0,0,'Données projet'!$E$9+1,1))</f>
        <v>631.31712308065664</v>
      </c>
      <c r="T197" s="59">
        <f t="shared" ref="T197:T203" si="204">$T$3</f>
        <v>290.92244624361285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149.637181726081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149.637181726081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-2.8421709430404007E-14</v>
      </c>
      <c r="AJ197" s="13">
        <f>AI197*VLOOKUP('Données projet'!$B$10,Paramètres!$A$1:$I$89,3,0)*VLOOKUP('Données projet'!$B$10,Paramètres!$A$1:$I$89,5,0)</f>
        <v>-2.3942448024172337E-14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401.19166052471473</v>
      </c>
      <c r="AO197" s="59">
        <f t="shared" ref="AO197:AO203" si="205">$AO$3</f>
        <v>271.10067497534271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33.899417397425815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33.899417397425815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4.8993342716130437E-13</v>
      </c>
      <c r="BF197" s="13">
        <f t="shared" si="167"/>
        <v>6.1172634040517391E-12</v>
      </c>
      <c r="BG197" s="20">
        <f t="shared" si="168"/>
        <v>1.1507534481029384E-11</v>
      </c>
      <c r="BH197" s="59">
        <f t="shared" si="194"/>
        <v>290.08291822852192</v>
      </c>
      <c r="BI197" s="59">
        <f ca="1">AVERAGE(OFFSET($BH$3,0,0,'Données projet'!$E$11+1,1))-AVERAGE(OFFSET($H$3,0,0,'Données projet'!$E$11+1,1))</f>
        <v>695.93700574708214</v>
      </c>
      <c r="BJ197" s="59">
        <f t="shared" ref="BJ197:BJ203" si="206">$BJ$3</f>
        <v>318.31690229208471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167.69684158957352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167.69684158957352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1.7053025658242404E-13</v>
      </c>
      <c r="BZ197" s="13">
        <f>BY197*VLOOKUP('Données projet'!$B$12,Paramètres!$A$1:$I$89,3,0)*VLOOKUP('Données projet'!$B$12,Paramètres!$A$1:$I$89,5,0)</f>
        <v>1.1173142411280423E-13</v>
      </c>
      <c r="CA197" s="13">
        <f t="shared" si="170"/>
        <v>1.6569896290553793E-12</v>
      </c>
      <c r="CB197" s="20">
        <f t="shared" si="171"/>
        <v>3.0805225009345862E-12</v>
      </c>
      <c r="CC197" s="59">
        <f t="shared" si="195"/>
        <v>290.08291822851351</v>
      </c>
      <c r="CD197" s="59">
        <f ca="1">AVERAGE(OFFSET($CC$3,0,0,'Données projet'!$E$12+1,1))-AVERAGE(OFFSET($H$3,0,0,'Données projet'!$E$12+1,1))</f>
        <v>260.25859566735949</v>
      </c>
      <c r="CE197" s="59">
        <f t="shared" ref="CE197:CE203" si="207">$CE$3</f>
        <v>256.93649773468667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7.0476356739541588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7.0476356739541588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1.7053025658242404E-13</v>
      </c>
      <c r="CU197" s="17">
        <f>CT197*VLOOKUP('Données projet'!$B$13,Paramètres!$A$1:$I$89,3,0)*VLOOKUP('Données projet'!$B$13,Paramètres!$A$1:$I$89,5,0)</f>
        <v>1.1173142411280423E-13</v>
      </c>
      <c r="CV197" s="13">
        <f t="shared" si="173"/>
        <v>1.6569896290553793E-12</v>
      </c>
      <c r="CW197" s="20">
        <f t="shared" si="174"/>
        <v>3.0805225009345862E-12</v>
      </c>
      <c r="CX197" s="59">
        <f t="shared" si="196"/>
        <v>290.08291822851351</v>
      </c>
      <c r="CY197" s="59">
        <f ca="1">AVERAGE(OFFSET($CX$3,0,0,'Données projet'!$E$13+1,1))-AVERAGE(OFFSET($H$3,0,0,'Données projet'!$E$13+1,1))</f>
        <v>260.25859566735949</v>
      </c>
      <c r="CZ197" s="59">
        <f t="shared" ref="CZ197:CZ203" si="208">$CZ$3</f>
        <v>256.93649773468667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7.0476356739541588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7.0476356739541588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-2.2737367544323206E-13</v>
      </c>
      <c r="DP197" s="17">
        <f>DO197*VLOOKUP('Données projet'!$B$14,Paramètres!$A$1:$I$89,3,0)*VLOOKUP('Données projet'!$B$14,Paramètres!$A$1:$I$89,5,0)</f>
        <v>-1.3005774235352875E-13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349.56396446903</v>
      </c>
      <c r="DU197" s="59">
        <f t="shared" ref="DU197:DU203" si="209">$DU$3</f>
        <v>270.64279448634522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23.575703188474574</v>
      </c>
      <c r="EB197" s="21">
        <f>EXP(-LN(2)/25)*EB196+(1-EXP(-LN(2)/25))/(LN(2)/25)*Calculateur!DW197*Calculateur!DY197*VLOOKUP('Données projet'!$B$14,Paramètres!$A$1:$I$89,3,0)*0.475*44/12</f>
        <v>5.6621270523563441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29.237830240830917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375.89365709113105</v>
      </c>
      <c r="EP197" s="59">
        <f t="shared" ref="EP197:EP203" si="210">$EP$3</f>
        <v>279.39056561403834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17.416152872195283</v>
      </c>
      <c r="EW197" s="21">
        <f>EXP(-LN(2)/25)*EW196+(1-EXP(-LN(2)/25))/(LN(2)/25)*Calculateur!ER197*Calculateur!ET197*VLOOKUP('Données projet'!$B$15,Paramètres!$A$1:$I$89,3,0)*0.475*44/12</f>
        <v>3.5150845057169859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20.931237377912268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-1.1368683772161603E-13</v>
      </c>
      <c r="FF197" s="17">
        <f>FE197*VLOOKUP('Données projet'!$B$16,Paramètres!$A$1:$I$89,3,0)*VLOOKUP('Données projet'!$B$16,Paramètres!$A$1:$I$89,5,0)</f>
        <v>-6.7984728957526396E-14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319.29539841078537</v>
      </c>
      <c r="FK197" s="59">
        <f t="shared" ref="FK197:FK203" si="211">$FK$3</f>
        <v>327.26871144121412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9.7342160299281382</v>
      </c>
      <c r="FR197" s="21">
        <f>EXP(-LN(2)/25)*FR196+(1-EXP(-LN(2)/25))/(LN(2)/25)*Calculateur!FM197*Calculateur!FO197*VLOOKUP('Données projet'!$B$16,Paramètres!$A$1:$I$89,3,0)*0.475*44/12</f>
        <v>2.0865867126035349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11.820802742531672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2.2737367544323206E-13</v>
      </c>
      <c r="GA197" s="17">
        <f>FZ197*VLOOKUP('Données projet'!$B$17,Paramètres!$A$1:$I$89,3,0)*VLOOKUP('Données projet'!$B$17,Paramètres!$A$1:$I$89,5,0)</f>
        <v>1.0049916454590858E-13</v>
      </c>
      <c r="GB197" s="13">
        <f t="shared" si="185"/>
        <v>1.5089081593838289E-12</v>
      </c>
      <c r="GC197" s="20">
        <f t="shared" si="186"/>
        <v>2.8030510891776262E-12</v>
      </c>
      <c r="GD197" s="59">
        <f t="shared" si="200"/>
        <v>290.08291822851322</v>
      </c>
      <c r="GE197" s="59">
        <f ca="1">AVERAGE(OFFSET($GD$3,0,0,'Données projet'!$E$17+1,1))-AVERAGE(OFFSET($H$3,0,0,'Données projet'!$E$17+1,1))</f>
        <v>342.89128067483233</v>
      </c>
      <c r="GF197" s="59">
        <f t="shared" ref="GF197:GF203" si="212">$GF$3</f>
        <v>453.47615302202996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11.617470581702106</v>
      </c>
      <c r="GM197" s="21">
        <f>EXP(-LN(2)/25)*GM196+(1-EXP(-LN(2)/25))/(LN(2)/25)*Calculateur!GH197*Calculateur!GJ197*VLOOKUP('Données projet'!$B$17,Paramètres!$A$1:$I$89,3,0)*0.475*44/12</f>
        <v>2.8586508774558816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14.476121459157987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69.113523153230119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>
        <f>GU197*VLOOKUP('Données projet'!$B$18,Paramètres!$A$1:$I$89,3,0)*VLOOKUP('Données projet'!$B$18,Paramètres!$A$1:$I$89,5,0)</f>
        <v>0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375.89365709113105</v>
      </c>
      <c r="HA197" s="59">
        <f t="shared" ref="HA197:HA203" si="213">$HA$3</f>
        <v>279.39056561403834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17.416152872195283</v>
      </c>
      <c r="HH197" s="21">
        <f>EXP(-LN(2)/25)*HH196+(1-EXP(-LN(2)/25))/(LN(2)/25)*Calculateur!HC197*Calculateur!HE197*VLOOKUP('Données projet'!$B$18,Paramètres!$A$1:$I$89,3,0)*0.475*44/12</f>
        <v>3.5150845057169859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20.931237377912268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178.09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4.3717136577470225E-13</v>
      </c>
      <c r="P198" s="13">
        <f t="shared" si="203"/>
        <v>5.5313598682231701E-12</v>
      </c>
      <c r="Q198" s="20">
        <f t="shared" si="162"/>
        <v>1.039519189921296E-11</v>
      </c>
      <c r="R198" s="59">
        <f t="shared" si="191"/>
        <v>290.13930566375001</v>
      </c>
      <c r="S198" s="59">
        <f ca="1">AVERAGE(OFFSET($R$3,0,0,'Données projet'!$E$9+1,1))-AVERAGE(OFFSET($H$3,0,0,'Données projet'!$E$9+1,1))</f>
        <v>631.31712308065664</v>
      </c>
      <c r="T198" s="59">
        <f t="shared" si="204"/>
        <v>290.92244624361285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146.70288786210128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146.70288786210128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-2.8421709430404007E-14</v>
      </c>
      <c r="AJ198" s="13">
        <f>AI198*VLOOKUP('Données projet'!$B$10,Paramètres!$A$1:$I$89,3,0)*VLOOKUP('Données projet'!$B$10,Paramètres!$A$1:$I$89,5,0)</f>
        <v>-2.3942448024172337E-14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401.19166052471473</v>
      </c>
      <c r="AO198" s="59">
        <f t="shared" si="205"/>
        <v>271.10067497534271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33.234670498865263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33.234670498865263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4.8993342716130437E-13</v>
      </c>
      <c r="BF198" s="13">
        <f t="shared" si="167"/>
        <v>6.1172634040517391E-12</v>
      </c>
      <c r="BG198" s="20">
        <f t="shared" si="168"/>
        <v>1.1507534481029384E-11</v>
      </c>
      <c r="BH198" s="59">
        <f t="shared" si="194"/>
        <v>290.13930566375109</v>
      </c>
      <c r="BI198" s="59">
        <f ca="1">AVERAGE(OFFSET($BH$3,0,0,'Données projet'!$E$11+1,1))-AVERAGE(OFFSET($H$3,0,0,'Données projet'!$E$11+1,1))</f>
        <v>695.93700574708214</v>
      </c>
      <c r="BJ198" s="59">
        <f t="shared" si="206"/>
        <v>318.31690229208471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164.40840881097554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164.40840881097554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1.7053025658242404E-13</v>
      </c>
      <c r="BZ198" s="13">
        <f>BY198*VLOOKUP('Données projet'!$B$12,Paramètres!$A$1:$I$89,3,0)*VLOOKUP('Données projet'!$B$12,Paramètres!$A$1:$I$89,5,0)</f>
        <v>1.1173142411280423E-13</v>
      </c>
      <c r="CA198" s="13">
        <f t="shared" si="170"/>
        <v>1.6569896290553793E-12</v>
      </c>
      <c r="CB198" s="20">
        <f t="shared" si="171"/>
        <v>3.0805225009345862E-12</v>
      </c>
      <c r="CC198" s="59">
        <f t="shared" si="195"/>
        <v>290.13930566374268</v>
      </c>
      <c r="CD198" s="59">
        <f ca="1">AVERAGE(OFFSET($CC$3,0,0,'Données projet'!$E$12+1,1))-AVERAGE(OFFSET($H$3,0,0,'Données projet'!$E$12+1,1))</f>
        <v>260.25859566735949</v>
      </c>
      <c r="CE198" s="59">
        <f t="shared" si="207"/>
        <v>256.93649773468667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6.9094358370212241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6.9094358370212241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1.7053025658242404E-13</v>
      </c>
      <c r="CU198" s="17">
        <f>CT198*VLOOKUP('Données projet'!$B$13,Paramètres!$A$1:$I$89,3,0)*VLOOKUP('Données projet'!$B$13,Paramètres!$A$1:$I$89,5,0)</f>
        <v>1.1173142411280423E-13</v>
      </c>
      <c r="CV198" s="13">
        <f t="shared" si="173"/>
        <v>1.6569896290553793E-12</v>
      </c>
      <c r="CW198" s="20">
        <f t="shared" si="174"/>
        <v>3.0805225009345862E-12</v>
      </c>
      <c r="CX198" s="59">
        <f t="shared" si="196"/>
        <v>290.13930566374268</v>
      </c>
      <c r="CY198" s="59">
        <f ca="1">AVERAGE(OFFSET($CX$3,0,0,'Données projet'!$E$13+1,1))-AVERAGE(OFFSET($H$3,0,0,'Données projet'!$E$13+1,1))</f>
        <v>260.25859566735949</v>
      </c>
      <c r="CZ198" s="59">
        <f t="shared" si="208"/>
        <v>256.93649773468667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6.9094358370212241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6.9094358370212241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-2.2737367544323206E-13</v>
      </c>
      <c r="DP198" s="17">
        <f>DO198*VLOOKUP('Données projet'!$B$14,Paramètres!$A$1:$I$89,3,0)*VLOOKUP('Données projet'!$B$14,Paramètres!$A$1:$I$89,5,0)</f>
        <v>-1.3005774235352875E-13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349.56396446903</v>
      </c>
      <c r="DU198" s="59">
        <f t="shared" si="209"/>
        <v>270.64279448634522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23.11339802870765</v>
      </c>
      <c r="EB198" s="21">
        <f>EXP(-LN(2)/25)*EB197+(1-EXP(-LN(2)/25))/(LN(2)/25)*Calculateur!DW198*Calculateur!DY198*VLOOKUP('Données projet'!$B$14,Paramètres!$A$1:$I$89,3,0)*0.475*44/12</f>
        <v>5.5072958903513394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28.62069391905899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375.89365709113105</v>
      </c>
      <c r="EP198" s="59">
        <f t="shared" si="210"/>
        <v>279.39056561403834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17.074632737175872</v>
      </c>
      <c r="EW198" s="21">
        <f>EXP(-LN(2)/25)*EW197+(1-EXP(-LN(2)/25))/(LN(2)/25)*Calculateur!ER198*Calculateur!ET198*VLOOKUP('Données projet'!$B$15,Paramètres!$A$1:$I$89,3,0)*0.475*44/12</f>
        <v>3.4189643350578947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20.493597072233765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-1.1368683772161603E-13</v>
      </c>
      <c r="FF198" s="17">
        <f>FE198*VLOOKUP('Données projet'!$B$16,Paramètres!$A$1:$I$89,3,0)*VLOOKUP('Données projet'!$B$16,Paramètres!$A$1:$I$89,5,0)</f>
        <v>-6.7984728957526396E-14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319.29539841078537</v>
      </c>
      <c r="FK198" s="59">
        <f t="shared" si="211"/>
        <v>327.26871144121412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9.5433339908667669</v>
      </c>
      <c r="FR198" s="21">
        <f>EXP(-LN(2)/25)*FR197+(1-EXP(-LN(2)/25))/(LN(2)/25)*Calculateur!FM198*Calculateur!FO198*VLOOKUP('Données projet'!$B$16,Paramètres!$A$1:$I$89,3,0)*0.475*44/12</f>
        <v>2.029528889218565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11.572862880085331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2.2737367544323206E-13</v>
      </c>
      <c r="GA198" s="17">
        <f>FZ198*VLOOKUP('Données projet'!$B$17,Paramètres!$A$1:$I$89,3,0)*VLOOKUP('Données projet'!$B$17,Paramètres!$A$1:$I$89,5,0)</f>
        <v>1.0049916454590858E-13</v>
      </c>
      <c r="GB198" s="13">
        <f t="shared" si="185"/>
        <v>1.5089081593838289E-12</v>
      </c>
      <c r="GC198" s="20">
        <f t="shared" si="186"/>
        <v>2.8030510891776262E-12</v>
      </c>
      <c r="GD198" s="59">
        <f t="shared" si="200"/>
        <v>290.13930566374239</v>
      </c>
      <c r="GE198" s="59">
        <f ca="1">AVERAGE(OFFSET($GD$3,0,0,'Données projet'!$E$17+1,1))-AVERAGE(OFFSET($H$3,0,0,'Données projet'!$E$17+1,1))</f>
        <v>342.89128067483233</v>
      </c>
      <c r="GF198" s="59">
        <f t="shared" si="212"/>
        <v>453.47615302202996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11.389659069552302</v>
      </c>
      <c r="GM198" s="21">
        <f>EXP(-LN(2)/25)*GM197+(1-EXP(-LN(2)/25))/(LN(2)/25)*Calculateur!GH198*Calculateur!GJ198*VLOOKUP('Données projet'!$B$17,Paramètres!$A$1:$I$89,3,0)*0.475*44/12</f>
        <v>2.7804809188819344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14.170139988434236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69.128901544656259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>
        <f>GU198*VLOOKUP('Données projet'!$B$18,Paramètres!$A$1:$I$89,3,0)*VLOOKUP('Données projet'!$B$18,Paramètres!$A$1:$I$89,5,0)</f>
        <v>0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375.89365709113105</v>
      </c>
      <c r="HA198" s="59">
        <f t="shared" si="213"/>
        <v>279.39056561403834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17.074632737175872</v>
      </c>
      <c r="HH198" s="21">
        <f>EXP(-LN(2)/25)*HH197+(1-EXP(-LN(2)/25))/(LN(2)/25)*Calculateur!HC198*Calculateur!HE198*VLOOKUP('Données projet'!$B$18,Paramètres!$A$1:$I$89,3,0)*0.475*44/12</f>
        <v>3.4189643350578947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20.493597072233765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178.09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4.3717136577470225E-13</v>
      </c>
      <c r="P199" s="13">
        <f t="shared" si="203"/>
        <v>5.5313598682231701E-12</v>
      </c>
      <c r="Q199" s="20">
        <f t="shared" si="162"/>
        <v>1.039519189921296E-11</v>
      </c>
      <c r="R199" s="59">
        <f t="shared" si="191"/>
        <v>290.19471490304136</v>
      </c>
      <c r="S199" s="59">
        <f ca="1">AVERAGE(OFFSET($R$3,0,0,'Données projet'!$E$9+1,1))-AVERAGE(OFFSET($H$3,0,0,'Données projet'!$E$9+1,1))</f>
        <v>631.31712308065664</v>
      </c>
      <c r="T199" s="59">
        <f t="shared" si="204"/>
        <v>290.92244624361285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143.82613371105165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143.82613371105165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-2.8421709430404007E-14</v>
      </c>
      <c r="AJ199" s="13">
        <f>AI199*VLOOKUP('Données projet'!$B$10,Paramètres!$A$1:$I$89,3,0)*VLOOKUP('Données projet'!$B$10,Paramètres!$A$1:$I$89,5,0)</f>
        <v>-2.3942448024172337E-14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401.19166052471473</v>
      </c>
      <c r="AO199" s="59">
        <f t="shared" si="205"/>
        <v>271.10067497534271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32.582958881529912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32.582958881529912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4.8993342716130437E-13</v>
      </c>
      <c r="BF199" s="13">
        <f t="shared" si="167"/>
        <v>6.1172634040517391E-12</v>
      </c>
      <c r="BG199" s="20">
        <f t="shared" si="168"/>
        <v>1.1507534481029384E-11</v>
      </c>
      <c r="BH199" s="59">
        <f t="shared" si="194"/>
        <v>290.19471490304244</v>
      </c>
      <c r="BI199" s="59">
        <f ca="1">AVERAGE(OFFSET($BH$3,0,0,'Données projet'!$E$11+1,1))-AVERAGE(OFFSET($H$3,0,0,'Données projet'!$E$11+1,1))</f>
        <v>695.93700574708214</v>
      </c>
      <c r="BJ199" s="59">
        <f t="shared" si="206"/>
        <v>318.31690229208471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161.18446019341994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161.18446019341994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1.7053025658242404E-13</v>
      </c>
      <c r="BZ199" s="13">
        <f>BY199*VLOOKUP('Données projet'!$B$12,Paramètres!$A$1:$I$89,3,0)*VLOOKUP('Données projet'!$B$12,Paramètres!$A$1:$I$89,5,0)</f>
        <v>1.1173142411280423E-13</v>
      </c>
      <c r="CA199" s="13">
        <f t="shared" si="170"/>
        <v>1.6569896290553793E-12</v>
      </c>
      <c r="CB199" s="20">
        <f t="shared" si="171"/>
        <v>3.0805225009345862E-12</v>
      </c>
      <c r="CC199" s="59">
        <f t="shared" si="195"/>
        <v>290.19471490303403</v>
      </c>
      <c r="CD199" s="59">
        <f ca="1">AVERAGE(OFFSET($CC$3,0,0,'Données projet'!$E$12+1,1))-AVERAGE(OFFSET($H$3,0,0,'Données projet'!$E$12+1,1))</f>
        <v>260.25859566735949</v>
      </c>
      <c r="CE199" s="59">
        <f t="shared" si="207"/>
        <v>256.93649773468667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6.7739460145969668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6.7739460145969668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1.7053025658242404E-13</v>
      </c>
      <c r="CU199" s="17">
        <f>CT199*VLOOKUP('Données projet'!$B$13,Paramètres!$A$1:$I$89,3,0)*VLOOKUP('Données projet'!$B$13,Paramètres!$A$1:$I$89,5,0)</f>
        <v>1.1173142411280423E-13</v>
      </c>
      <c r="CV199" s="13">
        <f t="shared" si="173"/>
        <v>1.6569896290553793E-12</v>
      </c>
      <c r="CW199" s="20">
        <f t="shared" si="174"/>
        <v>3.0805225009345862E-12</v>
      </c>
      <c r="CX199" s="59">
        <f t="shared" si="196"/>
        <v>290.19471490303403</v>
      </c>
      <c r="CY199" s="59">
        <f ca="1">AVERAGE(OFFSET($CX$3,0,0,'Données projet'!$E$13+1,1))-AVERAGE(OFFSET($H$3,0,0,'Données projet'!$E$13+1,1))</f>
        <v>260.25859566735949</v>
      </c>
      <c r="CZ199" s="59">
        <f t="shared" si="208"/>
        <v>256.93649773468667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6.7739460145969668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6.7739460145969668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-2.2737367544323206E-13</v>
      </c>
      <c r="DP199" s="17">
        <f>DO199*VLOOKUP('Données projet'!$B$14,Paramètres!$A$1:$I$89,3,0)*VLOOKUP('Données projet'!$B$14,Paramètres!$A$1:$I$89,5,0)</f>
        <v>-1.3005774235352875E-13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349.56396446903</v>
      </c>
      <c r="DU199" s="59">
        <f t="shared" si="209"/>
        <v>270.64279448634522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22.660158391145451</v>
      </c>
      <c r="EB199" s="21">
        <f>EXP(-LN(2)/25)*EB198+(1-EXP(-LN(2)/25))/(LN(2)/25)*Calculateur!DW199*Calculateur!DY199*VLOOKUP('Données projet'!$B$14,Paramètres!$A$1:$I$89,3,0)*0.475*44/12</f>
        <v>5.3566985946135786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28.016856985759031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375.89365709113105</v>
      </c>
      <c r="EP199" s="59">
        <f t="shared" si="210"/>
        <v>279.39056561403834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16.739809603697477</v>
      </c>
      <c r="EW199" s="21">
        <f>EXP(-LN(2)/25)*EW198+(1-EXP(-LN(2)/25))/(LN(2)/25)*Calculateur!ER199*Calculateur!ET199*VLOOKUP('Données projet'!$B$15,Paramètres!$A$1:$I$89,3,0)*0.475*44/12</f>
        <v>3.3254725755202164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20.065282179217693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-1.1368683772161603E-13</v>
      </c>
      <c r="FF199" s="17">
        <f>FE199*VLOOKUP('Données projet'!$B$16,Paramètres!$A$1:$I$89,3,0)*VLOOKUP('Données projet'!$B$16,Paramètres!$A$1:$I$89,5,0)</f>
        <v>-6.7984728957526396E-14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319.29539841078537</v>
      </c>
      <c r="FK199" s="59">
        <f t="shared" si="211"/>
        <v>327.26871144121412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9.3561950321648428</v>
      </c>
      <c r="FR199" s="21">
        <f>EXP(-LN(2)/25)*FR198+(1-EXP(-LN(2)/25))/(LN(2)/25)*Calculateur!FM199*Calculateur!FO199*VLOOKUP('Données projet'!$B$16,Paramètres!$A$1:$I$89,3,0)*0.475*44/12</f>
        <v>1.9740313150145976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11.33022634717944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2.2737367544323206E-13</v>
      </c>
      <c r="GA199" s="17">
        <f>FZ199*VLOOKUP('Données projet'!$B$17,Paramètres!$A$1:$I$89,3,0)*VLOOKUP('Données projet'!$B$17,Paramètres!$A$1:$I$89,5,0)</f>
        <v>1.0049916454590858E-13</v>
      </c>
      <c r="GB199" s="13">
        <f t="shared" si="185"/>
        <v>1.5089081593838289E-12</v>
      </c>
      <c r="GC199" s="20">
        <f t="shared" si="186"/>
        <v>2.8030510891776262E-12</v>
      </c>
      <c r="GD199" s="59">
        <f t="shared" si="200"/>
        <v>290.19471490303374</v>
      </c>
      <c r="GE199" s="59">
        <f ca="1">AVERAGE(OFFSET($GD$3,0,0,'Données projet'!$E$17+1,1))-AVERAGE(OFFSET($H$3,0,0,'Données projet'!$E$17+1,1))</f>
        <v>342.89128067483233</v>
      </c>
      <c r="GF199" s="59">
        <f t="shared" si="212"/>
        <v>453.47615302202996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11.166314802204454</v>
      </c>
      <c r="GM199" s="21">
        <f>EXP(-LN(2)/25)*GM198+(1-EXP(-LN(2)/25))/(LN(2)/25)*Calculateur!GH199*Calculateur!GJ199*VLOOKUP('Données projet'!$B$17,Paramètres!$A$1:$I$89,3,0)*0.475*44/12</f>
        <v>2.7044485219359711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13.870763324140425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69.144013155372079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>
        <f>GU199*VLOOKUP('Données projet'!$B$18,Paramètres!$A$1:$I$89,3,0)*VLOOKUP('Données projet'!$B$18,Paramètres!$A$1:$I$89,5,0)</f>
        <v>0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375.89365709113105</v>
      </c>
      <c r="HA199" s="59">
        <f t="shared" si="213"/>
        <v>279.39056561403834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16.739809603697477</v>
      </c>
      <c r="HH199" s="21">
        <f>EXP(-LN(2)/25)*HH198+(1-EXP(-LN(2)/25))/(LN(2)/25)*Calculateur!HC199*Calculateur!HE199*VLOOKUP('Données projet'!$B$18,Paramètres!$A$1:$I$89,3,0)*0.475*44/12</f>
        <v>3.3254725755202164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20.065282179217693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178.09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4.3717136577470225E-13</v>
      </c>
      <c r="P200" s="13">
        <f t="shared" si="203"/>
        <v>5.5313598682231701E-12</v>
      </c>
      <c r="Q200" s="20">
        <f t="shared" si="162"/>
        <v>1.039519189921296E-11</v>
      </c>
      <c r="R200" s="59">
        <f t="shared" si="191"/>
        <v>290.24916291590745</v>
      </c>
      <c r="S200" s="59">
        <f ca="1">AVERAGE(OFFSET($R$3,0,0,'Données projet'!$E$9+1,1))-AVERAGE(OFFSET($H$3,0,0,'Données projet'!$E$9+1,1))</f>
        <v>631.31712308065664</v>
      </c>
      <c r="T200" s="59">
        <f t="shared" si="204"/>
        <v>290.92244624361285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141.00579095425735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141.00579095425735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-2.8421709430404007E-14</v>
      </c>
      <c r="AJ200" s="13">
        <f>AI200*VLOOKUP('Données projet'!$B$10,Paramètres!$A$1:$I$89,3,0)*VLOOKUP('Données projet'!$B$10,Paramètres!$A$1:$I$89,5,0)</f>
        <v>-2.3942448024172337E-14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401.19166052471473</v>
      </c>
      <c r="AO200" s="59">
        <f t="shared" si="205"/>
        <v>271.10067497534271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31.944026931505668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31.944026931505668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4.8993342716130437E-13</v>
      </c>
      <c r="BF200" s="13">
        <f t="shared" si="167"/>
        <v>6.1172634040517391E-12</v>
      </c>
      <c r="BG200" s="20">
        <f t="shared" si="168"/>
        <v>1.1507534481029384E-11</v>
      </c>
      <c r="BH200" s="59">
        <f t="shared" si="194"/>
        <v>290.24916291590853</v>
      </c>
      <c r="BI200" s="59">
        <f ca="1">AVERAGE(OFFSET($BH$3,0,0,'Données projet'!$E$11+1,1))-AVERAGE(OFFSET($H$3,0,0,'Données projet'!$E$11+1,1))</f>
        <v>695.93700574708214</v>
      </c>
      <c r="BJ200" s="59">
        <f t="shared" si="206"/>
        <v>318.31690229208471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158.0237312418401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158.0237312418401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1.7053025658242404E-13</v>
      </c>
      <c r="BZ200" s="13">
        <f>BY200*VLOOKUP('Données projet'!$B$12,Paramètres!$A$1:$I$89,3,0)*VLOOKUP('Données projet'!$B$12,Paramètres!$A$1:$I$89,5,0)</f>
        <v>1.1173142411280423E-13</v>
      </c>
      <c r="CA200" s="13">
        <f t="shared" si="170"/>
        <v>1.6569896290553793E-12</v>
      </c>
      <c r="CB200" s="20">
        <f t="shared" si="171"/>
        <v>3.0805225009345862E-12</v>
      </c>
      <c r="CC200" s="59">
        <f t="shared" si="195"/>
        <v>290.24916291590011</v>
      </c>
      <c r="CD200" s="59">
        <f ca="1">AVERAGE(OFFSET($CC$3,0,0,'Données projet'!$E$12+1,1))-AVERAGE(OFFSET($H$3,0,0,'Données projet'!$E$12+1,1))</f>
        <v>260.25859566735949</v>
      </c>
      <c r="CE200" s="59">
        <f t="shared" si="207"/>
        <v>256.93649773468667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6.6411130649498178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6.6411130649498178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1.7053025658242404E-13</v>
      </c>
      <c r="CU200" s="17">
        <f>CT200*VLOOKUP('Données projet'!$B$13,Paramètres!$A$1:$I$89,3,0)*VLOOKUP('Données projet'!$B$13,Paramètres!$A$1:$I$89,5,0)</f>
        <v>1.1173142411280423E-13</v>
      </c>
      <c r="CV200" s="13">
        <f t="shared" si="173"/>
        <v>1.6569896290553793E-12</v>
      </c>
      <c r="CW200" s="20">
        <f t="shared" si="174"/>
        <v>3.0805225009345862E-12</v>
      </c>
      <c r="CX200" s="59">
        <f t="shared" si="196"/>
        <v>290.24916291590011</v>
      </c>
      <c r="CY200" s="59">
        <f ca="1">AVERAGE(OFFSET($CX$3,0,0,'Données projet'!$E$13+1,1))-AVERAGE(OFFSET($H$3,0,0,'Données projet'!$E$13+1,1))</f>
        <v>260.25859566735949</v>
      </c>
      <c r="CZ200" s="59">
        <f t="shared" si="208"/>
        <v>256.93649773468667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6.6411130649498178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6.6411130649498178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-2.2737367544323206E-13</v>
      </c>
      <c r="DP200" s="17">
        <f>DO200*VLOOKUP('Données projet'!$B$14,Paramètres!$A$1:$I$89,3,0)*VLOOKUP('Données projet'!$B$14,Paramètres!$A$1:$I$89,5,0)</f>
        <v>-1.3005774235352875E-13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349.56396446903</v>
      </c>
      <c r="DU200" s="59">
        <f t="shared" si="209"/>
        <v>270.64279448634522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22.215806506426965</v>
      </c>
      <c r="EB200" s="21">
        <f>EXP(-LN(2)/25)*EB199+(1-EXP(-LN(2)/25))/(LN(2)/25)*Calculateur!DW200*Calculateur!DY200*VLOOKUP('Données projet'!$B$14,Paramètres!$A$1:$I$89,3,0)*0.475*44/12</f>
        <v>5.2102193898473343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27.4260258962743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375.89365709113105</v>
      </c>
      <c r="EP200" s="59">
        <f t="shared" si="210"/>
        <v>279.39056561403834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16.411552147644645</v>
      </c>
      <c r="EW200" s="21">
        <f>EXP(-LN(2)/25)*EW199+(1-EXP(-LN(2)/25))/(LN(2)/25)*Calculateur!ER200*Calculateur!ET200*VLOOKUP('Données projet'!$B$15,Paramètres!$A$1:$I$89,3,0)*0.475*44/12</f>
        <v>3.2345373530636139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19.646089500708261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-1.1368683772161603E-13</v>
      </c>
      <c r="FF200" s="17">
        <f>FE200*VLOOKUP('Données projet'!$B$16,Paramètres!$A$1:$I$89,3,0)*VLOOKUP('Données projet'!$B$16,Paramètres!$A$1:$I$89,5,0)</f>
        <v>-6.7984728957526396E-14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319.29539841078537</v>
      </c>
      <c r="FK200" s="59">
        <f t="shared" si="211"/>
        <v>327.26871144121412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9.1727257542995684</v>
      </c>
      <c r="FR200" s="21">
        <f>EXP(-LN(2)/25)*FR199+(1-EXP(-LN(2)/25))/(LN(2)/25)*Calculateur!FM200*Calculateur!FO200*VLOOKUP('Données projet'!$B$16,Paramètres!$A$1:$I$89,3,0)*0.475*44/12</f>
        <v>1.9200513248957283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11.092777079195297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2.2737367544323206E-13</v>
      </c>
      <c r="GA200" s="17">
        <f>FZ200*VLOOKUP('Données projet'!$B$17,Paramètres!$A$1:$I$89,3,0)*VLOOKUP('Données projet'!$B$17,Paramètres!$A$1:$I$89,5,0)</f>
        <v>1.0049916454590858E-13</v>
      </c>
      <c r="GB200" s="13">
        <f t="shared" si="185"/>
        <v>1.5089081593838289E-12</v>
      </c>
      <c r="GC200" s="20">
        <f t="shared" si="186"/>
        <v>2.8030510891776262E-12</v>
      </c>
      <c r="GD200" s="59">
        <f t="shared" si="200"/>
        <v>290.24916291589983</v>
      </c>
      <c r="GE200" s="59">
        <f ca="1">AVERAGE(OFFSET($GD$3,0,0,'Données projet'!$E$17+1,1))-AVERAGE(OFFSET($H$3,0,0,'Données projet'!$E$17+1,1))</f>
        <v>342.89128067483233</v>
      </c>
      <c r="GF200" s="59">
        <f t="shared" si="212"/>
        <v>453.47615302202996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10.947350179712744</v>
      </c>
      <c r="GM200" s="21">
        <f>EXP(-LN(2)/25)*GM199+(1-EXP(-LN(2)/25))/(LN(2)/25)*Calculateur!GH200*Calculateur!GJ200*VLOOKUP('Données projet'!$B$17,Paramètres!$A$1:$I$89,3,0)*0.475*44/12</f>
        <v>2.6304952348828654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13.577845414595609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69.158862613426464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>
        <f>GU200*VLOOKUP('Données projet'!$B$18,Paramètres!$A$1:$I$89,3,0)*VLOOKUP('Données projet'!$B$18,Paramètres!$A$1:$I$89,5,0)</f>
        <v>0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375.89365709113105</v>
      </c>
      <c r="HA200" s="59">
        <f t="shared" si="213"/>
        <v>279.39056561403834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16.411552147644645</v>
      </c>
      <c r="HH200" s="21">
        <f>EXP(-LN(2)/25)*HH199+(1-EXP(-LN(2)/25))/(LN(2)/25)*Calculateur!HC200*Calculateur!HE200*VLOOKUP('Données projet'!$B$18,Paramètres!$A$1:$I$89,3,0)*0.475*44/12</f>
        <v>3.2345373530636139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19.646089500708261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178.09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4.3717136577470225E-13</v>
      </c>
      <c r="P201" s="13">
        <f t="shared" si="203"/>
        <v>5.5313598682231701E-12</v>
      </c>
      <c r="Q201" s="20">
        <f t="shared" si="162"/>
        <v>1.039519189921296E-11</v>
      </c>
      <c r="R201" s="59">
        <f t="shared" si="191"/>
        <v>290.30266637747798</v>
      </c>
      <c r="S201" s="59">
        <f ca="1">AVERAGE(OFFSET($R$3,0,0,'Données projet'!$E$9+1,1))-AVERAGE(OFFSET($H$3,0,0,'Données projet'!$E$9+1,1))</f>
        <v>631.31712308065664</v>
      </c>
      <c r="T201" s="59">
        <f t="shared" si="204"/>
        <v>290.92244624361285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138.24075339868455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138.24075339868455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-2.8421709430404007E-14</v>
      </c>
      <c r="AJ201" s="13">
        <f>AI201*VLOOKUP('Données projet'!$B$10,Paramètres!$A$1:$I$89,3,0)*VLOOKUP('Données projet'!$B$10,Paramètres!$A$1:$I$89,5,0)</f>
        <v>-2.3942448024172337E-14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401.19166052471473</v>
      </c>
      <c r="AO201" s="59">
        <f t="shared" si="205"/>
        <v>271.10067497534271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31.317624047311391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31.317624047311391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4.8993342716130437E-13</v>
      </c>
      <c r="BF201" s="13">
        <f t="shared" si="167"/>
        <v>6.1172634040517391E-12</v>
      </c>
      <c r="BG201" s="20">
        <f t="shared" si="168"/>
        <v>1.1507534481029384E-11</v>
      </c>
      <c r="BH201" s="59">
        <f t="shared" si="194"/>
        <v>290.30266637747906</v>
      </c>
      <c r="BI201" s="59">
        <f ca="1">AVERAGE(OFFSET($BH$3,0,0,'Données projet'!$E$11+1,1))-AVERAGE(OFFSET($H$3,0,0,'Données projet'!$E$11+1,1))</f>
        <v>695.93700574708214</v>
      </c>
      <c r="BJ201" s="59">
        <f t="shared" si="206"/>
        <v>318.31690229208471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154.92498225714644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154.92498225714644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1.7053025658242404E-13</v>
      </c>
      <c r="BZ201" s="13">
        <f>BY201*VLOOKUP('Données projet'!$B$12,Paramètres!$A$1:$I$89,3,0)*VLOOKUP('Données projet'!$B$12,Paramètres!$A$1:$I$89,5,0)</f>
        <v>1.1173142411280423E-13</v>
      </c>
      <c r="CA201" s="13">
        <f t="shared" si="170"/>
        <v>1.6569896290553793E-12</v>
      </c>
      <c r="CB201" s="20">
        <f t="shared" si="171"/>
        <v>3.0805225009345862E-12</v>
      </c>
      <c r="CC201" s="59">
        <f t="shared" si="195"/>
        <v>290.30266637747064</v>
      </c>
      <c r="CD201" s="59">
        <f ca="1">AVERAGE(OFFSET($CC$3,0,0,'Données projet'!$E$12+1,1))-AVERAGE(OFFSET($H$3,0,0,'Données projet'!$E$12+1,1))</f>
        <v>260.25859566735949</v>
      </c>
      <c r="CE201" s="59">
        <f t="shared" si="207"/>
        <v>256.93649773468667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6.5108848884251502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6.5108848884251502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1.7053025658242404E-13</v>
      </c>
      <c r="CU201" s="17">
        <f>CT201*VLOOKUP('Données projet'!$B$13,Paramètres!$A$1:$I$89,3,0)*VLOOKUP('Données projet'!$B$13,Paramètres!$A$1:$I$89,5,0)</f>
        <v>1.1173142411280423E-13</v>
      </c>
      <c r="CV201" s="13">
        <f t="shared" si="173"/>
        <v>1.6569896290553793E-12</v>
      </c>
      <c r="CW201" s="20">
        <f t="shared" si="174"/>
        <v>3.0805225009345862E-12</v>
      </c>
      <c r="CX201" s="59">
        <f t="shared" si="196"/>
        <v>290.30266637747064</v>
      </c>
      <c r="CY201" s="59">
        <f ca="1">AVERAGE(OFFSET($CX$3,0,0,'Données projet'!$E$13+1,1))-AVERAGE(OFFSET($H$3,0,0,'Données projet'!$E$13+1,1))</f>
        <v>260.25859566735949</v>
      </c>
      <c r="CZ201" s="59">
        <f t="shared" si="208"/>
        <v>256.93649773468667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6.5108848884251502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6.5108848884251502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-2.2737367544323206E-13</v>
      </c>
      <c r="DP201" s="17">
        <f>DO201*VLOOKUP('Données projet'!$B$14,Paramètres!$A$1:$I$89,3,0)*VLOOKUP('Données projet'!$B$14,Paramètres!$A$1:$I$89,5,0)</f>
        <v>-1.3005774235352875E-13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349.56396446903</v>
      </c>
      <c r="DU201" s="59">
        <f t="shared" si="209"/>
        <v>270.64279448634522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21.78016809113992</v>
      </c>
      <c r="EB201" s="21">
        <f>EXP(-LN(2)/25)*EB200+(1-EXP(-LN(2)/25))/(LN(2)/25)*Calculateur!DW201*Calculateur!DY201*VLOOKUP('Données projet'!$B$14,Paramètres!$A$1:$I$89,3,0)*0.475*44/12</f>
        <v>5.0677456666384293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26.84791375777835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375.89365709113105</v>
      </c>
      <c r="EP201" s="59">
        <f t="shared" si="210"/>
        <v>279.39056561403834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16.089731620087733</v>
      </c>
      <c r="EW201" s="21">
        <f>EXP(-LN(2)/25)*EW200+(1-EXP(-LN(2)/25))/(LN(2)/25)*Calculateur!ER201*Calculateur!ET201*VLOOKUP('Données projet'!$B$15,Paramètres!$A$1:$I$89,3,0)*0.475*44/12</f>
        <v>3.1460887590471627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19.235820379134896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-1.1368683772161603E-13</v>
      </c>
      <c r="FF201" s="17">
        <f>FE201*VLOOKUP('Données projet'!$B$16,Paramètres!$A$1:$I$89,3,0)*VLOOKUP('Données projet'!$B$16,Paramètres!$A$1:$I$89,5,0)</f>
        <v>-6.7984728957526396E-14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319.29539841078537</v>
      </c>
      <c r="FK201" s="59">
        <f t="shared" si="211"/>
        <v>327.26871144121412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8.9928541970680218</v>
      </c>
      <c r="FR201" s="21">
        <f>EXP(-LN(2)/25)*FR200+(1-EXP(-LN(2)/25))/(LN(2)/25)*Calculateur!FM201*Calculateur!FO201*VLOOKUP('Données projet'!$B$16,Paramètres!$A$1:$I$89,3,0)*0.475*44/12</f>
        <v>1.8675474204453437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10.860401617513366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2.2737367544323206E-13</v>
      </c>
      <c r="GA201" s="17">
        <f>FZ201*VLOOKUP('Données projet'!$B$17,Paramètres!$A$1:$I$89,3,0)*VLOOKUP('Données projet'!$B$17,Paramètres!$A$1:$I$89,5,0)</f>
        <v>1.0049916454590858E-13</v>
      </c>
      <c r="GB201" s="13">
        <f t="shared" si="185"/>
        <v>1.5089081593838289E-12</v>
      </c>
      <c r="GC201" s="20">
        <f t="shared" si="186"/>
        <v>2.8030510891776262E-12</v>
      </c>
      <c r="GD201" s="59">
        <f t="shared" si="200"/>
        <v>290.30266637747036</v>
      </c>
      <c r="GE201" s="59">
        <f ca="1">AVERAGE(OFFSET($GD$3,0,0,'Données projet'!$E$17+1,1))-AVERAGE(OFFSET($H$3,0,0,'Données projet'!$E$17+1,1))</f>
        <v>342.89128067483233</v>
      </c>
      <c r="GF201" s="59">
        <f t="shared" si="212"/>
        <v>453.47615302202996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10.732679319912865</v>
      </c>
      <c r="GM201" s="21">
        <f>EXP(-LN(2)/25)*GM200+(1-EXP(-LN(2)/25))/(LN(2)/25)*Calculateur!GH201*Calculateur!GJ201*VLOOKUP('Données projet'!$B$17,Paramètres!$A$1:$I$89,3,0)*0.475*44/12</f>
        <v>2.558564204353261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13.291243524266125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69.173454466582058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>
        <f>GU201*VLOOKUP('Données projet'!$B$18,Paramètres!$A$1:$I$89,3,0)*VLOOKUP('Données projet'!$B$18,Paramètres!$A$1:$I$89,5,0)</f>
        <v>0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375.89365709113105</v>
      </c>
      <c r="HA201" s="59">
        <f t="shared" si="213"/>
        <v>279.39056561403834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16.089731620087733</v>
      </c>
      <c r="HH201" s="21">
        <f>EXP(-LN(2)/25)*HH200+(1-EXP(-LN(2)/25))/(LN(2)/25)*Calculateur!HC201*Calculateur!HE201*VLOOKUP('Données projet'!$B$18,Paramètres!$A$1:$I$89,3,0)*0.475*44/12</f>
        <v>3.1460887590471627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19.235820379134896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178.09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4.3717136577470225E-13</v>
      </c>
      <c r="P202" s="13">
        <f t="shared" si="203"/>
        <v>5.5313598682231701E-12</v>
      </c>
      <c r="Q202" s="20">
        <f t="shared" si="162"/>
        <v>1.039519189921296E-11</v>
      </c>
      <c r="R202" s="59">
        <f t="shared" si="191"/>
        <v>290.35524167360592</v>
      </c>
      <c r="S202" s="59">
        <f ca="1">AVERAGE(OFFSET($R$3,0,0,'Données projet'!$E$9+1,1))-AVERAGE(OFFSET($H$3,0,0,'Données projet'!$E$9+1,1))</f>
        <v>631.31712308065664</v>
      </c>
      <c r="T202" s="59">
        <f t="shared" si="204"/>
        <v>290.92244624361285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135.52993654307016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135.52993654307016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-2.8421709430404007E-14</v>
      </c>
      <c r="AJ202" s="13">
        <f>AI202*VLOOKUP('Données projet'!$B$10,Paramètres!$A$1:$I$89,3,0)*VLOOKUP('Données projet'!$B$10,Paramètres!$A$1:$I$89,5,0)</f>
        <v>-2.3942448024172337E-14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401.19166052471473</v>
      </c>
      <c r="AO202" s="59">
        <f t="shared" si="205"/>
        <v>271.10067497534271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30.70350454160813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30.70350454160813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4.8993342716130437E-13</v>
      </c>
      <c r="BF202" s="13">
        <f t="shared" si="167"/>
        <v>6.1172634040517391E-12</v>
      </c>
      <c r="BG202" s="20">
        <f t="shared" si="168"/>
        <v>1.1507534481029384E-11</v>
      </c>
      <c r="BH202" s="59">
        <f t="shared" si="194"/>
        <v>290.355241673607</v>
      </c>
      <c r="BI202" s="59">
        <f ca="1">AVERAGE(OFFSET($BH$3,0,0,'Données projet'!$E$11+1,1))-AVERAGE(OFFSET($H$3,0,0,'Données projet'!$E$11+1,1))</f>
        <v>695.93700574708214</v>
      </c>
      <c r="BJ202" s="59">
        <f t="shared" si="206"/>
        <v>318.31690229208471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151.88699784999238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151.88699784999238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1.7053025658242404E-13</v>
      </c>
      <c r="BZ202" s="13">
        <f>BY202*VLOOKUP('Données projet'!$B$12,Paramètres!$A$1:$I$89,3,0)*VLOOKUP('Données projet'!$B$12,Paramètres!$A$1:$I$89,5,0)</f>
        <v>1.1173142411280423E-13</v>
      </c>
      <c r="CA202" s="13">
        <f t="shared" si="170"/>
        <v>1.6569896290553793E-12</v>
      </c>
      <c r="CB202" s="20">
        <f t="shared" si="171"/>
        <v>3.0805225009345862E-12</v>
      </c>
      <c r="CC202" s="59">
        <f t="shared" si="195"/>
        <v>290.35524167359858</v>
      </c>
      <c r="CD202" s="59">
        <f ca="1">AVERAGE(OFFSET($CC$3,0,0,'Données projet'!$E$12+1,1))-AVERAGE(OFFSET($H$3,0,0,'Données projet'!$E$12+1,1))</f>
        <v>260.25859566735949</v>
      </c>
      <c r="CE202" s="59">
        <f t="shared" si="207"/>
        <v>256.93649773468667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6.3832104070107869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6.3832104070107869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1.7053025658242404E-13</v>
      </c>
      <c r="CU202" s="17">
        <f>CT202*VLOOKUP('Données projet'!$B$13,Paramètres!$A$1:$I$89,3,0)*VLOOKUP('Données projet'!$B$13,Paramètres!$A$1:$I$89,5,0)</f>
        <v>1.1173142411280423E-13</v>
      </c>
      <c r="CV202" s="13">
        <f t="shared" si="173"/>
        <v>1.6569896290553793E-12</v>
      </c>
      <c r="CW202" s="20">
        <f t="shared" si="174"/>
        <v>3.0805225009345862E-12</v>
      </c>
      <c r="CX202" s="59">
        <f t="shared" si="196"/>
        <v>290.35524167359858</v>
      </c>
      <c r="CY202" s="59">
        <f ca="1">AVERAGE(OFFSET($CX$3,0,0,'Données projet'!$E$13+1,1))-AVERAGE(OFFSET($H$3,0,0,'Données projet'!$E$13+1,1))</f>
        <v>260.25859566735949</v>
      </c>
      <c r="CZ202" s="59">
        <f t="shared" si="208"/>
        <v>256.93649773468667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6.3832104070107869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6.3832104070107869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-2.2737367544323206E-13</v>
      </c>
      <c r="DP202" s="17">
        <f>DO202*VLOOKUP('Données projet'!$B$14,Paramètres!$A$1:$I$89,3,0)*VLOOKUP('Données projet'!$B$14,Paramètres!$A$1:$I$89,5,0)</f>
        <v>-1.3005774235352875E-13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349.56396446903</v>
      </c>
      <c r="DU202" s="59">
        <f t="shared" si="209"/>
        <v>270.64279448634522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21.353072279463458</v>
      </c>
      <c r="EB202" s="21">
        <f>EXP(-LN(2)/25)*EB201+(1-EXP(-LN(2)/25))/(LN(2)/25)*Calculateur!DW202*Calculateur!DY202*VLOOKUP('Données projet'!$B$14,Paramètres!$A$1:$I$89,3,0)*0.475*44/12</f>
        <v>4.9291678948830393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26.282240174346498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375.89365709113105</v>
      </c>
      <c r="EP202" s="59">
        <f t="shared" si="210"/>
        <v>279.39056561403834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15.774221796785071</v>
      </c>
      <c r="EW202" s="21">
        <f>EXP(-LN(2)/25)*EW201+(1-EXP(-LN(2)/25))/(LN(2)/25)*Calculateur!ER202*Calculateur!ET202*VLOOKUP('Données projet'!$B$15,Paramètres!$A$1:$I$89,3,0)*0.475*44/12</f>
        <v>3.0600587964854005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18.834280593270471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-1.1368683772161603E-13</v>
      </c>
      <c r="FF202" s="17">
        <f>FE202*VLOOKUP('Données projet'!$B$16,Paramètres!$A$1:$I$89,3,0)*VLOOKUP('Données projet'!$B$16,Paramètres!$A$1:$I$89,5,0)</f>
        <v>-6.7984728957526396E-14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319.29539841078537</v>
      </c>
      <c r="FK202" s="59">
        <f t="shared" si="211"/>
        <v>327.26871144121412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8.8165098113629696</v>
      </c>
      <c r="FR202" s="21">
        <f>EXP(-LN(2)/25)*FR201+(1-EXP(-LN(2)/25))/(LN(2)/25)*Calculateur!FM202*Calculateur!FO202*VLOOKUP('Données projet'!$B$16,Paramètres!$A$1:$I$89,3,0)*0.475*44/12</f>
        <v>1.8164792380232153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10.632989049386184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2.2737367544323206E-13</v>
      </c>
      <c r="GA202" s="17">
        <f>FZ202*VLOOKUP('Données projet'!$B$17,Paramètres!$A$1:$I$89,3,0)*VLOOKUP('Données projet'!$B$17,Paramètres!$A$1:$I$89,5,0)</f>
        <v>1.0049916454590858E-13</v>
      </c>
      <c r="GB202" s="13">
        <f t="shared" si="185"/>
        <v>1.5089081593838289E-12</v>
      </c>
      <c r="GC202" s="20">
        <f t="shared" si="186"/>
        <v>2.8030510891776262E-12</v>
      </c>
      <c r="GD202" s="59">
        <f t="shared" si="200"/>
        <v>290.3552416735983</v>
      </c>
      <c r="GE202" s="59">
        <f ca="1">AVERAGE(OFFSET($GD$3,0,0,'Données projet'!$E$17+1,1))-AVERAGE(OFFSET($H$3,0,0,'Données projet'!$E$17+1,1))</f>
        <v>342.89128067483233</v>
      </c>
      <c r="GF202" s="59">
        <f t="shared" si="212"/>
        <v>453.47615302202996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10.522218024737366</v>
      </c>
      <c r="GM202" s="21">
        <f>EXP(-LN(2)/25)*GM201+(1-EXP(-LN(2)/25))/(LN(2)/25)*Calculateur!GH202*Calculateur!GJ202*VLOOKUP('Données projet'!$B$17,Paramètres!$A$1:$I$89,3,0)*0.475*44/12</f>
        <v>2.4886001316361774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13.010818156373544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69.187793183707868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>
        <f>GU202*VLOOKUP('Données projet'!$B$18,Paramètres!$A$1:$I$89,3,0)*VLOOKUP('Données projet'!$B$18,Paramètres!$A$1:$I$89,5,0)</f>
        <v>0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375.89365709113105</v>
      </c>
      <c r="HA202" s="59">
        <f t="shared" si="213"/>
        <v>279.39056561403834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15.774221796785071</v>
      </c>
      <c r="HH202" s="21">
        <f>EXP(-LN(2)/25)*HH201+(1-EXP(-LN(2)/25))/(LN(2)/25)*Calculateur!HC202*Calculateur!HE202*VLOOKUP('Données projet'!$B$18,Paramètres!$A$1:$I$89,3,0)*0.475*44/12</f>
        <v>3.0600587964854005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18.834280593270471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43.57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178.09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4.3717136577470225E-13</v>
      </c>
      <c r="P203" s="13">
        <f t="shared" si="203"/>
        <v>5.5313598682231701E-12</v>
      </c>
      <c r="Q203" s="20">
        <f t="shared" si="162"/>
        <v>1.039519189921296E-11</v>
      </c>
      <c r="R203" s="59">
        <f t="shared" si="191"/>
        <v>290.4069049058869</v>
      </c>
      <c r="S203" s="59">
        <f ca="1">AVERAGE(OFFSET($R$3,0,0,'Données projet'!$E$9+1,1))-AVERAGE(OFFSET($H$3,0,0,'Données projet'!$E$9+1,1))</f>
        <v>631.31712308065664</v>
      </c>
      <c r="T203" s="59">
        <f t="shared" si="204"/>
        <v>290.92244624361285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132.87227715255935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132.87227715255935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-2.8421709430404007E-14</v>
      </c>
      <c r="AJ203" s="13">
        <f>AI203*VLOOKUP('Données projet'!$B$10,Paramètres!$A$1:$I$89,3,0)*VLOOKUP('Données projet'!$B$10,Paramètres!$A$1:$I$89,5,0)</f>
        <v>-2.3942448024172337E-14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401.19166052471473</v>
      </c>
      <c r="AO203" s="59">
        <f t="shared" si="205"/>
        <v>271.10067497534271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30.101427544835797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30.101427544835797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4.8993342716130437E-13</v>
      </c>
      <c r="BF203" s="13">
        <f t="shared" si="167"/>
        <v>6.1172634040517391E-12</v>
      </c>
      <c r="BG203" s="20">
        <f t="shared" si="168"/>
        <v>1.1507534481029384E-11</v>
      </c>
      <c r="BH203" s="59">
        <f t="shared" si="194"/>
        <v>290.40690490588798</v>
      </c>
      <c r="BI203" s="59">
        <f ca="1">AVERAGE(OFFSET($BH$3,0,0,'Données projet'!$E$11+1,1))-AVERAGE(OFFSET($H$3,0,0,'Données projet'!$E$11+1,1))</f>
        <v>695.93700574708214</v>
      </c>
      <c r="BJ203" s="59">
        <f t="shared" si="206"/>
        <v>318.31690229208471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148.90858646407509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148.90858646407509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1.7053025658242404E-13</v>
      </c>
      <c r="BZ203" s="13">
        <f>BY203*VLOOKUP('Données projet'!$B$12,Paramètres!$A$1:$I$89,3,0)*VLOOKUP('Données projet'!$B$12,Paramètres!$A$1:$I$89,5,0)</f>
        <v>1.1173142411280423E-13</v>
      </c>
      <c r="CA203" s="13">
        <f t="shared" si="170"/>
        <v>1.6569896290553793E-12</v>
      </c>
      <c r="CB203" s="20">
        <f t="shared" si="171"/>
        <v>3.0805225009345862E-12</v>
      </c>
      <c r="CC203" s="59">
        <f t="shared" si="195"/>
        <v>290.40690490587957</v>
      </c>
      <c r="CD203" s="59">
        <f ca="1">AVERAGE(OFFSET($CC$3,0,0,'Données projet'!$E$12+1,1))-AVERAGE(OFFSET($H$3,0,0,'Données projet'!$E$12+1,1))</f>
        <v>260.25859566735949</v>
      </c>
      <c r="CE203" s="59">
        <f t="shared" si="207"/>
        <v>256.93649773468667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6.2580395443032151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6.2580395443032151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1.7053025658242404E-13</v>
      </c>
      <c r="CU203" s="17">
        <f>CT203*VLOOKUP('Données projet'!$B$13,Paramètres!$A$1:$I$89,3,0)*VLOOKUP('Données projet'!$B$13,Paramètres!$A$1:$I$89,5,0)</f>
        <v>1.1173142411280423E-13</v>
      </c>
      <c r="CV203" s="13">
        <f t="shared" si="173"/>
        <v>1.6569896290553793E-12</v>
      </c>
      <c r="CW203" s="20">
        <f t="shared" si="174"/>
        <v>3.0805225009345862E-12</v>
      </c>
      <c r="CX203" s="59">
        <f t="shared" si="196"/>
        <v>290.40690490587957</v>
      </c>
      <c r="CY203" s="59">
        <f ca="1">AVERAGE(OFFSET($CX$3,0,0,'Données projet'!$E$13+1,1))-AVERAGE(OFFSET($H$3,0,0,'Données projet'!$E$13+1,1))</f>
        <v>260.25859566735949</v>
      </c>
      <c r="CZ203" s="59">
        <f t="shared" si="208"/>
        <v>256.93649773468667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6.2580395443032151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6.2580395443032151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-2.2737367544323206E-13</v>
      </c>
      <c r="DP203" s="17">
        <f>DO203*VLOOKUP('Données projet'!$B$14,Paramètres!$A$1:$I$89,3,0)*VLOOKUP('Données projet'!$B$14,Paramètres!$A$1:$I$89,5,0)</f>
        <v>-1.3005774235352875E-13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349.56396446903</v>
      </c>
      <c r="DU203" s="59">
        <f t="shared" si="209"/>
        <v>270.64279448634522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20.934351556151249</v>
      </c>
      <c r="EB203" s="21">
        <f>EXP(-LN(2)/25)*EB202+(1-EXP(-LN(2)/25))/(LN(2)/25)*Calculateur!DW203*Calculateur!DY203*VLOOKUP('Données projet'!$B$14,Paramètres!$A$1:$I$89,3,0)*0.475*44/12</f>
        <v>4.7943795395837885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25.728731095735036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375.89365709113105</v>
      </c>
      <c r="EP203" s="59">
        <f t="shared" si="210"/>
        <v>279.39056561403834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15.464898928675385</v>
      </c>
      <c r="EW203" s="21">
        <f>EXP(-LN(2)/25)*EW202+(1-EXP(-LN(2)/25))/(LN(2)/25)*Calculateur!ER203*Calculateur!ET203*VLOOKUP('Données projet'!$B$15,Paramètres!$A$1:$I$89,3,0)*0.475*44/12</f>
        <v>2.9763813277740088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18.441280256449396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-1.1368683772161603E-13</v>
      </c>
      <c r="FF203" s="17">
        <f>FE203*VLOOKUP('Données projet'!$B$16,Paramètres!$A$1:$I$89,3,0)*VLOOKUP('Données projet'!$B$16,Paramètres!$A$1:$I$89,5,0)</f>
        <v>-6.7984728957526396E-14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319.29539841078537</v>
      </c>
      <c r="FK203" s="59">
        <f t="shared" si="211"/>
        <v>327.26871144121412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8.6436234315021387</v>
      </c>
      <c r="FR203" s="21">
        <f>EXP(-LN(2)/25)*FR202+(1-EXP(-LN(2)/25))/(LN(2)/25)*Calculateur!FM203*Calculateur!FO203*VLOOKUP('Données projet'!$B$16,Paramètres!$A$1:$I$89,3,0)*0.475*44/12</f>
        <v>1.7668075177349789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10.410430949237117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2.2737367544323206E-13</v>
      </c>
      <c r="GA203" s="17">
        <f>FZ203*VLOOKUP('Données projet'!$B$17,Paramètres!$A$1:$I$89,3,0)*VLOOKUP('Données projet'!$B$17,Paramètres!$A$1:$I$89,5,0)</f>
        <v>1.0049916454590858E-13</v>
      </c>
      <c r="GB203" s="13">
        <f t="shared" si="185"/>
        <v>1.5089081593838289E-12</v>
      </c>
      <c r="GC203" s="20">
        <f t="shared" si="186"/>
        <v>2.8030510891776262E-12</v>
      </c>
      <c r="GD203" s="59">
        <f t="shared" si="200"/>
        <v>290.40690490587929</v>
      </c>
      <c r="GE203" s="59">
        <f ca="1">AVERAGE(OFFSET($GD$3,0,0,'Données projet'!$E$17+1,1))-AVERAGE(OFFSET($H$3,0,0,'Données projet'!$E$17+1,1))</f>
        <v>342.89128067483233</v>
      </c>
      <c r="GF203" s="59">
        <f t="shared" si="212"/>
        <v>453.47615302202996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10.315883747191545</v>
      </c>
      <c r="GM203" s="21">
        <f>EXP(-LN(2)/25)*GM202+(1-EXP(-LN(2)/25))/(LN(2)/25)*Calculateur!GH203*Calculateur!GJ203*VLOOKUP('Données projet'!$B$17,Paramètres!$A$1:$I$89,3,0)*0.475*44/12</f>
        <v>2.420549230166793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12.736432977358339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69.201883156148128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>
        <f>GU203*VLOOKUP('Données projet'!$B$18,Paramètres!$A$1:$I$89,3,0)*VLOOKUP('Données projet'!$B$18,Paramètres!$A$1:$I$89,5,0)</f>
        <v>0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375.89365709113105</v>
      </c>
      <c r="HA203" s="59">
        <f t="shared" si="213"/>
        <v>279.39056561403834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15.464898928675385</v>
      </c>
      <c r="HH203" s="21">
        <f>EXP(-LN(2)/25)*HH202+(1-EXP(-LN(2)/25))/(LN(2)/25)*Calculateur!HC203*Calculateur!HE203*VLOOKUP('Données projet'!$B$18,Paramètres!$A$1:$I$89,3,0)*0.475*44/12</f>
        <v>2.9763813277740088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18.441280256449396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1.1398946049533631</v>
      </c>
      <c r="BA205" s="82">
        <f>EXP(LN('Données projet'!B88)/'Données projet'!A88)</f>
        <v>1.1289835501862808</v>
      </c>
      <c r="BV205" s="82">
        <f>EXP(LN('Données projet'!B114)/'Données projet'!A114)</f>
        <v>1.2457309396155174</v>
      </c>
      <c r="CQ205" s="82">
        <f>EXP(LN('Données projet'!B140)/'Données projet'!A140)</f>
        <v>1.2457309396155174</v>
      </c>
      <c r="DL205" s="82">
        <f>EXP(LN('Données projet'!B166)/'Données projet'!A166)</f>
        <v>1.2162972496060784</v>
      </c>
      <c r="EG205" s="82">
        <f>EXP(LN('Données projet'!B192)/'Données projet'!A192)</f>
        <v>1.2472301622014093</v>
      </c>
      <c r="FB205" s="82">
        <f>EXP(LN('Données projet'!B218)/'Données projet'!A218)</f>
        <v>1.3267648858502221</v>
      </c>
      <c r="FW205" s="82">
        <f>EXP(LN('Données projet'!B244)/'Données projet'!A244)</f>
        <v>1.3431115227802051</v>
      </c>
      <c r="GR205" s="82">
        <f>EXP(LN('Données projet'!B270)/'Données projet'!A270)</f>
        <v>1.2472301622014093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G1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1.0440799999999999</v>
      </c>
      <c r="C6" s="147">
        <f ca="1">IF(OR('Données projet'!B9="",'Données projet'!C9="",'Données projet'!C9=0%),0,Calculateur!S3)</f>
        <v>631.31712308065664</v>
      </c>
      <c r="D6" s="147">
        <f>IF(OR('Données projet'!B9="",'Données projet'!C9="",'Données projet'!C9=0%),0,Calculateur!T3)</f>
        <v>290.92244624361285</v>
      </c>
      <c r="E6" s="147">
        <f ca="1">MIN(C6,D6)</f>
        <v>290.92244624361285</v>
      </c>
      <c r="F6" s="147">
        <f ca="1">E6*B6</f>
        <v>303.7463076740313</v>
      </c>
      <c r="G6" s="147">
        <f ca="1">F6*(100%-'Données projet'!$C$24)*(100%-'Données projet'!$C$25)*(100%-'Données projet'!$C$26)*(100%-'Données projet'!$C$27)</f>
        <v>273.37167690662818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273.37167690662818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0.84200000000000008</v>
      </c>
      <c r="C7" s="147">
        <f ca="1">IF(OR('Données projet'!B10="",'Données projet'!C10="",'Données projet'!C10=0%),0,Calculateur!AN3)</f>
        <v>401.19166052471473</v>
      </c>
      <c r="D7" s="147">
        <f>IF(OR('Données projet'!B10="",'Données projet'!C10="",'Données projet'!C10=0%),0,Calculateur!AO3)</f>
        <v>271.10067497534271</v>
      </c>
      <c r="E7" s="147">
        <f t="shared" ref="E7:E15" ca="1" si="0">MIN(C7,D7)</f>
        <v>271.10067497534271</v>
      </c>
      <c r="F7" s="147">
        <f t="shared" ref="F7:F15" ca="1" si="1">E7*B7</f>
        <v>228.26676832923857</v>
      </c>
      <c r="G7" s="147">
        <f ca="1">F7*(100%-'Données projet'!$C$24)*(100%-'Données projet'!$C$25)*(100%-'Données projet'!$C$26)*(100%-'Données projet'!$C$27)</f>
        <v>205.44009149631472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205.44009149631472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pubescent</v>
      </c>
      <c r="B8" s="154">
        <f>'Données projet'!D11</f>
        <v>1.0104</v>
      </c>
      <c r="C8" s="147">
        <f ca="1">IF(OR('Données projet'!B11="",'Données projet'!C11="",'Données projet'!C11=0%),0,Calculateur!BI3)</f>
        <v>695.93700574708214</v>
      </c>
      <c r="D8" s="147">
        <f>IF(OR('Données projet'!B11="",'Données projet'!C11="",'Données projet'!C11=0%),0,Calculateur!BJ3)</f>
        <v>318.31690229208471</v>
      </c>
      <c r="E8" s="147">
        <f t="shared" ca="1" si="0"/>
        <v>318.31690229208471</v>
      </c>
      <c r="F8" s="147">
        <f t="shared" ca="1" si="1"/>
        <v>321.62739807592237</v>
      </c>
      <c r="G8" s="147">
        <f ca="1">F8*(100%-'Données projet'!$C$24)*(100%-'Données projet'!$C$25)*(100%-'Données projet'!$C$26)*(100%-'Données projet'!$C$27)</f>
        <v>289.46465826833014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289.46465826833014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Aulne glutineux</v>
      </c>
      <c r="B9" s="154">
        <f>'Données projet'!D12</f>
        <v>0.50519999999999998</v>
      </c>
      <c r="C9" s="147">
        <f ca="1">IF(OR('Données projet'!B12="",'Données projet'!C12="",'Données projet'!C12=0%),0,Calculateur!CD3)</f>
        <v>260.25859566735949</v>
      </c>
      <c r="D9" s="147">
        <f>IF(OR('Données projet'!B12="",'Données projet'!C12="",'Données projet'!C12=0%),0,Calculateur!CE3)</f>
        <v>256.93649773468667</v>
      </c>
      <c r="E9" s="147">
        <f t="shared" ca="1" si="0"/>
        <v>256.93649773468667</v>
      </c>
      <c r="F9" s="147">
        <f t="shared" ca="1" si="1"/>
        <v>129.80431865556369</v>
      </c>
      <c r="G9" s="147">
        <f ca="1">F9*(100%-'Données projet'!$C$24)*(100%-'Données projet'!$C$25)*(100%-'Données projet'!$C$26)*(100%-'Données projet'!$C$27)</f>
        <v>116.82388679000732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6.4413</v>
      </c>
      <c r="K9" s="151">
        <f>J9*(100%-'Données projet'!$C$24)*(100%-'Données projet'!$C$25)*(100%-'Données projet'!$C$26)*(100%-'Données projet'!$C$27)</f>
        <v>5.7971700000000004</v>
      </c>
      <c r="L9" s="152">
        <f t="shared" ca="1" si="2"/>
        <v>122.62105679000732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Aulne à feuilles en cœur</v>
      </c>
      <c r="B10" s="154">
        <f>'Données projet'!D13</f>
        <v>1.0104</v>
      </c>
      <c r="C10" s="147">
        <f ca="1">IF(OR('Données projet'!B13="",'Données projet'!C13="",'Données projet'!C13=0%),0,Calculateur!CY3)</f>
        <v>260.25859566735949</v>
      </c>
      <c r="D10" s="147">
        <f>IF(OR('Données projet'!B13="",'Données projet'!C13="",'Données projet'!C13=0%),0,Calculateur!CZ3)</f>
        <v>256.93649773468667</v>
      </c>
      <c r="E10" s="147">
        <f t="shared" ca="1" si="0"/>
        <v>256.93649773468667</v>
      </c>
      <c r="F10" s="147">
        <f t="shared" ca="1" si="1"/>
        <v>259.60863731112738</v>
      </c>
      <c r="G10" s="147">
        <f ca="1">F10*(100%-'Données projet'!$C$24)*(100%-'Données projet'!$C$25)*(100%-'Données projet'!$C$26)*(100%-'Données projet'!$C$27)</f>
        <v>233.64777358001464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12.8826</v>
      </c>
      <c r="K10" s="151">
        <f>J10*(100%-'Données projet'!$C$24)*(100%-'Données projet'!$C$25)*(100%-'Données projet'!$C$26)*(100%-'Données projet'!$C$27)</f>
        <v>11.594340000000001</v>
      </c>
      <c r="L10" s="152">
        <f t="shared" ca="1" si="2"/>
        <v>245.24211358001463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Pin sylvestre</v>
      </c>
      <c r="B11" s="154">
        <f>'Données projet'!D14</f>
        <v>1.0104</v>
      </c>
      <c r="C11" s="147">
        <f ca="1">IF(OR('Données projet'!B14="",'Données projet'!C14="",'Données projet'!C14=0%),0,Calculateur!DT3)</f>
        <v>349.56396446903</v>
      </c>
      <c r="D11" s="147">
        <f>IF(OR('Données projet'!B14="",'Données projet'!C14="",'Données projet'!C14=0%),0,Calculateur!DU3)</f>
        <v>270.64279448634522</v>
      </c>
      <c r="E11" s="147">
        <f t="shared" ca="1" si="0"/>
        <v>270.64279448634522</v>
      </c>
      <c r="F11" s="147">
        <f t="shared" ca="1" si="1"/>
        <v>273.45747954900321</v>
      </c>
      <c r="G11" s="147">
        <f ca="1">F11*(100%-'Données projet'!$C$24)*(100%-'Données projet'!$C$25)*(100%-'Données projet'!$C$26)*(100%-'Données projet'!$C$27)</f>
        <v>246.11173159410291</v>
      </c>
      <c r="H11" s="155">
        <f>IF(OR('Données projet'!B14="",'Données projet'!C14="",'Données projet'!C14=0%),0,AVERAGE(Calculateur!$ED$3:$ED$33)*B11)</f>
        <v>2.8312585768350775</v>
      </c>
      <c r="I11" s="149">
        <f>H11*(100%-'Données projet'!$C$24)*(100%-'Données projet'!$C$25)*(100%-'Données projet'!$C$26)*(100%-'Données projet'!$C$27)</f>
        <v>2.5481327191515697</v>
      </c>
      <c r="J11" s="150">
        <f>IF(OR('Données projet'!B14="",'Données projet'!C14="",'Données projet'!C14=0%),0,SUM(Calculateur!$DW$3:$DW$33)*VLOOKUP('Données projet'!$B$14,Paramètres!$A$1:$I$89,9,0)*B11)</f>
        <v>28.905422160000001</v>
      </c>
      <c r="K11" s="151">
        <f>J11*(100%-'Données projet'!$C$24)*(100%-'Données projet'!$C$25)*(100%-'Données projet'!$C$26)*(100%-'Données projet'!$C$27)</f>
        <v>26.014879944</v>
      </c>
      <c r="L11" s="152">
        <f t="shared" ca="1" si="2"/>
        <v>274.67474425725447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Pin taeda</v>
      </c>
      <c r="B12" s="154">
        <f>'Données projet'!D15</f>
        <v>1.5155999999999998</v>
      </c>
      <c r="C12" s="147">
        <f ca="1">IF(OR('Données projet'!B15="",'Données projet'!C15="",'Données projet'!C15=0%),0,Calculateur!EO3)</f>
        <v>375.89365709113105</v>
      </c>
      <c r="D12" s="147">
        <f>IF(OR('Données projet'!B15="",'Données projet'!C15="",'Données projet'!C15=0%),0,Calculateur!EP3)</f>
        <v>279.39056561403834</v>
      </c>
      <c r="E12" s="147">
        <f t="shared" ca="1" si="0"/>
        <v>279.39056561403834</v>
      </c>
      <c r="F12" s="147">
        <f t="shared" ca="1" si="1"/>
        <v>423.44434124463646</v>
      </c>
      <c r="G12" s="147">
        <f ca="1">F12*(100%-'Données projet'!$C$24)*(100%-'Données projet'!$C$25)*(100%-'Données projet'!$C$26)*(100%-'Données projet'!$C$27)</f>
        <v>381.09990712017282</v>
      </c>
      <c r="H12" s="155">
        <f>IF(OR('Données projet'!B15="",'Données projet'!C15="",'Données projet'!C15=0%),0,AVERAGE(Calculateur!$EY$3:$EY$33)*B12)</f>
        <v>8.9245933851510468</v>
      </c>
      <c r="I12" s="149">
        <f>H12*(100%-'Données projet'!$C$24)*(100%-'Données projet'!$C$25)*(100%-'Données projet'!$C$26)*(100%-'Données projet'!$C$27)</f>
        <v>8.0321340466359423</v>
      </c>
      <c r="J12" s="150">
        <f>IF(OR('Données projet'!B15="",'Données projet'!C15="",'Données projet'!C15=0%),0,SUM(Calculateur!$ER$3:$ER$33)*VLOOKUP('Données projet'!$B$15,Paramètres!$A$1:$I$89,9,0)*B12)</f>
        <v>58.816646999999989</v>
      </c>
      <c r="K12" s="151">
        <f>J12*(100%-'Données projet'!$C$24)*(100%-'Données projet'!$C$25)*(100%-'Données projet'!$C$26)*(100%-'Données projet'!$C$27)</f>
        <v>52.934982299999994</v>
      </c>
      <c r="L12" s="152">
        <f t="shared" ca="1" si="2"/>
        <v>442.06702346680873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Pin maritime</v>
      </c>
      <c r="B13" s="154">
        <f>'Données projet'!D16</f>
        <v>1.5155999999999998</v>
      </c>
      <c r="C13" s="147">
        <f ca="1">IF(OR('Données projet'!B16="",'Données projet'!C16="",'Données projet'!C16=0%),0,Calculateur!FJ3)</f>
        <v>319.29539841078537</v>
      </c>
      <c r="D13" s="147">
        <f>IF(OR('Données projet'!B16="",'Données projet'!C16="",'Données projet'!C16=0%),0,Calculateur!FK3)</f>
        <v>327.26871144121412</v>
      </c>
      <c r="E13" s="147">
        <f t="shared" ca="1" si="0"/>
        <v>319.29539841078537</v>
      </c>
      <c r="F13" s="147">
        <f t="shared" ca="1" si="1"/>
        <v>483.92410583138627</v>
      </c>
      <c r="G13" s="147">
        <f ca="1">F13*(100%-'Données projet'!$C$24)*(100%-'Données projet'!$C$25)*(100%-'Données projet'!$C$26)*(100%-'Données projet'!$C$27)</f>
        <v>435.53169524824767</v>
      </c>
      <c r="H13" s="155">
        <f>IF(OR('Données projet'!B16="",'Données projet'!C16="",'Données projet'!C16=0%),0,AVERAGE(Calculateur!$FT$3:$FT$33)*B13)</f>
        <v>16.619632149748263</v>
      </c>
      <c r="I13" s="149">
        <f>H13*(100%-'Données projet'!$C$24)*(100%-'Données projet'!$C$25)*(100%-'Données projet'!$C$26)*(100%-'Données projet'!$C$27)</f>
        <v>14.957668934773437</v>
      </c>
      <c r="J13" s="150">
        <f>IF(OR('Données projet'!C16="",'Données projet'!C16=0%),0,SUM(Calculateur!$FM$3:$FM$33)*VLOOKUP('Données projet'!$B$16,Paramètres!$A$1:$I$89,9,0)*B13)</f>
        <v>136.94734259999996</v>
      </c>
      <c r="K13" s="151">
        <f>J13*(100%-'Données projet'!$C$24)*(100%-'Données projet'!$C$25)*(100%-'Données projet'!$C$26)*(100%-'Données projet'!$C$27)</f>
        <v>123.25260833999997</v>
      </c>
      <c r="L13" s="152">
        <f t="shared" ca="1" si="2"/>
        <v>573.7419725230211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Séquoia toujours vert</v>
      </c>
      <c r="B14" s="154">
        <f>'Données projet'!D17</f>
        <v>2.3576000000000001</v>
      </c>
      <c r="C14" s="147">
        <f ca="1">IF(OR('Données projet'!B17="",'Données projet'!C17="",'Données projet'!C17=0%),0,Calculateur!GE3)</f>
        <v>342.89128067483233</v>
      </c>
      <c r="D14" s="147">
        <f>IF(OR('Données projet'!B17="",'Données projet'!C17="",'Données projet'!C17=0%),0,Calculateur!GF3)</f>
        <v>453.47615302202996</v>
      </c>
      <c r="E14" s="147">
        <f t="shared" ca="1" si="0"/>
        <v>342.89128067483233</v>
      </c>
      <c r="F14" s="147">
        <f t="shared" ca="1" si="1"/>
        <v>808.4004833189847</v>
      </c>
      <c r="G14" s="147">
        <f ca="1">F14*(100%-'Données projet'!$C$24)*(100%-'Données projet'!$C$25)*(100%-'Données projet'!$C$26)*(100%-'Données projet'!$C$27)</f>
        <v>727.5604349870863</v>
      </c>
      <c r="H14" s="155">
        <f>IF(OR('Données projet'!B17="",'Données projet'!C17="",'Données projet'!C17=0%),0,AVERAGE(Calculateur!$GO$3:$GO$33)*B14)</f>
        <v>30.305156187502686</v>
      </c>
      <c r="I14" s="149">
        <f>H14*(100%-'Données projet'!$C$24)*(100%-'Données projet'!$C$25)*(100%-'Données projet'!$C$26)*(100%-'Données projet'!$C$27)</f>
        <v>27.274640568752417</v>
      </c>
      <c r="J14" s="150">
        <f>IF(OR('Données projet'!B17="",'Données projet'!C17="",'Données projet'!C17=0%),0,SUM(Calculateur!$GH$3:$GH$33)*VLOOKUP('Données projet'!$B$17,Paramètres!$A$1:$I$89,9,0)*B14)</f>
        <v>210.03245424000002</v>
      </c>
      <c r="K14" s="151">
        <f>J14*(100%-'Données projet'!$C$24)*(100%-'Données projet'!$C$25)*(100%-'Données projet'!$C$26)*(100%-'Données projet'!$C$27)</f>
        <v>189.02920881600002</v>
      </c>
      <c r="L14" s="152">
        <f t="shared" ca="1" si="2"/>
        <v>943.86428437183872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Pin laricio</v>
      </c>
      <c r="B15" s="157">
        <f>'Données projet'!D18</f>
        <v>4.21</v>
      </c>
      <c r="C15" s="158">
        <f ca="1">IF(OR('Données projet'!B18="",'Données projet'!C18="",'Données projet'!C18=0%),0,Calculateur!GZ3)</f>
        <v>375.89365709113105</v>
      </c>
      <c r="D15" s="158">
        <f>IF(OR('Données projet'!B18="",'Données projet'!C18="",'Données projet'!C18=0%),0,Calculateur!HA3)</f>
        <v>279.39056561403834</v>
      </c>
      <c r="E15" s="158">
        <f t="shared" ca="1" si="0"/>
        <v>279.39056561403834</v>
      </c>
      <c r="F15" s="159">
        <f t="shared" ca="1" si="1"/>
        <v>1176.2342812351014</v>
      </c>
      <c r="G15" s="159">
        <f ca="1">F15*(100%-'Données projet'!$C$24)*(100%-'Données projet'!$C$25)*(100%-'Données projet'!$C$26)*(100%-'Données projet'!$C$27)</f>
        <v>1058.6108531115913</v>
      </c>
      <c r="H15" s="160">
        <f>IF(OR('Données projet'!B18="",'Données projet'!C18="",'Données projet'!C18=0%),0,AVERAGE(Calculateur!$HJ$3:$HJ$33)*B15)</f>
        <v>24.790537180975132</v>
      </c>
      <c r="I15" s="161">
        <f>H15*(100%-'Données projet'!$C$24)*(100%-'Données projet'!$C$25)*(100%-'Données projet'!$C$26)*(100%-'Données projet'!$C$27)</f>
        <v>22.311483462877618</v>
      </c>
      <c r="J15" s="162">
        <f>IF(OR('Données projet'!B18="",'Données projet'!C18="",'Données projet'!C18=0%),0,SUM(Calculateur!$HC$3:$HC$33)*VLOOKUP('Données projet'!$B$18,Paramètres!$A$1:$I$89,9,0)*B15)</f>
        <v>163.37957499999999</v>
      </c>
      <c r="K15" s="163">
        <f>J15*(100%-'Données projet'!$C$24)*(100%-'Données projet'!$C$25)*(100%-'Données projet'!$C$26)*(100%-'Données projet'!$C$27)</f>
        <v>147.0416175</v>
      </c>
      <c r="L15" s="164">
        <f t="shared" ca="1" si="2"/>
        <v>1227.9639540744688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4408.5141212249955</v>
      </c>
      <c r="G16" s="166">
        <f t="shared" ca="1" si="3"/>
        <v>3967.6627091024957</v>
      </c>
      <c r="H16" s="167">
        <f t="shared" si="3"/>
        <v>83.471177480212205</v>
      </c>
      <c r="I16" s="167">
        <f t="shared" si="3"/>
        <v>75.124059732190986</v>
      </c>
      <c r="J16" s="168">
        <f t="shared" si="3"/>
        <v>617.40534099999991</v>
      </c>
      <c r="K16" s="168">
        <f t="shared" si="3"/>
        <v>555.66480690000003</v>
      </c>
      <c r="L16" s="169">
        <f t="shared" ca="1" si="3"/>
        <v>4598.4515757346871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Aulne à feuilles en cœur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Pin sylvestre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Pin taeda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Pin maritime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Séquoia toujours vert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Pin laricio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" zoomScale="80" zoomScaleNormal="80" workbookViewId="0">
      <selection activeCell="D12" sqref="D1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-8002.2061058529052</v>
      </c>
      <c r="U10" s="178">
        <f>'Données projet'!D9</f>
        <v>1.0440799999999999</v>
      </c>
      <c r="V10" s="177">
        <f>U10*T10</f>
        <v>-8354.9433509989012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-7774.7342073157852</v>
      </c>
      <c r="U11" s="178">
        <f>'Données projet'!D10</f>
        <v>0.84200000000000008</v>
      </c>
      <c r="V11" s="177">
        <f t="shared" ref="V11" si="0">U11*T11</f>
        <v>-6546.3262025598915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-8457.149902927149</v>
      </c>
      <c r="U12" s="178">
        <f>'Données projet'!D11</f>
        <v>1.0104</v>
      </c>
      <c r="V12" s="177">
        <f t="shared" ref="V12:V19" si="1">U12*T12</f>
        <v>-8545.1042619175914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-4821.66</v>
      </c>
      <c r="U13" s="178">
        <f>'Données projet'!D12</f>
        <v>0.50519999999999998</v>
      </c>
      <c r="V13" s="177">
        <f t="shared" si="1"/>
        <v>-2435.9026319999998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Aulne à feuilles en cœur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-6269.9151784473979</v>
      </c>
      <c r="U14" s="178">
        <f>'Données projet'!D13</f>
        <v>1.0104</v>
      </c>
      <c r="V14" s="177">
        <f t="shared" si="1"/>
        <v>-6335.1222963032506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sylvestre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-5841.2230697502528</v>
      </c>
      <c r="U15" s="178">
        <f>'Données projet'!D14</f>
        <v>1.0104</v>
      </c>
      <c r="V15" s="177">
        <f t="shared" si="1"/>
        <v>-5901.9717896756556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Pin taeda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-5454.520842237147</v>
      </c>
      <c r="U16" s="178">
        <f>'Données projet'!D15</f>
        <v>1.5155999999999998</v>
      </c>
      <c r="V16" s="177">
        <f t="shared" si="1"/>
        <v>-8266.87178849462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1533.66+3200+288</f>
        <v>5021.66</v>
      </c>
      <c r="F17" s="230"/>
      <c r="G17" s="303"/>
      <c r="I17" s="1" t="s">
        <v>326</v>
      </c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Pin maritime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-5454.520842237147</v>
      </c>
      <c r="U17" s="178">
        <f>'Données projet'!D16</f>
        <v>1.5155999999999998</v>
      </c>
      <c r="V17" s="177">
        <f t="shared" si="1"/>
        <v>-8266.87178849462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360+430</f>
        <v>790</v>
      </c>
      <c r="F18" s="230"/>
      <c r="G18" s="303"/>
      <c r="I18" s="1" t="s">
        <v>325</v>
      </c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>Séquoia toujours vert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-9221.4554820118774</v>
      </c>
      <c r="U18" s="178">
        <f>'Données projet'!D17</f>
        <v>2.3576000000000001</v>
      </c>
      <c r="V18" s="177">
        <f t="shared" si="1"/>
        <v>-21740.503444391205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490+430+753.3</f>
        <v>1673.3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>Pin laricio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-5545.5096016519947</v>
      </c>
      <c r="U19" s="178">
        <f>'Données projet'!D18</f>
        <v>4.21</v>
      </c>
      <c r="V19" s="177">
        <f t="shared" si="1"/>
        <v>-23346.595422954899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360+430</f>
        <v>790</v>
      </c>
      <c r="F20" s="230"/>
      <c r="G20" s="303"/>
      <c r="H20" s="190">
        <v>1</v>
      </c>
      <c r="I20" s="191">
        <f>650+20</f>
        <v>670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20+700+20*'Données projet'!C5</f>
        <v>1056.8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/>
      <c r="D23" s="182">
        <f>B23*C23</f>
        <v>0</v>
      </c>
      <c r="E23" s="193"/>
      <c r="F23" s="230"/>
      <c r="H23" s="190">
        <v>4</v>
      </c>
      <c r="I23" s="191">
        <v>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-132442.56519592868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/>
      <c r="D25" s="182">
        <f t="shared" si="2"/>
        <v>0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-132442.56519592868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/>
      <c r="D26" s="182">
        <f t="shared" si="2"/>
        <v>0</v>
      </c>
      <c r="E26" s="193"/>
      <c r="F26" s="233"/>
      <c r="G26" s="229"/>
      <c r="H26" s="190">
        <v>7</v>
      </c>
      <c r="I26" s="191">
        <v>20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/>
      <c r="D27" s="182">
        <f t="shared" si="2"/>
        <v>0</v>
      </c>
      <c r="E27" s="193"/>
      <c r="F27" s="233"/>
      <c r="G27" s="229"/>
      <c r="H27" s="190">
        <v>8</v>
      </c>
      <c r="I27" s="191">
        <v>20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1533.66+3000+288</f>
        <v>4821.66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360+430</f>
        <v>790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490+430+723.3</f>
        <v>1643.3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360+430</f>
        <v>790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38</v>
      </c>
      <c r="B54" s="181">
        <f>'Données projet'!D62</f>
        <v>69.08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45</v>
      </c>
      <c r="B55" s="181">
        <f>'Données projet'!D63</f>
        <v>39.119999999999997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52</v>
      </c>
      <c r="B56" s="181">
        <f>'Données projet'!D64</f>
        <v>40.9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59</v>
      </c>
      <c r="B57" s="181">
        <f>'Données projet'!D65</f>
        <v>38.119999999999997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67</v>
      </c>
      <c r="B58" s="181">
        <f>'Données projet'!D66</f>
        <v>38.229999999999997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75</v>
      </c>
      <c r="B59" s="181">
        <f>'Données projet'!D67</f>
        <v>38.909999999999997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83</v>
      </c>
      <c r="B60" s="181">
        <f>'Données projet'!D68</f>
        <v>44.22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93</v>
      </c>
      <c r="B61" s="181">
        <f>'Données projet'!D69</f>
        <v>59.26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103</v>
      </c>
      <c r="B62" s="181">
        <f>'Données projet'!D70</f>
        <v>58.98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113</v>
      </c>
      <c r="B63" s="181">
        <f>'Données projet'!D71</f>
        <v>59.52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123</v>
      </c>
      <c r="B64" s="181">
        <f>'Données projet'!D72</f>
        <v>175.3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125</v>
      </c>
      <c r="B65" s="181">
        <f>'Données projet'!D73</f>
        <v>60.7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127</v>
      </c>
      <c r="B66" s="181">
        <f>'Données projet'!D74</f>
        <v>39.56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130</v>
      </c>
      <c r="B67" s="181">
        <f>'Données projet'!D75</f>
        <v>96.57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1533.66+3600+288</f>
        <v>5421.66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360+430</f>
        <v>790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490+430+813.3</f>
        <v>1733.3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360+430</f>
        <v>790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1533.66+288+3000</f>
        <v>4821.66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360+430</f>
        <v>790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490+430+723.3</f>
        <v>1643.3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360+430</f>
        <v>790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1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3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20</v>
      </c>
      <c r="B118" s="181">
        <f>'Données projet'!D116</f>
        <v>9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25</v>
      </c>
      <c r="B119" s="181">
        <f>'Données projet'!D117</f>
        <v>18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30</v>
      </c>
      <c r="B120" s="181">
        <f>'Données projet'!D118</f>
        <v>20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35</v>
      </c>
      <c r="B121" s="181">
        <f>'Données projet'!D119</f>
        <v>21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40</v>
      </c>
      <c r="B122" s="181">
        <f>'Données projet'!D120</f>
        <v>22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45</v>
      </c>
      <c r="B123" s="181">
        <f>'Données projet'!D121</f>
        <v>22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50</v>
      </c>
      <c r="B124" s="181">
        <f>'Données projet'!D122</f>
        <v>21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55</v>
      </c>
      <c r="B125" s="181">
        <f>'Données projet'!D123</f>
        <v>20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60</v>
      </c>
      <c r="B126" s="181">
        <f>'Données projet'!D124</f>
        <v>19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65</v>
      </c>
      <c r="B127" s="181">
        <f>'Données projet'!D125</f>
        <v>18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70</v>
      </c>
      <c r="B128" s="181">
        <f>'Données projet'!D126</f>
        <v>17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75</v>
      </c>
      <c r="B129" s="181">
        <f>'Données projet'!D127</f>
        <v>16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80</v>
      </c>
      <c r="B130" s="181">
        <f>'Données projet'!D128</f>
        <v>15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85</v>
      </c>
      <c r="B131" s="181">
        <f>'Données projet'!D129</f>
        <v>14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90</v>
      </c>
      <c r="B132" s="181">
        <f>'Données projet'!D130</f>
        <v>217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Aulne à feuilles en cœur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1533.66+288+3000</f>
        <v>4821.66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360+430</f>
        <v>790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490+430+723.3</f>
        <v>1643.3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>360+430</f>
        <v>790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1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3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9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5">
        <f>'Données projet'!D143</f>
        <v>18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5">
        <f>'Données projet'!D144</f>
        <v>20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5">
        <f>'Données projet'!D145</f>
        <v>21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5">
        <f>'Données projet'!D146</f>
        <v>22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5">
        <f>'Données projet'!D147</f>
        <v>22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5">
        <f>'Données projet'!D148</f>
        <v>21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5">
        <f>'Données projet'!D149</f>
        <v>20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5">
        <f>'Données projet'!D150</f>
        <v>19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5">
        <f>'Données projet'!D151</f>
        <v>18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5">
        <f>'Données projet'!D152</f>
        <v>17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5">
        <f>'Données projet'!D153</f>
        <v>16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5">
        <f>'Données projet'!D154</f>
        <v>15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85</v>
      </c>
      <c r="B162" s="175">
        <f>'Données projet'!D155</f>
        <v>14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90</v>
      </c>
      <c r="B163" s="175">
        <f>'Données projet'!D156</f>
        <v>217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Pin sylvestre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1533.66+1300+288</f>
        <v>3121.66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f>360+430</f>
        <v>790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>490+430+468.3</f>
        <v>1388.3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f>360+430</f>
        <v>790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27</v>
      </c>
      <c r="B178" s="181">
        <f>'Données projet'!D166</f>
        <v>66.53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33</v>
      </c>
      <c r="B179" s="181">
        <f>'Données projet'!D167</f>
        <v>49.17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40</v>
      </c>
      <c r="B180" s="181">
        <f>'Données projet'!D168</f>
        <v>53.16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48</v>
      </c>
      <c r="B181" s="181">
        <f>'Données projet'!D169</f>
        <v>44.85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58</v>
      </c>
      <c r="B182" s="181">
        <f>'Données projet'!D170</f>
        <v>53.28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68</v>
      </c>
      <c r="B183" s="181">
        <f>'Données projet'!D171</f>
        <v>48.37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78</v>
      </c>
      <c r="B184" s="181">
        <f>'Données projet'!D172</f>
        <v>42.06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88</v>
      </c>
      <c r="B185" s="181">
        <f>'Données projet'!D173</f>
        <v>35.479999999999997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108</v>
      </c>
      <c r="B186" s="181">
        <f>'Données projet'!D174</f>
        <v>250.53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112</v>
      </c>
      <c r="B187" s="181">
        <f>'Données projet'!D175</f>
        <v>177.88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Pin taeda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1533.66+960+288</f>
        <v>2781.66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f>360+430</f>
        <v>790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f>490+430+417.3</f>
        <v>1337.3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>
        <f>360+430</f>
        <v>790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22</v>
      </c>
      <c r="B209" s="181">
        <f>'Données projet'!D192</f>
        <v>52.41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27</v>
      </c>
      <c r="B210" s="181">
        <f>'Données projet'!D193</f>
        <v>37.840000000000003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33</v>
      </c>
      <c r="B211" s="181">
        <f>'Données projet'!D194</f>
        <v>50.41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41</v>
      </c>
      <c r="B212" s="181">
        <f>'Données projet'!D195</f>
        <v>72.13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50</v>
      </c>
      <c r="B213" s="181">
        <f>'Données projet'!D196</f>
        <v>70.2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60</v>
      </c>
      <c r="B214" s="181">
        <f>'Données projet'!D197</f>
        <v>69.849999999999994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70</v>
      </c>
      <c r="B215" s="181">
        <f>'Données projet'!D198</f>
        <v>67.88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80</v>
      </c>
      <c r="B216" s="181">
        <f>'Données projet'!D199</f>
        <v>520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Pin maritime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1533.66+960+288</f>
        <v>2781.66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f>360+430</f>
        <v>790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f>490+430+417.3</f>
        <v>1337.3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>
        <f>360+430</f>
        <v>790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17</v>
      </c>
      <c r="B240" s="181">
        <f>'Données projet'!D218</f>
        <v>40.76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23</v>
      </c>
      <c r="B241" s="181">
        <f>'Données projet'!D219</f>
        <v>57.75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29</v>
      </c>
      <c r="B242" s="181">
        <f>'Données projet'!D220</f>
        <v>54.64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36</v>
      </c>
      <c r="B243" s="181">
        <f>'Données projet'!D221</f>
        <v>76.069999999999993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44</v>
      </c>
      <c r="B244" s="181">
        <f>'Données projet'!D222</f>
        <v>77.91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52</v>
      </c>
      <c r="B245" s="181">
        <f>'Données projet'!D223</f>
        <v>75.37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60</v>
      </c>
      <c r="B246" s="181">
        <f>'Données projet'!D224</f>
        <v>436.34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Séquoia toujours vert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1533.66+288+4272</f>
        <v>6093.66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f>360+430</f>
        <v>790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f>490+430+914.1</f>
        <v>1834.1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>
        <f>360+430</f>
        <v>790</v>
      </c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18</v>
      </c>
      <c r="B271" s="181">
        <f>'Données projet'!D244</f>
        <v>74.819999999999993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24</v>
      </c>
      <c r="B272" s="181">
        <f>'Données projet'!D245</f>
        <v>51.39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30</v>
      </c>
      <c r="B273" s="181">
        <f>'Données projet'!D246</f>
        <v>80.97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36</v>
      </c>
      <c r="B274" s="181">
        <f>'Données projet'!D247</f>
        <v>85.88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42</v>
      </c>
      <c r="B275" s="181">
        <f>'Données projet'!D248</f>
        <v>91.25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48</v>
      </c>
      <c r="B276" s="181">
        <f>'Données projet'!D249</f>
        <v>101.34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54</v>
      </c>
      <c r="B277" s="181">
        <f>'Données projet'!D250</f>
        <v>707.75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Pin laricio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f>1533.66+1040+288</f>
        <v>2861.66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>
        <f>360+430</f>
        <v>790</v>
      </c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>
        <f>490+430+429.3</f>
        <v>1349.3</v>
      </c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>
        <f>360+430</f>
        <v>790</v>
      </c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22</v>
      </c>
      <c r="B302" s="181">
        <f>'Données projet'!D270</f>
        <v>52.41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27</v>
      </c>
      <c r="B303" s="181">
        <f>'Données projet'!D271</f>
        <v>37.840000000000003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33</v>
      </c>
      <c r="B304" s="181">
        <f>'Données projet'!D272</f>
        <v>50.41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41</v>
      </c>
      <c r="B305" s="181">
        <f>'Données projet'!D273</f>
        <v>72.13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50</v>
      </c>
      <c r="B306" s="181">
        <f>'Données projet'!D274</f>
        <v>70.2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60</v>
      </c>
      <c r="B307" s="181">
        <f>'Données projet'!D275</f>
        <v>69.849999999999994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70</v>
      </c>
      <c r="B308" s="181">
        <f>'Données projet'!D276</f>
        <v>67.88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80</v>
      </c>
      <c r="B309" s="181">
        <f>'Données projet'!D277</f>
        <v>520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23A2EA-6B3C-4B5D-A0D9-C4711687010F}"/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Salomé Gorel</cp:lastModifiedBy>
  <dcterms:created xsi:type="dcterms:W3CDTF">2021-02-01T08:22:39Z</dcterms:created>
  <dcterms:modified xsi:type="dcterms:W3CDTF">2024-12-04T13:19:21Z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