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P:\Bureau\PARTAGE\Solutions_Forets\Projets LBC\Bois Boudran\"/>
    </mc:Choice>
  </mc:AlternateContent>
  <xr:revisionPtr revIDLastSave="0" documentId="13_ncr:1_{B8E3D356-2D34-42AC-9760-C725C2359F61}" xr6:coauthVersionLast="45" xr6:coauthVersionMax="45" xr10:uidLastSave="{00000000-0000-0000-0000-000000000000}"/>
  <bookViews>
    <workbookView xWindow="28680" yWindow="-120" windowWidth="25440" windowHeight="15390" tabRatio="894" xr2:uid="{C0B3F3B1-BEE4-4109-8D77-111DA59537B5}"/>
  </bookViews>
  <sheets>
    <sheet name="Recapitulatif REE" sheetId="1" r:id="rId1"/>
    <sheet name="REE Chêne sessile" sheetId="3" r:id="rId2"/>
    <sheet name="table Chêne sessile" sheetId="4" r:id="rId3"/>
    <sheet name="REE Tilleul" sheetId="7" r:id="rId4"/>
    <sheet name="table Tilleul" sheetId="8" r:id="rId5"/>
    <sheet name="REE Chêne rouge" sheetId="5" r:id="rId6"/>
    <sheet name="table Chêne rouge" sheetId="6" r:id="rId7"/>
    <sheet name="REE peuliers Koster" sheetId="9" r:id="rId8"/>
    <sheet name="table peuplier Koster" sheetId="10" r:id="rId9"/>
  </sheets>
  <externalReferences>
    <externalReference r:id="rId10"/>
    <externalReference r:id="rId11"/>
    <externalReference r:id="rId12"/>
    <externalReference r:id="rId1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 i="1" l="1"/>
  <c r="K7" i="1" l="1"/>
  <c r="I7" i="1"/>
  <c r="N7" i="1"/>
  <c r="L7" i="1"/>
  <c r="J7" i="1"/>
  <c r="L6" i="1" l="1"/>
  <c r="N6" i="1"/>
  <c r="J5" i="1"/>
  <c r="J3" i="1"/>
  <c r="J4" i="1"/>
  <c r="N3" i="1"/>
  <c r="O3" i="1" l="1"/>
  <c r="O5" i="1"/>
  <c r="O6" i="1"/>
  <c r="E3" i="3"/>
  <c r="W3" i="3"/>
  <c r="J6" i="1"/>
  <c r="N5" i="1"/>
  <c r="N4" i="1"/>
  <c r="O4" i="1" s="1"/>
  <c r="I28" i="9"/>
  <c r="K28" i="9" s="1"/>
  <c r="Q27" i="9"/>
  <c r="O27" i="9"/>
  <c r="N27" i="9"/>
  <c r="Y10" i="9" s="1"/>
  <c r="Y12" i="9" s="1"/>
  <c r="I27" i="9"/>
  <c r="I26" i="9"/>
  <c r="J26" i="9" s="1"/>
  <c r="K26" i="9" s="1"/>
  <c r="K25" i="9"/>
  <c r="J25" i="9"/>
  <c r="I25" i="9"/>
  <c r="J24" i="9"/>
  <c r="K24" i="9" s="1"/>
  <c r="I24" i="9"/>
  <c r="I23" i="9"/>
  <c r="I22" i="9"/>
  <c r="J22" i="9" s="1"/>
  <c r="J21" i="9"/>
  <c r="I21" i="9"/>
  <c r="K21" i="9" s="1"/>
  <c r="I20" i="9"/>
  <c r="I19" i="9"/>
  <c r="I18" i="9"/>
  <c r="J18" i="9" s="1"/>
  <c r="K18" i="9" s="1"/>
  <c r="K17" i="9"/>
  <c r="J17" i="9"/>
  <c r="I17" i="9"/>
  <c r="J16" i="9"/>
  <c r="K16" i="9" s="1"/>
  <c r="I16" i="9"/>
  <c r="J15" i="9"/>
  <c r="K15" i="9" s="1"/>
  <c r="I15" i="9"/>
  <c r="I14" i="9"/>
  <c r="I13" i="9"/>
  <c r="I12" i="9"/>
  <c r="I11" i="9"/>
  <c r="J11" i="9" s="1"/>
  <c r="I10" i="9"/>
  <c r="J10" i="9" s="1"/>
  <c r="I9" i="9"/>
  <c r="J9" i="9" s="1"/>
  <c r="J8" i="9"/>
  <c r="I8" i="9"/>
  <c r="K8" i="9" s="1"/>
  <c r="I7" i="9"/>
  <c r="I6" i="9"/>
  <c r="I5" i="9"/>
  <c r="I4" i="9"/>
  <c r="T3" i="9"/>
  <c r="T4" i="9" s="1"/>
  <c r="T5" i="9" s="1"/>
  <c r="T6" i="9" s="1"/>
  <c r="T7" i="9" s="1"/>
  <c r="T8" i="9" s="1"/>
  <c r="T9" i="9" s="1"/>
  <c r="T10" i="9" s="1"/>
  <c r="T11" i="9" s="1"/>
  <c r="T12" i="9" s="1"/>
  <c r="T13" i="9" s="1"/>
  <c r="T14" i="9" s="1"/>
  <c r="T15" i="9" s="1"/>
  <c r="T16" i="9" s="1"/>
  <c r="T17" i="9" s="1"/>
  <c r="T18" i="9" s="1"/>
  <c r="T19" i="9" s="1"/>
  <c r="T20" i="9" s="1"/>
  <c r="T21" i="9" s="1"/>
  <c r="T22" i="9" s="1"/>
  <c r="T23" i="9" s="1"/>
  <c r="T24" i="9" s="1"/>
  <c r="T25" i="9" s="1"/>
  <c r="T26" i="9" s="1"/>
  <c r="T27" i="9" s="1"/>
  <c r="T28" i="9" s="1"/>
  <c r="T29" i="9" s="1"/>
  <c r="T30" i="9" s="1"/>
  <c r="T31" i="9" s="1"/>
  <c r="T32" i="9" s="1"/>
  <c r="S3" i="9"/>
  <c r="S4" i="9" s="1"/>
  <c r="S5" i="9" s="1"/>
  <c r="S6" i="9" s="1"/>
  <c r="S7" i="9" s="1"/>
  <c r="S8" i="9" s="1"/>
  <c r="S9" i="9" s="1"/>
  <c r="S10" i="9" s="1"/>
  <c r="S11" i="9" s="1"/>
  <c r="S12" i="9" s="1"/>
  <c r="S13" i="9" s="1"/>
  <c r="S14" i="9" s="1"/>
  <c r="S15" i="9" s="1"/>
  <c r="S16" i="9" s="1"/>
  <c r="S17" i="9" s="1"/>
  <c r="S18" i="9" s="1"/>
  <c r="S19" i="9" s="1"/>
  <c r="S20" i="9" s="1"/>
  <c r="S21" i="9" s="1"/>
  <c r="S22" i="9" s="1"/>
  <c r="S23" i="9" s="1"/>
  <c r="S24" i="9" s="1"/>
  <c r="S25" i="9" s="1"/>
  <c r="S26" i="9" s="1"/>
  <c r="S27" i="9" s="1"/>
  <c r="S28" i="9" s="1"/>
  <c r="S29" i="9" s="1"/>
  <c r="S30" i="9" s="1"/>
  <c r="S31" i="9" s="1"/>
  <c r="S32" i="9" s="1"/>
  <c r="R3" i="9"/>
  <c r="R4" i="9" s="1"/>
  <c r="M3" i="9"/>
  <c r="M4" i="9" s="1"/>
  <c r="M5" i="9" s="1"/>
  <c r="M6" i="9" s="1"/>
  <c r="M7" i="9" s="1"/>
  <c r="M8" i="9" s="1"/>
  <c r="M9" i="9" s="1"/>
  <c r="M10" i="9" s="1"/>
  <c r="M11" i="9" s="1"/>
  <c r="M12" i="9" s="1"/>
  <c r="M13" i="9" s="1"/>
  <c r="M14" i="9" s="1"/>
  <c r="M15" i="9" s="1"/>
  <c r="M16" i="9" s="1"/>
  <c r="M17" i="9" s="1"/>
  <c r="M18" i="9" s="1"/>
  <c r="M19" i="9" s="1"/>
  <c r="M20" i="9" s="1"/>
  <c r="M21" i="9" s="1"/>
  <c r="M22" i="9" s="1"/>
  <c r="M23" i="9" s="1"/>
  <c r="M24" i="9" s="1"/>
  <c r="M25" i="9" s="1"/>
  <c r="M26" i="9" s="1"/>
  <c r="M27" i="9" s="1"/>
  <c r="M28" i="9" s="1"/>
  <c r="M29" i="9" s="1"/>
  <c r="M30" i="9" s="1"/>
  <c r="M31" i="9" s="1"/>
  <c r="M32" i="9" s="1"/>
  <c r="I3" i="9"/>
  <c r="G3" i="9"/>
  <c r="G4" i="9" s="1"/>
  <c r="G5" i="9" s="1"/>
  <c r="G6" i="9" s="1"/>
  <c r="G7" i="9" s="1"/>
  <c r="G8" i="9" s="1"/>
  <c r="G9" i="9" s="1"/>
  <c r="G10" i="9" s="1"/>
  <c r="G11" i="9" s="1"/>
  <c r="G12" i="9" s="1"/>
  <c r="G13" i="9" s="1"/>
  <c r="G14" i="9" s="1"/>
  <c r="G15" i="9" s="1"/>
  <c r="G16" i="9" s="1"/>
  <c r="G17" i="9" s="1"/>
  <c r="G18" i="9" s="1"/>
  <c r="G19" i="9" s="1"/>
  <c r="G20" i="9" s="1"/>
  <c r="G21" i="9" s="1"/>
  <c r="G22" i="9" s="1"/>
  <c r="G23" i="9" s="1"/>
  <c r="G24" i="9" s="1"/>
  <c r="G25" i="9" s="1"/>
  <c r="G26" i="9" s="1"/>
  <c r="G27" i="9" s="1"/>
  <c r="D3" i="9"/>
  <c r="E3" i="9" s="1"/>
  <c r="C3" i="9"/>
  <c r="B3" i="9"/>
  <c r="B4" i="9" s="1"/>
  <c r="U2" i="9"/>
  <c r="I2" i="9"/>
  <c r="E2" i="9"/>
  <c r="C2" i="9"/>
  <c r="O7" i="1" l="1"/>
  <c r="R5" i="9"/>
  <c r="U4" i="9"/>
  <c r="K19" i="9"/>
  <c r="C4" i="9"/>
  <c r="B5" i="9"/>
  <c r="K3" i="9"/>
  <c r="K7" i="9"/>
  <c r="K14" i="9"/>
  <c r="K11" i="9"/>
  <c r="U3" i="9"/>
  <c r="J7" i="9"/>
  <c r="J20" i="9"/>
  <c r="K20" i="9" s="1"/>
  <c r="K22" i="9"/>
  <c r="J3" i="9"/>
  <c r="J4" i="9"/>
  <c r="K4" i="9" s="1"/>
  <c r="J5" i="9"/>
  <c r="K5" i="9" s="1"/>
  <c r="J6" i="9"/>
  <c r="K6" i="9" s="1"/>
  <c r="J19" i="9"/>
  <c r="J27" i="9"/>
  <c r="K27" i="9" s="1"/>
  <c r="J12" i="9"/>
  <c r="K12" i="9" s="1"/>
  <c r="K9" i="9"/>
  <c r="J13" i="9"/>
  <c r="K13" i="9" s="1"/>
  <c r="J14" i="9"/>
  <c r="K10" i="9"/>
  <c r="J23" i="9"/>
  <c r="K23" i="9" s="1"/>
  <c r="C5" i="9" l="1"/>
  <c r="B6" i="9"/>
  <c r="R6" i="9"/>
  <c r="U5" i="9"/>
  <c r="D4" i="9"/>
  <c r="E4" i="9" s="1"/>
  <c r="L24" i="9"/>
  <c r="L16" i="9"/>
  <c r="L15" i="9"/>
  <c r="L25" i="9"/>
  <c r="L17" i="9"/>
  <c r="L26" i="9"/>
  <c r="L27" i="9"/>
  <c r="L19" i="9"/>
  <c r="L6" i="9"/>
  <c r="L5" i="9"/>
  <c r="L4" i="9"/>
  <c r="L3" i="9"/>
  <c r="L12" i="9"/>
  <c r="L2" i="9"/>
  <c r="L20" i="9"/>
  <c r="L7" i="9"/>
  <c r="L13" i="9"/>
  <c r="L21" i="9"/>
  <c r="L8" i="9"/>
  <c r="Y2" i="9"/>
  <c r="L14" i="9"/>
  <c r="L22" i="9"/>
  <c r="L11" i="9"/>
  <c r="L10" i="9"/>
  <c r="L9" i="9"/>
  <c r="L23" i="9"/>
  <c r="L18" i="9"/>
  <c r="R7" i="9" l="1"/>
  <c r="U6" i="9"/>
  <c r="C6" i="9"/>
  <c r="B7" i="9"/>
  <c r="E5" i="9"/>
  <c r="D5" i="9"/>
  <c r="R8" i="9" l="1"/>
  <c r="U7" i="9"/>
  <c r="C7" i="9"/>
  <c r="B8" i="9"/>
  <c r="D6" i="9"/>
  <c r="E6" i="9" s="1"/>
  <c r="C8" i="9" l="1"/>
  <c r="B9" i="9"/>
  <c r="D7" i="9"/>
  <c r="E7" i="9" s="1"/>
  <c r="U8" i="9"/>
  <c r="R9" i="9"/>
  <c r="C9" i="9" l="1"/>
  <c r="B10" i="9"/>
  <c r="D8" i="9"/>
  <c r="E8" i="9" s="1"/>
  <c r="R10" i="9"/>
  <c r="U9" i="9"/>
  <c r="B11" i="9" l="1"/>
  <c r="C10" i="9"/>
  <c r="D9" i="9"/>
  <c r="E9" i="9" s="1"/>
  <c r="U10" i="9"/>
  <c r="R11" i="9"/>
  <c r="U11" i="9" l="1"/>
  <c r="R12" i="9"/>
  <c r="D10" i="9"/>
  <c r="E10" i="9" s="1"/>
  <c r="B12" i="9"/>
  <c r="C11" i="9"/>
  <c r="B13" i="9" l="1"/>
  <c r="C12" i="9"/>
  <c r="D11" i="9"/>
  <c r="E11" i="9" s="1"/>
  <c r="U12" i="9"/>
  <c r="R13" i="9"/>
  <c r="U13" i="9" l="1"/>
  <c r="R14" i="9"/>
  <c r="D12" i="9"/>
  <c r="E12" i="9" s="1"/>
  <c r="B14" i="9"/>
  <c r="C13" i="9"/>
  <c r="D13" i="9" l="1"/>
  <c r="E13" i="9" s="1"/>
  <c r="C14" i="9"/>
  <c r="B15" i="9"/>
  <c r="U14" i="9"/>
  <c r="R15" i="9"/>
  <c r="C15" i="9" l="1"/>
  <c r="B16" i="9"/>
  <c r="U15" i="9"/>
  <c r="R16" i="9"/>
  <c r="D14" i="9"/>
  <c r="E14" i="9" s="1"/>
  <c r="U16" i="9" l="1"/>
  <c r="R17" i="9"/>
  <c r="C16" i="9"/>
  <c r="B17" i="9"/>
  <c r="D15" i="9"/>
  <c r="E15" i="9" s="1"/>
  <c r="B18" i="9" l="1"/>
  <c r="C17" i="9"/>
  <c r="D16" i="9"/>
  <c r="E16" i="9" s="1"/>
  <c r="R18" i="9"/>
  <c r="U17" i="9"/>
  <c r="R19" i="9" l="1"/>
  <c r="U18" i="9"/>
  <c r="D17" i="9"/>
  <c r="E17" i="9"/>
  <c r="C18" i="9"/>
  <c r="B19" i="9"/>
  <c r="C19" i="9" l="1"/>
  <c r="B20" i="9"/>
  <c r="D18" i="9"/>
  <c r="E18" i="9" s="1"/>
  <c r="R20" i="9"/>
  <c r="U19" i="9"/>
  <c r="R21" i="9" l="1"/>
  <c r="U20" i="9"/>
  <c r="C20" i="9"/>
  <c r="B21" i="9"/>
  <c r="D19" i="9"/>
  <c r="E19" i="9" s="1"/>
  <c r="C21" i="9" l="1"/>
  <c r="B22" i="9"/>
  <c r="D20" i="9"/>
  <c r="E20" i="9" s="1"/>
  <c r="U21" i="9"/>
  <c r="R22" i="9"/>
  <c r="B23" i="9" l="1"/>
  <c r="C22" i="9"/>
  <c r="R23" i="9"/>
  <c r="U22" i="9"/>
  <c r="D21" i="9"/>
  <c r="E21" i="9" s="1"/>
  <c r="D22" i="9" l="1"/>
  <c r="E22" i="9" s="1"/>
  <c r="U23" i="9"/>
  <c r="R24" i="9"/>
  <c r="B24" i="9"/>
  <c r="C23" i="9"/>
  <c r="U24" i="9" l="1"/>
  <c r="R25" i="9"/>
  <c r="C24" i="9"/>
  <c r="B25" i="9"/>
  <c r="D23" i="9"/>
  <c r="E23" i="9" s="1"/>
  <c r="C25" i="9" l="1"/>
  <c r="B26" i="9"/>
  <c r="D24" i="9"/>
  <c r="E24" i="9" s="1"/>
  <c r="R26" i="9"/>
  <c r="U25" i="9"/>
  <c r="U26" i="9" l="1"/>
  <c r="R27" i="9"/>
  <c r="C26" i="9"/>
  <c r="B27" i="9"/>
  <c r="C27" i="9" s="1"/>
  <c r="D25" i="9"/>
  <c r="E25" i="9" s="1"/>
  <c r="E27" i="9" l="1"/>
  <c r="D27" i="9"/>
  <c r="D26" i="9"/>
  <c r="E26" i="9" s="1"/>
  <c r="U27" i="9"/>
  <c r="R28" i="9"/>
  <c r="R29" i="9" l="1"/>
  <c r="U28" i="9"/>
  <c r="F7" i="9"/>
  <c r="F27" i="9"/>
  <c r="F3" i="9"/>
  <c r="F16" i="9"/>
  <c r="F17" i="9"/>
  <c r="F8" i="9"/>
  <c r="Y3" i="9"/>
  <c r="Y4" i="9" s="1"/>
  <c r="Y5" i="9" s="1"/>
  <c r="Y9" i="9" s="1"/>
  <c r="F2" i="9"/>
  <c r="F9" i="9"/>
  <c r="F6" i="9"/>
  <c r="F20" i="9"/>
  <c r="F19" i="9"/>
  <c r="F15" i="9"/>
  <c r="F13" i="9"/>
  <c r="F11" i="9"/>
  <c r="F24" i="9"/>
  <c r="F10" i="9"/>
  <c r="F18" i="9"/>
  <c r="F5" i="9"/>
  <c r="F23" i="9"/>
  <c r="F26" i="9"/>
  <c r="F25" i="9"/>
  <c r="F12" i="9"/>
  <c r="F22" i="9"/>
  <c r="F21" i="9"/>
  <c r="F4" i="9"/>
  <c r="F14" i="9"/>
  <c r="R30" i="9" l="1"/>
  <c r="U29" i="9"/>
  <c r="R31" i="9" l="1"/>
  <c r="U30" i="9"/>
  <c r="R32" i="9" l="1"/>
  <c r="U32" i="9" s="1"/>
  <c r="Y13" i="9" s="1"/>
  <c r="Y15" i="9" s="1"/>
  <c r="U31" i="9"/>
  <c r="H121" i="7" l="1"/>
  <c r="J121" i="7" s="1"/>
  <c r="G120" i="7"/>
  <c r="H120" i="7" s="1"/>
  <c r="I120" i="7" s="1"/>
  <c r="G115" i="7"/>
  <c r="H110" i="7"/>
  <c r="F106" i="7"/>
  <c r="H105" i="7"/>
  <c r="I105" i="7" s="1"/>
  <c r="J105" i="7" s="1"/>
  <c r="J104" i="7"/>
  <c r="G104" i="7"/>
  <c r="H104" i="7" s="1"/>
  <c r="I104" i="7" s="1"/>
  <c r="H99" i="7"/>
  <c r="F95" i="7"/>
  <c r="H94" i="7"/>
  <c r="I94" i="7" s="1"/>
  <c r="J94" i="7" s="1"/>
  <c r="G93" i="7"/>
  <c r="H93" i="7" s="1"/>
  <c r="H88" i="7"/>
  <c r="F84" i="7"/>
  <c r="H83" i="7"/>
  <c r="I83" i="7" s="1"/>
  <c r="J83" i="7" s="1"/>
  <c r="G82" i="7"/>
  <c r="H82" i="7" s="1"/>
  <c r="H77" i="7"/>
  <c r="F73" i="7"/>
  <c r="H72" i="7"/>
  <c r="I72" i="7" s="1"/>
  <c r="J72" i="7" s="1"/>
  <c r="G71" i="7"/>
  <c r="H71" i="7" s="1"/>
  <c r="I71" i="7" s="1"/>
  <c r="H66" i="7"/>
  <c r="F62" i="7"/>
  <c r="I61" i="7"/>
  <c r="J61" i="7" s="1"/>
  <c r="H61" i="7"/>
  <c r="J60" i="7"/>
  <c r="H60" i="7"/>
  <c r="I60" i="7" s="1"/>
  <c r="G60" i="7"/>
  <c r="H55" i="7"/>
  <c r="F51" i="7"/>
  <c r="I50" i="7"/>
  <c r="J50" i="7" s="1"/>
  <c r="H50" i="7"/>
  <c r="H49" i="7"/>
  <c r="I49" i="7" s="1"/>
  <c r="G49" i="7"/>
  <c r="H44" i="7"/>
  <c r="F40" i="7"/>
  <c r="I39" i="7"/>
  <c r="H39" i="7"/>
  <c r="I38" i="7"/>
  <c r="H38" i="7"/>
  <c r="G38" i="7"/>
  <c r="I33" i="7"/>
  <c r="H33" i="7"/>
  <c r="F30" i="7"/>
  <c r="F31" i="7" s="1"/>
  <c r="F29" i="7"/>
  <c r="J28" i="7"/>
  <c r="I28" i="7"/>
  <c r="H28" i="7"/>
  <c r="H27" i="7"/>
  <c r="G27" i="7"/>
  <c r="L27" i="7" s="1"/>
  <c r="W11" i="7" s="1"/>
  <c r="G22" i="7"/>
  <c r="H22" i="7" s="1"/>
  <c r="H17" i="7"/>
  <c r="I17" i="7" s="1"/>
  <c r="J17" i="7" s="1"/>
  <c r="W13" i="7"/>
  <c r="G7" i="7"/>
  <c r="H7" i="7" s="1"/>
  <c r="H6" i="7"/>
  <c r="H5" i="7"/>
  <c r="F5" i="7"/>
  <c r="F6" i="7" s="1"/>
  <c r="F7" i="7" s="1"/>
  <c r="F8" i="7" s="1"/>
  <c r="F9" i="7" s="1"/>
  <c r="F10" i="7" s="1"/>
  <c r="F11" i="7" s="1"/>
  <c r="F12" i="7" s="1"/>
  <c r="F13" i="7" s="1"/>
  <c r="F14" i="7" s="1"/>
  <c r="F15" i="7" s="1"/>
  <c r="F16" i="7" s="1"/>
  <c r="F17" i="7" s="1"/>
  <c r="F18" i="7" s="1"/>
  <c r="R4" i="7"/>
  <c r="R5" i="7" s="1"/>
  <c r="R6" i="7" s="1"/>
  <c r="R7" i="7" s="1"/>
  <c r="R8" i="7" s="1"/>
  <c r="R9" i="7" s="1"/>
  <c r="R10" i="7" s="1"/>
  <c r="R11" i="7" s="1"/>
  <c r="R12" i="7" s="1"/>
  <c r="R13" i="7" s="1"/>
  <c r="R14" i="7" s="1"/>
  <c r="R15" i="7" s="1"/>
  <c r="R16" i="7" s="1"/>
  <c r="R17" i="7" s="1"/>
  <c r="R18" i="7" s="1"/>
  <c r="R19" i="7" s="1"/>
  <c r="R20" i="7" s="1"/>
  <c r="R21" i="7" s="1"/>
  <c r="R22" i="7" s="1"/>
  <c r="R23" i="7" s="1"/>
  <c r="R24" i="7" s="1"/>
  <c r="R25" i="7" s="1"/>
  <c r="R26" i="7" s="1"/>
  <c r="R27" i="7" s="1"/>
  <c r="R28" i="7" s="1"/>
  <c r="R29" i="7" s="1"/>
  <c r="R30" i="7" s="1"/>
  <c r="R31" i="7" s="1"/>
  <c r="R32" i="7" s="1"/>
  <c r="Q4" i="7"/>
  <c r="Q5" i="7" s="1"/>
  <c r="Q6" i="7" s="1"/>
  <c r="Q7" i="7" s="1"/>
  <c r="Q8" i="7" s="1"/>
  <c r="Q9" i="7" s="1"/>
  <c r="Q10" i="7" s="1"/>
  <c r="Q11" i="7" s="1"/>
  <c r="Q12" i="7" s="1"/>
  <c r="Q13" i="7" s="1"/>
  <c r="Q14" i="7" s="1"/>
  <c r="Q15" i="7" s="1"/>
  <c r="Q16" i="7" s="1"/>
  <c r="Q17" i="7" s="1"/>
  <c r="Q18" i="7" s="1"/>
  <c r="Q19" i="7" s="1"/>
  <c r="Q20" i="7" s="1"/>
  <c r="Q21" i="7" s="1"/>
  <c r="Q22" i="7" s="1"/>
  <c r="Q23" i="7" s="1"/>
  <c r="Q24" i="7" s="1"/>
  <c r="Q25" i="7" s="1"/>
  <c r="Q26" i="7" s="1"/>
  <c r="Q27" i="7" s="1"/>
  <c r="Q28" i="7" s="1"/>
  <c r="Q29" i="7" s="1"/>
  <c r="Q30" i="7" s="1"/>
  <c r="Q31" i="7" s="1"/>
  <c r="Q32" i="7" s="1"/>
  <c r="J4" i="7"/>
  <c r="I4" i="7"/>
  <c r="H4" i="7"/>
  <c r="R3" i="7"/>
  <c r="Q3" i="7"/>
  <c r="P3" i="7"/>
  <c r="S3" i="7" s="1"/>
  <c r="K3" i="7"/>
  <c r="K4" i="7" s="1"/>
  <c r="K5" i="7" s="1"/>
  <c r="K6" i="7" s="1"/>
  <c r="K7" i="7" s="1"/>
  <c r="K8" i="7" s="1"/>
  <c r="K9" i="7" s="1"/>
  <c r="K10" i="7" s="1"/>
  <c r="K11" i="7" s="1"/>
  <c r="K12" i="7" s="1"/>
  <c r="K13" i="7" s="1"/>
  <c r="K14" i="7" s="1"/>
  <c r="K15" i="7" s="1"/>
  <c r="K16" i="7" s="1"/>
  <c r="K17" i="7" s="1"/>
  <c r="K18" i="7" s="1"/>
  <c r="K19" i="7" s="1"/>
  <c r="K20" i="7" s="1"/>
  <c r="K21" i="7" s="1"/>
  <c r="K22" i="7" s="1"/>
  <c r="K23" i="7" s="1"/>
  <c r="K24" i="7" s="1"/>
  <c r="K25" i="7" s="1"/>
  <c r="K26" i="7" s="1"/>
  <c r="K27" i="7" s="1"/>
  <c r="K28" i="7" s="1"/>
  <c r="K29" i="7" s="1"/>
  <c r="K30" i="7" s="1"/>
  <c r="K31" i="7" s="1"/>
  <c r="K32" i="7" s="1"/>
  <c r="J3" i="7"/>
  <c r="I3" i="7"/>
  <c r="H3" i="7"/>
  <c r="F3" i="7"/>
  <c r="F4" i="7" s="1"/>
  <c r="B3" i="7"/>
  <c r="C3" i="7" s="1"/>
  <c r="S2" i="7"/>
  <c r="H2" i="7"/>
  <c r="E2" i="7"/>
  <c r="C2" i="7"/>
  <c r="F19" i="7" l="1"/>
  <c r="D3" i="7"/>
  <c r="E3" i="7" s="1"/>
  <c r="I55" i="7"/>
  <c r="J55" i="7" s="1"/>
  <c r="F74" i="7"/>
  <c r="I93" i="7"/>
  <c r="J93" i="7" s="1"/>
  <c r="J5" i="7"/>
  <c r="I5" i="7"/>
  <c r="I27" i="7"/>
  <c r="J27" i="7" s="1"/>
  <c r="J88" i="7"/>
  <c r="I88" i="7"/>
  <c r="B4" i="7"/>
  <c r="P4" i="7"/>
  <c r="I6" i="7"/>
  <c r="J6" i="7" s="1"/>
  <c r="I7" i="7"/>
  <c r="J7" i="7" s="1"/>
  <c r="G8" i="7"/>
  <c r="I22" i="7"/>
  <c r="J22" i="7" s="1"/>
  <c r="I44" i="7"/>
  <c r="J44" i="7" s="1"/>
  <c r="J49" i="7"/>
  <c r="F96" i="7"/>
  <c r="F32" i="7"/>
  <c r="I66" i="7"/>
  <c r="J66" i="7" s="1"/>
  <c r="J120" i="7"/>
  <c r="I82" i="7"/>
  <c r="J82" i="7"/>
  <c r="J38" i="7"/>
  <c r="I77" i="7"/>
  <c r="J77" i="7" s="1"/>
  <c r="H115" i="7"/>
  <c r="F85" i="7"/>
  <c r="I110" i="7"/>
  <c r="J110" i="7" s="1"/>
  <c r="F41" i="7"/>
  <c r="J33" i="7"/>
  <c r="F52" i="7"/>
  <c r="F63" i="7"/>
  <c r="J71" i="7"/>
  <c r="I99" i="7"/>
  <c r="J99" i="7" s="1"/>
  <c r="F107" i="7"/>
  <c r="J39" i="7"/>
  <c r="F42" i="7" l="1"/>
  <c r="I115" i="7"/>
  <c r="J115" i="7"/>
  <c r="F97" i="7"/>
  <c r="F64" i="7"/>
  <c r="S4" i="7"/>
  <c r="P5" i="7"/>
  <c r="B5" i="7"/>
  <c r="C4" i="7"/>
  <c r="F53" i="7"/>
  <c r="F75" i="7"/>
  <c r="G32" i="7"/>
  <c r="H32" i="7" s="1"/>
  <c r="F33" i="7"/>
  <c r="F20" i="7"/>
  <c r="F108" i="7"/>
  <c r="F86" i="7"/>
  <c r="H8" i="7"/>
  <c r="G9" i="7"/>
  <c r="F54" i="7" l="1"/>
  <c r="F109" i="7"/>
  <c r="D4" i="7"/>
  <c r="E4" i="7" s="1"/>
  <c r="F98" i="7"/>
  <c r="G10" i="7"/>
  <c r="H9" i="7"/>
  <c r="F21" i="7"/>
  <c r="B6" i="7"/>
  <c r="C5" i="7"/>
  <c r="I8" i="7"/>
  <c r="J8" i="7" s="1"/>
  <c r="F34" i="7"/>
  <c r="G31" i="7"/>
  <c r="H31" i="7" s="1"/>
  <c r="G30" i="7"/>
  <c r="H30" i="7" s="1"/>
  <c r="G29" i="7"/>
  <c r="H29" i="7" s="1"/>
  <c r="P6" i="7"/>
  <c r="S5" i="7"/>
  <c r="I32" i="7"/>
  <c r="J32" i="7"/>
  <c r="F43" i="7"/>
  <c r="F87" i="7"/>
  <c r="F76" i="7"/>
  <c r="F65" i="7"/>
  <c r="F66" i="7" l="1"/>
  <c r="G65" i="7" s="1"/>
  <c r="H65" i="7" s="1"/>
  <c r="F99" i="7"/>
  <c r="G98" i="7" s="1"/>
  <c r="H98" i="7" s="1"/>
  <c r="F77" i="7"/>
  <c r="G76" i="7" s="1"/>
  <c r="H76" i="7" s="1"/>
  <c r="D5" i="7"/>
  <c r="E5" i="7"/>
  <c r="S6" i="7"/>
  <c r="P7" i="7"/>
  <c r="C6" i="7"/>
  <c r="B7" i="7"/>
  <c r="I29" i="7"/>
  <c r="J29" i="7" s="1"/>
  <c r="F22" i="7"/>
  <c r="F110" i="7"/>
  <c r="G109" i="7" s="1"/>
  <c r="H109" i="7" s="1"/>
  <c r="F88" i="7"/>
  <c r="G87" i="7" s="1"/>
  <c r="H87" i="7" s="1"/>
  <c r="I30" i="7"/>
  <c r="J30" i="7" s="1"/>
  <c r="I31" i="7"/>
  <c r="J31" i="7" s="1"/>
  <c r="J9" i="7"/>
  <c r="I9" i="7"/>
  <c r="G43" i="7"/>
  <c r="H43" i="7" s="1"/>
  <c r="F44" i="7"/>
  <c r="F35" i="7"/>
  <c r="G11" i="7"/>
  <c r="H10" i="7"/>
  <c r="G54" i="7"/>
  <c r="H54" i="7" s="1"/>
  <c r="F55" i="7"/>
  <c r="J87" i="7" l="1"/>
  <c r="I87" i="7"/>
  <c r="I109" i="7"/>
  <c r="J109" i="7" s="1"/>
  <c r="I76" i="7"/>
  <c r="J76" i="7" s="1"/>
  <c r="I98" i="7"/>
  <c r="J98" i="7" s="1"/>
  <c r="J65" i="7"/>
  <c r="I65" i="7"/>
  <c r="I54" i="7"/>
  <c r="J54" i="7" s="1"/>
  <c r="F78" i="7"/>
  <c r="G73" i="7"/>
  <c r="H73" i="7" s="1"/>
  <c r="G74" i="7"/>
  <c r="H74" i="7" s="1"/>
  <c r="G75" i="7"/>
  <c r="H75" i="7" s="1"/>
  <c r="F45" i="7"/>
  <c r="G40" i="7"/>
  <c r="H40" i="7" s="1"/>
  <c r="G41" i="7"/>
  <c r="H41" i="7" s="1"/>
  <c r="G42" i="7"/>
  <c r="H42" i="7" s="1"/>
  <c r="B8" i="7"/>
  <c r="C7" i="7"/>
  <c r="I43" i="7"/>
  <c r="J43" i="7" s="1"/>
  <c r="F89" i="7"/>
  <c r="G84" i="7"/>
  <c r="H84" i="7" s="1"/>
  <c r="G85" i="7"/>
  <c r="H85" i="7" s="1"/>
  <c r="G86" i="7"/>
  <c r="H86" i="7" s="1"/>
  <c r="D6" i="7"/>
  <c r="E6" i="7"/>
  <c r="F100" i="7"/>
  <c r="G95" i="7"/>
  <c r="H95" i="7" s="1"/>
  <c r="G96" i="7"/>
  <c r="H96" i="7" s="1"/>
  <c r="G97" i="7"/>
  <c r="H97" i="7" s="1"/>
  <c r="F36" i="7"/>
  <c r="F56" i="7"/>
  <c r="G51" i="7"/>
  <c r="H51" i="7" s="1"/>
  <c r="G52" i="7"/>
  <c r="H52" i="7" s="1"/>
  <c r="G53" i="7"/>
  <c r="H53" i="7" s="1"/>
  <c r="S7" i="7"/>
  <c r="P8" i="7"/>
  <c r="F67" i="7"/>
  <c r="G62" i="7"/>
  <c r="H62" i="7" s="1"/>
  <c r="G63" i="7"/>
  <c r="H63" i="7" s="1"/>
  <c r="G64" i="7"/>
  <c r="H64" i="7" s="1"/>
  <c r="J10" i="7"/>
  <c r="I10" i="7"/>
  <c r="F111" i="7"/>
  <c r="G106" i="7"/>
  <c r="H106" i="7" s="1"/>
  <c r="G107" i="7"/>
  <c r="H107" i="7" s="1"/>
  <c r="G108" i="7"/>
  <c r="H108" i="7" s="1"/>
  <c r="F23" i="7"/>
  <c r="G18" i="7"/>
  <c r="H18" i="7" s="1"/>
  <c r="G19" i="7"/>
  <c r="H19" i="7" s="1"/>
  <c r="G20" i="7"/>
  <c r="H20" i="7" s="1"/>
  <c r="H11" i="7"/>
  <c r="G12" i="7"/>
  <c r="G21" i="7"/>
  <c r="H21" i="7" s="1"/>
  <c r="I63" i="7" l="1"/>
  <c r="J63" i="7" s="1"/>
  <c r="D7" i="7"/>
  <c r="E7" i="7" s="1"/>
  <c r="I73" i="7"/>
  <c r="J73" i="7" s="1"/>
  <c r="I108" i="7"/>
  <c r="J108" i="7" s="1"/>
  <c r="I62" i="7"/>
  <c r="J62" i="7" s="1"/>
  <c r="F57" i="7"/>
  <c r="B9" i="7"/>
  <c r="C8" i="7"/>
  <c r="F79" i="7"/>
  <c r="I51" i="7"/>
  <c r="J51" i="7" s="1"/>
  <c r="I21" i="7"/>
  <c r="J21" i="7" s="1"/>
  <c r="J107" i="7"/>
  <c r="I107" i="7"/>
  <c r="F68" i="7"/>
  <c r="I86" i="7"/>
  <c r="J86" i="7" s="1"/>
  <c r="I42" i="7"/>
  <c r="J42" i="7" s="1"/>
  <c r="F24" i="7"/>
  <c r="H12" i="7"/>
  <c r="G13" i="7"/>
  <c r="F37" i="7"/>
  <c r="I85" i="7"/>
  <c r="J85" i="7" s="1"/>
  <c r="J41" i="7"/>
  <c r="I41" i="7"/>
  <c r="I106" i="7"/>
  <c r="J106" i="7"/>
  <c r="I11" i="7"/>
  <c r="J11" i="7" s="1"/>
  <c r="F112" i="7"/>
  <c r="P9" i="7"/>
  <c r="S8" i="7"/>
  <c r="I97" i="7"/>
  <c r="J97" i="7" s="1"/>
  <c r="I84" i="7"/>
  <c r="J84" i="7"/>
  <c r="I40" i="7"/>
  <c r="J40" i="7"/>
  <c r="I20" i="7"/>
  <c r="J20" i="7"/>
  <c r="I96" i="7"/>
  <c r="J96" i="7" s="1"/>
  <c r="F90" i="7"/>
  <c r="F46" i="7"/>
  <c r="I53" i="7"/>
  <c r="J53" i="7" s="1"/>
  <c r="I95" i="7"/>
  <c r="J95" i="7"/>
  <c r="I75" i="7"/>
  <c r="J75" i="7" s="1"/>
  <c r="I19" i="7"/>
  <c r="J19" i="7" s="1"/>
  <c r="I18" i="7"/>
  <c r="J18" i="7" s="1"/>
  <c r="I64" i="7"/>
  <c r="J64" i="7" s="1"/>
  <c r="I52" i="7"/>
  <c r="J52" i="7" s="1"/>
  <c r="F101" i="7"/>
  <c r="I74" i="7"/>
  <c r="J74" i="7" s="1"/>
  <c r="I12" i="7" l="1"/>
  <c r="J12" i="7" s="1"/>
  <c r="D8" i="7"/>
  <c r="E8" i="7" s="1"/>
  <c r="S9" i="7"/>
  <c r="P10" i="7"/>
  <c r="F25" i="7"/>
  <c r="C9" i="7"/>
  <c r="B10" i="7"/>
  <c r="F69" i="7"/>
  <c r="F113" i="7"/>
  <c r="F58" i="7"/>
  <c r="H13" i="7"/>
  <c r="G14" i="7"/>
  <c r="F47" i="7"/>
  <c r="F102" i="7"/>
  <c r="F80" i="7"/>
  <c r="F91" i="7"/>
  <c r="F38" i="7"/>
  <c r="G37" i="7"/>
  <c r="H37" i="7" s="1"/>
  <c r="F81" i="7" l="1"/>
  <c r="F59" i="7"/>
  <c r="F26" i="7"/>
  <c r="S10" i="7"/>
  <c r="P11" i="7"/>
  <c r="F114" i="7"/>
  <c r="I37" i="7"/>
  <c r="J37" i="7" s="1"/>
  <c r="G34" i="7"/>
  <c r="H34" i="7" s="1"/>
  <c r="G35" i="7"/>
  <c r="H35" i="7" s="1"/>
  <c r="G36" i="7"/>
  <c r="H36" i="7" s="1"/>
  <c r="F48" i="7"/>
  <c r="F70" i="7"/>
  <c r="F103" i="7"/>
  <c r="H14" i="7"/>
  <c r="G15" i="7"/>
  <c r="C10" i="7"/>
  <c r="B11" i="7"/>
  <c r="F92" i="7"/>
  <c r="I13" i="7"/>
  <c r="J13" i="7" s="1"/>
  <c r="D9" i="7"/>
  <c r="E9" i="7" s="1"/>
  <c r="D10" i="7" l="1"/>
  <c r="E10" i="7" s="1"/>
  <c r="I35" i="7"/>
  <c r="J35" i="7" s="1"/>
  <c r="I36" i="7"/>
  <c r="J36" i="7" s="1"/>
  <c r="I14" i="7"/>
  <c r="J14" i="7"/>
  <c r="F27" i="7"/>
  <c r="G26" i="7"/>
  <c r="H26" i="7" s="1"/>
  <c r="F60" i="7"/>
  <c r="G59" i="7"/>
  <c r="H59" i="7" s="1"/>
  <c r="F49" i="7"/>
  <c r="G48" i="7"/>
  <c r="H48" i="7" s="1"/>
  <c r="G16" i="7"/>
  <c r="H16" i="7" s="1"/>
  <c r="H15" i="7"/>
  <c r="F93" i="7"/>
  <c r="F71" i="7"/>
  <c r="S11" i="7"/>
  <c r="P12" i="7"/>
  <c r="I34" i="7"/>
  <c r="J34" i="7" s="1"/>
  <c r="F104" i="7"/>
  <c r="G103" i="7"/>
  <c r="H103" i="7" s="1"/>
  <c r="B12" i="7"/>
  <c r="C11" i="7"/>
  <c r="F115" i="7"/>
  <c r="G114" i="7"/>
  <c r="H114" i="7" s="1"/>
  <c r="F82" i="7"/>
  <c r="I48" i="7" l="1"/>
  <c r="J48" i="7" s="1"/>
  <c r="I15" i="7"/>
  <c r="J15" i="7" s="1"/>
  <c r="I114" i="7"/>
  <c r="J114" i="7" s="1"/>
  <c r="D11" i="7"/>
  <c r="E11" i="7" s="1"/>
  <c r="G67" i="7"/>
  <c r="H67" i="7" s="1"/>
  <c r="G68" i="7"/>
  <c r="H68" i="7" s="1"/>
  <c r="G69" i="7"/>
  <c r="H69" i="7" s="1"/>
  <c r="G78" i="7"/>
  <c r="H78" i="7" s="1"/>
  <c r="G79" i="7"/>
  <c r="H79" i="7" s="1"/>
  <c r="G80" i="7"/>
  <c r="H80" i="7" s="1"/>
  <c r="I16" i="7"/>
  <c r="J16" i="7"/>
  <c r="F116" i="7"/>
  <c r="G111" i="7"/>
  <c r="H111" i="7" s="1"/>
  <c r="G112" i="7"/>
  <c r="H112" i="7" s="1"/>
  <c r="G113" i="7"/>
  <c r="H113" i="7" s="1"/>
  <c r="I59" i="7"/>
  <c r="J59" i="7" s="1"/>
  <c r="B13" i="7"/>
  <c r="C12" i="7"/>
  <c r="G70" i="7"/>
  <c r="H70" i="7" s="1"/>
  <c r="G56" i="7"/>
  <c r="H56" i="7" s="1"/>
  <c r="G57" i="7"/>
  <c r="H57" i="7" s="1"/>
  <c r="G58" i="7"/>
  <c r="H58" i="7" s="1"/>
  <c r="G81" i="7"/>
  <c r="H81" i="7" s="1"/>
  <c r="I26" i="7"/>
  <c r="J26" i="7" s="1"/>
  <c r="S12" i="7"/>
  <c r="P13" i="7"/>
  <c r="G45" i="7"/>
  <c r="H45" i="7" s="1"/>
  <c r="G46" i="7"/>
  <c r="H46" i="7" s="1"/>
  <c r="G47" i="7"/>
  <c r="H47" i="7" s="1"/>
  <c r="I103" i="7"/>
  <c r="J103" i="7" s="1"/>
  <c r="G89" i="7"/>
  <c r="H89" i="7" s="1"/>
  <c r="G90" i="7"/>
  <c r="H90" i="7" s="1"/>
  <c r="G91" i="7"/>
  <c r="H91" i="7" s="1"/>
  <c r="G100" i="7"/>
  <c r="H100" i="7" s="1"/>
  <c r="G101" i="7"/>
  <c r="H101" i="7" s="1"/>
  <c r="G102" i="7"/>
  <c r="H102" i="7" s="1"/>
  <c r="G92" i="7"/>
  <c r="H92" i="7" s="1"/>
  <c r="G23" i="7"/>
  <c r="H23" i="7" s="1"/>
  <c r="G24" i="7"/>
  <c r="H24" i="7" s="1"/>
  <c r="G25" i="7"/>
  <c r="H25" i="7" s="1"/>
  <c r="I90" i="7" l="1"/>
  <c r="J90" i="7" s="1"/>
  <c r="I24" i="7"/>
  <c r="J24" i="7" s="1"/>
  <c r="I89" i="7"/>
  <c r="J89" i="7" s="1"/>
  <c r="C13" i="7"/>
  <c r="B14" i="7"/>
  <c r="I23" i="7"/>
  <c r="J23" i="7" s="1"/>
  <c r="I80" i="7"/>
  <c r="J80" i="7" s="1"/>
  <c r="I81" i="7"/>
  <c r="J81" i="7" s="1"/>
  <c r="I79" i="7"/>
  <c r="J79" i="7" s="1"/>
  <c r="I25" i="7"/>
  <c r="J25" i="7" s="1"/>
  <c r="D12" i="7"/>
  <c r="E12" i="7"/>
  <c r="I47" i="7"/>
  <c r="J47" i="7" s="1"/>
  <c r="I58" i="7"/>
  <c r="J58" i="7" s="1"/>
  <c r="I113" i="7"/>
  <c r="J113" i="7" s="1"/>
  <c r="I78" i="7"/>
  <c r="J78" i="7"/>
  <c r="I92" i="7"/>
  <c r="J92" i="7" s="1"/>
  <c r="I102" i="7"/>
  <c r="J102" i="7" s="1"/>
  <c r="I101" i="7"/>
  <c r="J101" i="7" s="1"/>
  <c r="I46" i="7"/>
  <c r="J46" i="7" s="1"/>
  <c r="J57" i="7"/>
  <c r="I57" i="7"/>
  <c r="I112" i="7"/>
  <c r="J112" i="7" s="1"/>
  <c r="I69" i="7"/>
  <c r="J69" i="7" s="1"/>
  <c r="I100" i="7"/>
  <c r="J100" i="7"/>
  <c r="I45" i="7"/>
  <c r="J45" i="7" s="1"/>
  <c r="I56" i="7"/>
  <c r="J56" i="7"/>
  <c r="I111" i="7"/>
  <c r="J111" i="7"/>
  <c r="I68" i="7"/>
  <c r="J68" i="7" s="1"/>
  <c r="J91" i="7"/>
  <c r="I91" i="7"/>
  <c r="P14" i="7"/>
  <c r="S13" i="7"/>
  <c r="I70" i="7"/>
  <c r="J70" i="7"/>
  <c r="F117" i="7"/>
  <c r="G116" i="7"/>
  <c r="H116" i="7" s="1"/>
  <c r="I67" i="7"/>
  <c r="J67" i="7" s="1"/>
  <c r="P15" i="7" l="1"/>
  <c r="S14" i="7"/>
  <c r="D13" i="7"/>
  <c r="E13" i="7" s="1"/>
  <c r="C14" i="7"/>
  <c r="B15" i="7"/>
  <c r="F118" i="7"/>
  <c r="G117" i="7"/>
  <c r="H117" i="7" s="1"/>
  <c r="I116" i="7"/>
  <c r="J116" i="7" s="1"/>
  <c r="D14" i="7" l="1"/>
  <c r="E14" i="7"/>
  <c r="F119" i="7"/>
  <c r="G119" i="7" s="1"/>
  <c r="H119" i="7" s="1"/>
  <c r="G118" i="7"/>
  <c r="H118" i="7" s="1"/>
  <c r="I117" i="7"/>
  <c r="J117" i="7" s="1"/>
  <c r="C15" i="7"/>
  <c r="B16" i="7"/>
  <c r="P16" i="7"/>
  <c r="S15" i="7"/>
  <c r="I118" i="7" l="1"/>
  <c r="J118" i="7" s="1"/>
  <c r="D15" i="7"/>
  <c r="E15" i="7" s="1"/>
  <c r="I119" i="7"/>
  <c r="J119" i="7" s="1"/>
  <c r="W2" i="7" s="1"/>
  <c r="B17" i="7"/>
  <c r="C16" i="7"/>
  <c r="S16" i="7"/>
  <c r="P17" i="7"/>
  <c r="D16" i="7" l="1"/>
  <c r="E16" i="7" s="1"/>
  <c r="B18" i="7"/>
  <c r="C17" i="7"/>
  <c r="P18" i="7"/>
  <c r="S17" i="7"/>
  <c r="D17" i="7" l="1"/>
  <c r="E17" i="7"/>
  <c r="C18" i="7"/>
  <c r="B19" i="7"/>
  <c r="P19" i="7"/>
  <c r="S18" i="7"/>
  <c r="B20" i="7" l="1"/>
  <c r="C19" i="7"/>
  <c r="S19" i="7"/>
  <c r="P20" i="7"/>
  <c r="D18" i="7"/>
  <c r="E18" i="7" s="1"/>
  <c r="D19" i="7" l="1"/>
  <c r="E19" i="7" s="1"/>
  <c r="S20" i="7"/>
  <c r="P21" i="7"/>
  <c r="B21" i="7"/>
  <c r="C20" i="7"/>
  <c r="B22" i="7" l="1"/>
  <c r="C21" i="7"/>
  <c r="D20" i="7"/>
  <c r="E20" i="7" s="1"/>
  <c r="P22" i="7"/>
  <c r="S21" i="7"/>
  <c r="P23" i="7" l="1"/>
  <c r="S22" i="7"/>
  <c r="D21" i="7"/>
  <c r="E21" i="7" s="1"/>
  <c r="C22" i="7"/>
  <c r="B23" i="7"/>
  <c r="B24" i="7" l="1"/>
  <c r="C23" i="7"/>
  <c r="D22" i="7"/>
  <c r="E22" i="7" s="1"/>
  <c r="P24" i="7"/>
  <c r="S23" i="7"/>
  <c r="D23" i="7" l="1"/>
  <c r="E23" i="7" s="1"/>
  <c r="S24" i="7"/>
  <c r="P25" i="7"/>
  <c r="B25" i="7"/>
  <c r="C24" i="7"/>
  <c r="B26" i="7" l="1"/>
  <c r="C25" i="7"/>
  <c r="P26" i="7"/>
  <c r="S25" i="7"/>
  <c r="D24" i="7"/>
  <c r="E24" i="7" s="1"/>
  <c r="P27" i="7" l="1"/>
  <c r="S26" i="7"/>
  <c r="D25" i="7"/>
  <c r="E25" i="7" s="1"/>
  <c r="C26" i="7"/>
  <c r="B27" i="7"/>
  <c r="D26" i="7" l="1"/>
  <c r="E26" i="7"/>
  <c r="B28" i="7"/>
  <c r="C27" i="7"/>
  <c r="P28" i="7"/>
  <c r="S27" i="7"/>
  <c r="D27" i="7" l="1"/>
  <c r="E27" i="7" s="1"/>
  <c r="S28" i="7"/>
  <c r="P29" i="7"/>
  <c r="B29" i="7"/>
  <c r="C28" i="7"/>
  <c r="P30" i="7" l="1"/>
  <c r="S29" i="7"/>
  <c r="D28" i="7"/>
  <c r="E28" i="7" s="1"/>
  <c r="C29" i="7"/>
  <c r="B30" i="7"/>
  <c r="C30" i="7" l="1"/>
  <c r="B31" i="7"/>
  <c r="D29" i="7"/>
  <c r="E29" i="7" s="1"/>
  <c r="P31" i="7"/>
  <c r="S30" i="7"/>
  <c r="S31" i="7" l="1"/>
  <c r="P32" i="7"/>
  <c r="S32" i="7" s="1"/>
  <c r="W14" i="7" s="1"/>
  <c r="B32" i="7"/>
  <c r="C31" i="7"/>
  <c r="D30" i="7"/>
  <c r="E30" i="7" s="1"/>
  <c r="D31" i="7" l="1"/>
  <c r="E31" i="7" s="1"/>
  <c r="B33" i="7"/>
  <c r="C32" i="7"/>
  <c r="C33" i="7" l="1"/>
  <c r="B34" i="7"/>
  <c r="D32" i="7"/>
  <c r="E32" i="7" s="1"/>
  <c r="W5" i="7" s="1"/>
  <c r="W6" i="7" s="1"/>
  <c r="W10" i="7" s="1"/>
  <c r="W16" i="7" s="1"/>
  <c r="B35" i="7" l="1"/>
  <c r="C34" i="7"/>
  <c r="D33" i="7"/>
  <c r="E33" i="7" s="1"/>
  <c r="D34" i="7" l="1"/>
  <c r="E34" i="7" s="1"/>
  <c r="C35" i="7"/>
  <c r="B36" i="7"/>
  <c r="D35" i="7" l="1"/>
  <c r="E35" i="7" s="1"/>
  <c r="C36" i="7"/>
  <c r="B37" i="7"/>
  <c r="D36" i="7" l="1"/>
  <c r="E36" i="7"/>
  <c r="B38" i="7"/>
  <c r="C37" i="7"/>
  <c r="D37" i="7" l="1"/>
  <c r="E37" i="7" s="1"/>
  <c r="C38" i="7"/>
  <c r="B39" i="7"/>
  <c r="C39" i="7" l="1"/>
  <c r="B40" i="7"/>
  <c r="D38" i="7"/>
  <c r="E38" i="7" s="1"/>
  <c r="B41" i="7" l="1"/>
  <c r="C40" i="7"/>
  <c r="D39" i="7"/>
  <c r="E39" i="7" s="1"/>
  <c r="D40" i="7" l="1"/>
  <c r="E40" i="7" s="1"/>
  <c r="B42" i="7"/>
  <c r="C41" i="7"/>
  <c r="D41" i="7" l="1"/>
  <c r="E41" i="7"/>
  <c r="B43" i="7"/>
  <c r="C42" i="7"/>
  <c r="B44" i="7" l="1"/>
  <c r="C43" i="7"/>
  <c r="D42" i="7"/>
  <c r="E42" i="7" s="1"/>
  <c r="D43" i="7" l="1"/>
  <c r="E43" i="7"/>
  <c r="C44" i="7"/>
  <c r="B45" i="7"/>
  <c r="B46" i="7" l="1"/>
  <c r="C45" i="7"/>
  <c r="D44" i="7"/>
  <c r="E44" i="7" s="1"/>
  <c r="D45" i="7" l="1"/>
  <c r="E45" i="7" s="1"/>
  <c r="B47" i="7"/>
  <c r="C46" i="7"/>
  <c r="B48" i="7" l="1"/>
  <c r="C47" i="7"/>
  <c r="D46" i="7"/>
  <c r="E46" i="7"/>
  <c r="D47" i="7" l="1"/>
  <c r="E47" i="7" s="1"/>
  <c r="B49" i="7"/>
  <c r="C48" i="7"/>
  <c r="C49" i="7" l="1"/>
  <c r="B50" i="7"/>
  <c r="D48" i="7"/>
  <c r="E48" i="7" s="1"/>
  <c r="C50" i="7" l="1"/>
  <c r="B51" i="7"/>
  <c r="D49" i="7"/>
  <c r="E49" i="7" s="1"/>
  <c r="B52" i="7" l="1"/>
  <c r="C51" i="7"/>
  <c r="D50" i="7"/>
  <c r="E50" i="7"/>
  <c r="D51" i="7" l="1"/>
  <c r="E51" i="7" s="1"/>
  <c r="B53" i="7"/>
  <c r="C52" i="7"/>
  <c r="D52" i="7" l="1"/>
  <c r="E52" i="7" s="1"/>
  <c r="B54" i="7"/>
  <c r="C53" i="7"/>
  <c r="D53" i="7" l="1"/>
  <c r="E53" i="7" s="1"/>
  <c r="C54" i="7"/>
  <c r="B55" i="7"/>
  <c r="C55" i="7" l="1"/>
  <c r="B56" i="7"/>
  <c r="D54" i="7"/>
  <c r="E54" i="7" s="1"/>
  <c r="B57" i="7" l="1"/>
  <c r="C56" i="7"/>
  <c r="D55" i="7"/>
  <c r="E55" i="7" s="1"/>
  <c r="H78" i="5"/>
  <c r="J78" i="5" s="1"/>
  <c r="G77" i="5"/>
  <c r="H77" i="5" s="1"/>
  <c r="H72" i="5"/>
  <c r="I72" i="5" s="1"/>
  <c r="J72" i="5" s="1"/>
  <c r="F68" i="5"/>
  <c r="F69" i="5" s="1"/>
  <c r="F70" i="5" s="1"/>
  <c r="I67" i="5"/>
  <c r="H67" i="5"/>
  <c r="J67" i="5" s="1"/>
  <c r="I66" i="5"/>
  <c r="H66" i="5"/>
  <c r="J66" i="5" s="1"/>
  <c r="G66" i="5"/>
  <c r="H61" i="5"/>
  <c r="F57" i="5"/>
  <c r="F58" i="5" s="1"/>
  <c r="I56" i="5"/>
  <c r="H56" i="5"/>
  <c r="G55" i="5"/>
  <c r="H55" i="5" s="1"/>
  <c r="H50" i="5"/>
  <c r="I50" i="5" s="1"/>
  <c r="F48" i="5"/>
  <c r="F49" i="5" s="1"/>
  <c r="F46" i="5"/>
  <c r="F47" i="5" s="1"/>
  <c r="H45" i="5"/>
  <c r="G44" i="5"/>
  <c r="H44" i="5" s="1"/>
  <c r="H39" i="5"/>
  <c r="I39" i="5" s="1"/>
  <c r="F35" i="5"/>
  <c r="F36" i="5" s="1"/>
  <c r="H34" i="5"/>
  <c r="I34" i="5" s="1"/>
  <c r="J34" i="5" s="1"/>
  <c r="H33" i="5"/>
  <c r="G33" i="5"/>
  <c r="L32" i="5"/>
  <c r="J28" i="5"/>
  <c r="H28" i="5"/>
  <c r="I28" i="5" s="1"/>
  <c r="F24" i="5"/>
  <c r="F25" i="5" s="1"/>
  <c r="J23" i="5"/>
  <c r="H23" i="5"/>
  <c r="I23" i="5" s="1"/>
  <c r="L22" i="5"/>
  <c r="I22" i="5"/>
  <c r="G22" i="5"/>
  <c r="H22" i="5" s="1"/>
  <c r="J22" i="5" s="1"/>
  <c r="I17" i="5"/>
  <c r="H17" i="5"/>
  <c r="J17" i="5" s="1"/>
  <c r="W13" i="5"/>
  <c r="W11" i="5"/>
  <c r="F11" i="5"/>
  <c r="F12" i="5" s="1"/>
  <c r="F13" i="5" s="1"/>
  <c r="F14" i="5" s="1"/>
  <c r="F15" i="5" s="1"/>
  <c r="F16" i="5" s="1"/>
  <c r="F17" i="5" s="1"/>
  <c r="F18" i="5" s="1"/>
  <c r="F7" i="5"/>
  <c r="F8" i="5" s="1"/>
  <c r="F9" i="5" s="1"/>
  <c r="F10" i="5" s="1"/>
  <c r="R6" i="5"/>
  <c r="R7" i="5" s="1"/>
  <c r="R8" i="5" s="1"/>
  <c r="R9" i="5" s="1"/>
  <c r="R10" i="5" s="1"/>
  <c r="R11" i="5" s="1"/>
  <c r="R12" i="5" s="1"/>
  <c r="R13" i="5" s="1"/>
  <c r="R14" i="5" s="1"/>
  <c r="R15" i="5" s="1"/>
  <c r="R16" i="5" s="1"/>
  <c r="R17" i="5" s="1"/>
  <c r="R18" i="5" s="1"/>
  <c r="R19" i="5" s="1"/>
  <c r="R20" i="5" s="1"/>
  <c r="R21" i="5" s="1"/>
  <c r="R22" i="5" s="1"/>
  <c r="R23" i="5" s="1"/>
  <c r="R24" i="5" s="1"/>
  <c r="R25" i="5" s="1"/>
  <c r="R26" i="5" s="1"/>
  <c r="R27" i="5" s="1"/>
  <c r="R28" i="5" s="1"/>
  <c r="R29" i="5" s="1"/>
  <c r="R30" i="5" s="1"/>
  <c r="R31" i="5" s="1"/>
  <c r="R32" i="5" s="1"/>
  <c r="R33" i="5" s="1"/>
  <c r="R34" i="5" s="1"/>
  <c r="R35" i="5" s="1"/>
  <c r="R36" i="5" s="1"/>
  <c r="R37" i="5" s="1"/>
  <c r="R38" i="5" s="1"/>
  <c r="R39" i="5" s="1"/>
  <c r="R40" i="5" s="1"/>
  <c r="R41" i="5" s="1"/>
  <c r="R42" i="5" s="1"/>
  <c r="R43" i="5" s="1"/>
  <c r="R44" i="5" s="1"/>
  <c r="R45" i="5" s="1"/>
  <c r="R46" i="5" s="1"/>
  <c r="R47" i="5" s="1"/>
  <c r="R48" i="5" s="1"/>
  <c r="R49" i="5" s="1"/>
  <c r="H6" i="5"/>
  <c r="K5" i="5"/>
  <c r="K6" i="5" s="1"/>
  <c r="K7" i="5" s="1"/>
  <c r="K8" i="5" s="1"/>
  <c r="K9" i="5" s="1"/>
  <c r="K10" i="5" s="1"/>
  <c r="K11" i="5" s="1"/>
  <c r="K12" i="5" s="1"/>
  <c r="K13" i="5" s="1"/>
  <c r="K14" i="5" s="1"/>
  <c r="K15" i="5" s="1"/>
  <c r="K16" i="5" s="1"/>
  <c r="K17" i="5" s="1"/>
  <c r="K18" i="5" s="1"/>
  <c r="K19" i="5" s="1"/>
  <c r="K20" i="5" s="1"/>
  <c r="K21" i="5" s="1"/>
  <c r="K22" i="5" s="1"/>
  <c r="K23" i="5" s="1"/>
  <c r="K24" i="5" s="1"/>
  <c r="K25" i="5" s="1"/>
  <c r="K26" i="5" s="1"/>
  <c r="K27" i="5" s="1"/>
  <c r="K28" i="5" s="1"/>
  <c r="K29" i="5" s="1"/>
  <c r="K30" i="5" s="1"/>
  <c r="K31" i="5" s="1"/>
  <c r="K32" i="5" s="1"/>
  <c r="K33" i="5" s="1"/>
  <c r="K34" i="5" s="1"/>
  <c r="K35" i="5" s="1"/>
  <c r="K36" i="5" s="1"/>
  <c r="K37" i="5" s="1"/>
  <c r="K38" i="5" s="1"/>
  <c r="K39" i="5" s="1"/>
  <c r="K40" i="5" s="1"/>
  <c r="K41" i="5" s="1"/>
  <c r="K42" i="5" s="1"/>
  <c r="K43" i="5" s="1"/>
  <c r="K44" i="5" s="1"/>
  <c r="K45" i="5" s="1"/>
  <c r="K46" i="5" s="1"/>
  <c r="K47" i="5" s="1"/>
  <c r="K48" i="5" s="1"/>
  <c r="K49" i="5" s="1"/>
  <c r="K50" i="5" s="1"/>
  <c r="K51" i="5" s="1"/>
  <c r="K52" i="5" s="1"/>
  <c r="K53" i="5" s="1"/>
  <c r="K54" i="5" s="1"/>
  <c r="K55" i="5" s="1"/>
  <c r="K56" i="5" s="1"/>
  <c r="K57" i="5" s="1"/>
  <c r="K58" i="5" s="1"/>
  <c r="K59" i="5" s="1"/>
  <c r="K60" i="5" s="1"/>
  <c r="K61" i="5" s="1"/>
  <c r="K62" i="5" s="1"/>
  <c r="K63" i="5" s="1"/>
  <c r="K64" i="5" s="1"/>
  <c r="K65" i="5" s="1"/>
  <c r="K66" i="5" s="1"/>
  <c r="K67" i="5" s="1"/>
  <c r="K68" i="5" s="1"/>
  <c r="K69" i="5" s="1"/>
  <c r="K70" i="5" s="1"/>
  <c r="K71" i="5" s="1"/>
  <c r="K72" i="5" s="1"/>
  <c r="K73" i="5" s="1"/>
  <c r="K74" i="5" s="1"/>
  <c r="K75" i="5" s="1"/>
  <c r="K76" i="5" s="1"/>
  <c r="K77" i="5" s="1"/>
  <c r="K78" i="5" s="1"/>
  <c r="Q4" i="5"/>
  <c r="Q5" i="5" s="1"/>
  <c r="Q6" i="5" s="1"/>
  <c r="Q7" i="5" s="1"/>
  <c r="Q8" i="5" s="1"/>
  <c r="Q9" i="5" s="1"/>
  <c r="Q10" i="5" s="1"/>
  <c r="Q11" i="5" s="1"/>
  <c r="Q12" i="5" s="1"/>
  <c r="Q13" i="5" s="1"/>
  <c r="Q14" i="5" s="1"/>
  <c r="Q15" i="5" s="1"/>
  <c r="Q16" i="5" s="1"/>
  <c r="Q17" i="5" s="1"/>
  <c r="Q18" i="5" s="1"/>
  <c r="Q19" i="5" s="1"/>
  <c r="Q20" i="5" s="1"/>
  <c r="Q21" i="5" s="1"/>
  <c r="Q22" i="5" s="1"/>
  <c r="Q23" i="5" s="1"/>
  <c r="Q24" i="5" s="1"/>
  <c r="Q25" i="5" s="1"/>
  <c r="Q26" i="5" s="1"/>
  <c r="Q27" i="5" s="1"/>
  <c r="Q28" i="5" s="1"/>
  <c r="Q29" i="5" s="1"/>
  <c r="Q30" i="5" s="1"/>
  <c r="Q31" i="5" s="1"/>
  <c r="Q32" i="5" s="1"/>
  <c r="Q33" i="5" s="1"/>
  <c r="Q34" i="5" s="1"/>
  <c r="Q35" i="5" s="1"/>
  <c r="Q36" i="5" s="1"/>
  <c r="Q37" i="5" s="1"/>
  <c r="Q38" i="5" s="1"/>
  <c r="Q39" i="5" s="1"/>
  <c r="Q40" i="5" s="1"/>
  <c r="Q41" i="5" s="1"/>
  <c r="Q42" i="5" s="1"/>
  <c r="Q43" i="5" s="1"/>
  <c r="Q44" i="5" s="1"/>
  <c r="Q45" i="5" s="1"/>
  <c r="Q46" i="5" s="1"/>
  <c r="Q47" i="5" s="1"/>
  <c r="Q48" i="5" s="1"/>
  <c r="Q49" i="5" s="1"/>
  <c r="K4" i="5"/>
  <c r="R3" i="5"/>
  <c r="R4" i="5" s="1"/>
  <c r="R5" i="5" s="1"/>
  <c r="Q3" i="5"/>
  <c r="P3" i="5"/>
  <c r="P4" i="5" s="1"/>
  <c r="S4" i="5" s="1"/>
  <c r="K3" i="5"/>
  <c r="G3" i="5"/>
  <c r="H3" i="5" s="1"/>
  <c r="F3" i="5"/>
  <c r="F4" i="5" s="1"/>
  <c r="F5" i="5" s="1"/>
  <c r="F6" i="5" s="1"/>
  <c r="B3" i="5"/>
  <c r="C3" i="5" s="1"/>
  <c r="S2" i="5"/>
  <c r="H2" i="5"/>
  <c r="C2" i="5"/>
  <c r="E2" i="5" s="1"/>
  <c r="H165" i="3"/>
  <c r="J165" i="3" s="1"/>
  <c r="J164" i="3"/>
  <c r="G164" i="3"/>
  <c r="H164" i="3" s="1"/>
  <c r="I164" i="3" s="1"/>
  <c r="H159" i="3"/>
  <c r="G159" i="3"/>
  <c r="G154" i="3"/>
  <c r="F150" i="3"/>
  <c r="F151" i="3" s="1"/>
  <c r="F152" i="3" s="1"/>
  <c r="I149" i="3"/>
  <c r="H149" i="3"/>
  <c r="I148" i="3"/>
  <c r="H148" i="3"/>
  <c r="G148" i="3"/>
  <c r="G143" i="3"/>
  <c r="F139" i="3"/>
  <c r="F140" i="3" s="1"/>
  <c r="I138" i="3"/>
  <c r="H138" i="3"/>
  <c r="J138" i="3" s="1"/>
  <c r="G137" i="3"/>
  <c r="H137" i="3" s="1"/>
  <c r="G132" i="3"/>
  <c r="F128" i="3"/>
  <c r="F129" i="3" s="1"/>
  <c r="F130" i="3" s="1"/>
  <c r="F131" i="3" s="1"/>
  <c r="F132" i="3" s="1"/>
  <c r="F133" i="3" s="1"/>
  <c r="H127" i="3"/>
  <c r="H126" i="3"/>
  <c r="G126" i="3"/>
  <c r="G121" i="3"/>
  <c r="F117" i="3"/>
  <c r="F118" i="3" s="1"/>
  <c r="F119" i="3" s="1"/>
  <c r="I116" i="3"/>
  <c r="H116" i="3"/>
  <c r="I115" i="3"/>
  <c r="G115" i="3"/>
  <c r="H115" i="3" s="1"/>
  <c r="G110" i="3"/>
  <c r="G111" i="3" s="1"/>
  <c r="H111" i="3" s="1"/>
  <c r="F110" i="3"/>
  <c r="F111" i="3" s="1"/>
  <c r="F112" i="3" s="1"/>
  <c r="F113" i="3" s="1"/>
  <c r="F114" i="3" s="1"/>
  <c r="F115" i="3" s="1"/>
  <c r="G112" i="3" s="1"/>
  <c r="H112" i="3" s="1"/>
  <c r="G108" i="3"/>
  <c r="H108" i="3" s="1"/>
  <c r="I108" i="3" s="1"/>
  <c r="I107" i="3"/>
  <c r="G107" i="3"/>
  <c r="H107" i="3" s="1"/>
  <c r="G106" i="3"/>
  <c r="H106" i="3" s="1"/>
  <c r="F106" i="3"/>
  <c r="F107" i="3" s="1"/>
  <c r="F108" i="3" s="1"/>
  <c r="F109" i="3" s="1"/>
  <c r="H105" i="3"/>
  <c r="I104" i="3"/>
  <c r="H104" i="3"/>
  <c r="G104" i="3"/>
  <c r="G99" i="3"/>
  <c r="F95" i="3"/>
  <c r="F96" i="3" s="1"/>
  <c r="I94" i="3"/>
  <c r="H94" i="3"/>
  <c r="J94" i="3" s="1"/>
  <c r="G93" i="3"/>
  <c r="H93" i="3" s="1"/>
  <c r="G88" i="3"/>
  <c r="F84" i="3"/>
  <c r="F85" i="3" s="1"/>
  <c r="I83" i="3"/>
  <c r="H83" i="3"/>
  <c r="J83" i="3" s="1"/>
  <c r="I82" i="3"/>
  <c r="H82" i="3"/>
  <c r="G82" i="3"/>
  <c r="H77" i="3"/>
  <c r="G77" i="3"/>
  <c r="F73" i="3"/>
  <c r="J72" i="3"/>
  <c r="H72" i="3"/>
  <c r="I72" i="3" s="1"/>
  <c r="H71" i="3"/>
  <c r="I71" i="3" s="1"/>
  <c r="G71" i="3"/>
  <c r="G66" i="3"/>
  <c r="F64" i="3"/>
  <c r="F62" i="3"/>
  <c r="F63" i="3" s="1"/>
  <c r="I61" i="3"/>
  <c r="H61" i="3"/>
  <c r="J61" i="3" s="1"/>
  <c r="I60" i="3"/>
  <c r="H60" i="3"/>
  <c r="G60" i="3"/>
  <c r="G55" i="3"/>
  <c r="F51" i="3"/>
  <c r="F52" i="3" s="1"/>
  <c r="H50" i="3"/>
  <c r="H49" i="3"/>
  <c r="I49" i="3" s="1"/>
  <c r="G49" i="3"/>
  <c r="H44" i="3"/>
  <c r="G44" i="3"/>
  <c r="F40" i="3"/>
  <c r="I39" i="3"/>
  <c r="J39" i="3" s="1"/>
  <c r="H39" i="3"/>
  <c r="H38" i="3"/>
  <c r="I38" i="3" s="1"/>
  <c r="G38" i="3"/>
  <c r="H33" i="3"/>
  <c r="G33" i="3"/>
  <c r="F29" i="3"/>
  <c r="I28" i="3"/>
  <c r="J28" i="3" s="1"/>
  <c r="H28" i="3"/>
  <c r="L27" i="3"/>
  <c r="I27" i="3"/>
  <c r="H27" i="3"/>
  <c r="J27" i="3" s="1"/>
  <c r="G27" i="3"/>
  <c r="G22" i="3"/>
  <c r="W11" i="3"/>
  <c r="W13" i="3" s="1"/>
  <c r="J10" i="3"/>
  <c r="G10" i="3"/>
  <c r="H10" i="3" s="1"/>
  <c r="I10" i="3" s="1"/>
  <c r="H9" i="3"/>
  <c r="G9" i="3"/>
  <c r="H8" i="3"/>
  <c r="K7" i="3"/>
  <c r="K8" i="3" s="1"/>
  <c r="K9" i="3" s="1"/>
  <c r="K10" i="3" s="1"/>
  <c r="K11" i="3" s="1"/>
  <c r="K12" i="3" s="1"/>
  <c r="K13" i="3" s="1"/>
  <c r="K14" i="3" s="1"/>
  <c r="K15" i="3" s="1"/>
  <c r="K16" i="3" s="1"/>
  <c r="K17" i="3" s="1"/>
  <c r="K18" i="3" s="1"/>
  <c r="K19" i="3" s="1"/>
  <c r="K20" i="3" s="1"/>
  <c r="K21" i="3" s="1"/>
  <c r="K22" i="3" s="1"/>
  <c r="K23" i="3" s="1"/>
  <c r="K24" i="3" s="1"/>
  <c r="K25" i="3" s="1"/>
  <c r="K26" i="3" s="1"/>
  <c r="K27" i="3" s="1"/>
  <c r="K28" i="3" s="1"/>
  <c r="K29" i="3" s="1"/>
  <c r="K30" i="3" s="1"/>
  <c r="K31" i="3" s="1"/>
  <c r="K32" i="3" s="1"/>
  <c r="K33" i="3" s="1"/>
  <c r="K34" i="3" s="1"/>
  <c r="K35" i="3" s="1"/>
  <c r="K36" i="3" s="1"/>
  <c r="K37" i="3" s="1"/>
  <c r="K38" i="3" s="1"/>
  <c r="K39" i="3" s="1"/>
  <c r="K40" i="3" s="1"/>
  <c r="K41" i="3" s="1"/>
  <c r="K42" i="3" s="1"/>
  <c r="K43" i="3" s="1"/>
  <c r="K44" i="3" s="1"/>
  <c r="K45" i="3" s="1"/>
  <c r="K46" i="3" s="1"/>
  <c r="K47" i="3" s="1"/>
  <c r="K48" i="3" s="1"/>
  <c r="K49" i="3" s="1"/>
  <c r="K50" i="3" s="1"/>
  <c r="K51" i="3" s="1"/>
  <c r="K52" i="3" s="1"/>
  <c r="K53" i="3" s="1"/>
  <c r="K54" i="3" s="1"/>
  <c r="K55" i="3" s="1"/>
  <c r="K56" i="3" s="1"/>
  <c r="K57" i="3" s="1"/>
  <c r="K58" i="3" s="1"/>
  <c r="K59" i="3" s="1"/>
  <c r="K60" i="3" s="1"/>
  <c r="K61" i="3" s="1"/>
  <c r="K62" i="3" s="1"/>
  <c r="K63" i="3" s="1"/>
  <c r="K64" i="3" s="1"/>
  <c r="K65" i="3" s="1"/>
  <c r="K66" i="3" s="1"/>
  <c r="K67" i="3" s="1"/>
  <c r="K68" i="3" s="1"/>
  <c r="K69" i="3" s="1"/>
  <c r="K70" i="3" s="1"/>
  <c r="K71" i="3" s="1"/>
  <c r="K72" i="3" s="1"/>
  <c r="K73" i="3" s="1"/>
  <c r="K74" i="3" s="1"/>
  <c r="K75" i="3" s="1"/>
  <c r="K76" i="3" s="1"/>
  <c r="K77" i="3" s="1"/>
  <c r="K78" i="3" s="1"/>
  <c r="K79" i="3" s="1"/>
  <c r="K80" i="3" s="1"/>
  <c r="K81" i="3" s="1"/>
  <c r="K82" i="3" s="1"/>
  <c r="K83" i="3" s="1"/>
  <c r="K84" i="3" s="1"/>
  <c r="K85" i="3" s="1"/>
  <c r="K86" i="3" s="1"/>
  <c r="K87" i="3" s="1"/>
  <c r="K88" i="3" s="1"/>
  <c r="K89" i="3" s="1"/>
  <c r="K90" i="3" s="1"/>
  <c r="K91" i="3" s="1"/>
  <c r="K92" i="3" s="1"/>
  <c r="K93" i="3" s="1"/>
  <c r="K94" i="3" s="1"/>
  <c r="K95" i="3" s="1"/>
  <c r="K96" i="3" s="1"/>
  <c r="K97" i="3" s="1"/>
  <c r="K98" i="3" s="1"/>
  <c r="K99" i="3" s="1"/>
  <c r="K100" i="3" s="1"/>
  <c r="K101" i="3" s="1"/>
  <c r="K102" i="3" s="1"/>
  <c r="K103" i="3" s="1"/>
  <c r="K104" i="3" s="1"/>
  <c r="K105" i="3" s="1"/>
  <c r="K106" i="3" s="1"/>
  <c r="K107" i="3" s="1"/>
  <c r="K108" i="3" s="1"/>
  <c r="K109" i="3" s="1"/>
  <c r="K110" i="3" s="1"/>
  <c r="K111" i="3" s="1"/>
  <c r="K112" i="3" s="1"/>
  <c r="K113" i="3" s="1"/>
  <c r="K114" i="3" s="1"/>
  <c r="K115" i="3" s="1"/>
  <c r="K116" i="3" s="1"/>
  <c r="K117" i="3" s="1"/>
  <c r="K118" i="3" s="1"/>
  <c r="K119" i="3" s="1"/>
  <c r="K120" i="3" s="1"/>
  <c r="K121" i="3" s="1"/>
  <c r="K122" i="3" s="1"/>
  <c r="K123" i="3" s="1"/>
  <c r="K124" i="3" s="1"/>
  <c r="K125" i="3" s="1"/>
  <c r="K126" i="3" s="1"/>
  <c r="K127" i="3" s="1"/>
  <c r="K128" i="3" s="1"/>
  <c r="K129" i="3" s="1"/>
  <c r="K130" i="3" s="1"/>
  <c r="K131" i="3" s="1"/>
  <c r="K132" i="3" s="1"/>
  <c r="K133" i="3" s="1"/>
  <c r="K134" i="3" s="1"/>
  <c r="K135" i="3" s="1"/>
  <c r="K136" i="3" s="1"/>
  <c r="K137" i="3" s="1"/>
  <c r="K138" i="3" s="1"/>
  <c r="K139" i="3" s="1"/>
  <c r="K140" i="3" s="1"/>
  <c r="K141" i="3" s="1"/>
  <c r="K142" i="3" s="1"/>
  <c r="K143" i="3" s="1"/>
  <c r="K144" i="3" s="1"/>
  <c r="K145" i="3" s="1"/>
  <c r="K146" i="3" s="1"/>
  <c r="K147" i="3" s="1"/>
  <c r="K148" i="3" s="1"/>
  <c r="K149" i="3" s="1"/>
  <c r="K150" i="3" s="1"/>
  <c r="K151" i="3" s="1"/>
  <c r="K152" i="3" s="1"/>
  <c r="K153" i="3" s="1"/>
  <c r="K154" i="3" s="1"/>
  <c r="K155" i="3" s="1"/>
  <c r="H7" i="3"/>
  <c r="I6" i="3"/>
  <c r="H6" i="3"/>
  <c r="I5" i="3"/>
  <c r="J5" i="3" s="1"/>
  <c r="H5" i="3"/>
  <c r="F5" i="3"/>
  <c r="F6" i="3" s="1"/>
  <c r="F7" i="3" s="1"/>
  <c r="F8" i="3" s="1"/>
  <c r="F9" i="3" s="1"/>
  <c r="F10" i="3" s="1"/>
  <c r="F11" i="3" s="1"/>
  <c r="F12" i="3" s="1"/>
  <c r="F13" i="3" s="1"/>
  <c r="F14" i="3" s="1"/>
  <c r="F15" i="3" s="1"/>
  <c r="F16" i="3" s="1"/>
  <c r="F17" i="3" s="1"/>
  <c r="F18" i="3" s="1"/>
  <c r="F19" i="3" s="1"/>
  <c r="F20" i="3" s="1"/>
  <c r="F21" i="3" s="1"/>
  <c r="F22" i="3" s="1"/>
  <c r="F23" i="3" s="1"/>
  <c r="F24" i="3" s="1"/>
  <c r="F25" i="3" s="1"/>
  <c r="F26" i="3" s="1"/>
  <c r="F27" i="3" s="1"/>
  <c r="H4" i="3"/>
  <c r="I4" i="3" s="1"/>
  <c r="J4" i="3" s="1"/>
  <c r="F4" i="3"/>
  <c r="R3" i="3"/>
  <c r="R4" i="3" s="1"/>
  <c r="R5" i="3" s="1"/>
  <c r="R6" i="3" s="1"/>
  <c r="R7" i="3" s="1"/>
  <c r="R8" i="3" s="1"/>
  <c r="R9" i="3" s="1"/>
  <c r="R10" i="3" s="1"/>
  <c r="R11" i="3" s="1"/>
  <c r="R12" i="3" s="1"/>
  <c r="R13" i="3" s="1"/>
  <c r="R14" i="3" s="1"/>
  <c r="R15" i="3" s="1"/>
  <c r="R16" i="3" s="1"/>
  <c r="R17" i="3" s="1"/>
  <c r="R18" i="3" s="1"/>
  <c r="R19" i="3" s="1"/>
  <c r="R20" i="3" s="1"/>
  <c r="R21" i="3" s="1"/>
  <c r="R22" i="3" s="1"/>
  <c r="R23" i="3" s="1"/>
  <c r="R24" i="3" s="1"/>
  <c r="R25" i="3" s="1"/>
  <c r="R26" i="3" s="1"/>
  <c r="R27" i="3" s="1"/>
  <c r="R28" i="3" s="1"/>
  <c r="R29" i="3" s="1"/>
  <c r="R30" i="3" s="1"/>
  <c r="R31" i="3" s="1"/>
  <c r="R32" i="3" s="1"/>
  <c r="R33" i="3" s="1"/>
  <c r="R34" i="3" s="1"/>
  <c r="R35" i="3" s="1"/>
  <c r="R36" i="3" s="1"/>
  <c r="R37" i="3" s="1"/>
  <c r="R38" i="3" s="1"/>
  <c r="R39" i="3" s="1"/>
  <c r="R40" i="3" s="1"/>
  <c r="R41" i="3" s="1"/>
  <c r="R42" i="3" s="1"/>
  <c r="R43" i="3" s="1"/>
  <c r="R44" i="3" s="1"/>
  <c r="R45" i="3" s="1"/>
  <c r="R46" i="3" s="1"/>
  <c r="R47" i="3" s="1"/>
  <c r="R48" i="3" s="1"/>
  <c r="R49" i="3" s="1"/>
  <c r="Q3" i="3"/>
  <c r="Q4" i="3" s="1"/>
  <c r="Q5" i="3" s="1"/>
  <c r="Q6" i="3" s="1"/>
  <c r="Q7" i="3" s="1"/>
  <c r="Q8" i="3" s="1"/>
  <c r="Q9" i="3" s="1"/>
  <c r="Q10" i="3" s="1"/>
  <c r="Q11" i="3" s="1"/>
  <c r="Q12" i="3" s="1"/>
  <c r="Q13" i="3" s="1"/>
  <c r="Q14" i="3" s="1"/>
  <c r="Q15" i="3" s="1"/>
  <c r="Q16" i="3" s="1"/>
  <c r="Q17" i="3" s="1"/>
  <c r="Q18" i="3" s="1"/>
  <c r="Q19" i="3" s="1"/>
  <c r="Q20" i="3" s="1"/>
  <c r="Q21" i="3" s="1"/>
  <c r="Q22" i="3" s="1"/>
  <c r="Q23" i="3" s="1"/>
  <c r="Q24" i="3" s="1"/>
  <c r="Q25" i="3" s="1"/>
  <c r="Q26" i="3" s="1"/>
  <c r="Q27" i="3" s="1"/>
  <c r="Q28" i="3" s="1"/>
  <c r="Q29" i="3" s="1"/>
  <c r="Q30" i="3" s="1"/>
  <c r="Q31" i="3" s="1"/>
  <c r="Q32" i="3" s="1"/>
  <c r="Q33" i="3" s="1"/>
  <c r="Q34" i="3" s="1"/>
  <c r="Q35" i="3" s="1"/>
  <c r="Q36" i="3" s="1"/>
  <c r="Q37" i="3" s="1"/>
  <c r="Q38" i="3" s="1"/>
  <c r="Q39" i="3" s="1"/>
  <c r="Q40" i="3" s="1"/>
  <c r="Q41" i="3" s="1"/>
  <c r="Q42" i="3" s="1"/>
  <c r="Q43" i="3" s="1"/>
  <c r="Q44" i="3" s="1"/>
  <c r="Q45" i="3" s="1"/>
  <c r="Q46" i="3" s="1"/>
  <c r="Q47" i="3" s="1"/>
  <c r="Q48" i="3" s="1"/>
  <c r="Q49" i="3" s="1"/>
  <c r="P3" i="3"/>
  <c r="P4" i="3" s="1"/>
  <c r="K3" i="3"/>
  <c r="K4" i="3" s="1"/>
  <c r="K5" i="3" s="1"/>
  <c r="K6" i="3" s="1"/>
  <c r="H3" i="3"/>
  <c r="F3" i="3"/>
  <c r="B3" i="3"/>
  <c r="S2" i="3"/>
  <c r="H2" i="3"/>
  <c r="C2" i="3"/>
  <c r="E2" i="3" s="1"/>
  <c r="D56" i="7" l="1"/>
  <c r="E56" i="7" s="1"/>
  <c r="B58" i="7"/>
  <c r="C57" i="7"/>
  <c r="J3" i="5"/>
  <c r="F19" i="5"/>
  <c r="G49" i="5"/>
  <c r="H49" i="5" s="1"/>
  <c r="F50" i="5"/>
  <c r="P5" i="5"/>
  <c r="I3" i="5"/>
  <c r="D3" i="5"/>
  <c r="E3" i="5"/>
  <c r="J44" i="5"/>
  <c r="I77" i="5"/>
  <c r="J77" i="5" s="1"/>
  <c r="B4" i="5"/>
  <c r="F71" i="5"/>
  <c r="I6" i="5"/>
  <c r="J6" i="5" s="1"/>
  <c r="I44" i="5"/>
  <c r="G4" i="5"/>
  <c r="G47" i="5"/>
  <c r="H47" i="5" s="1"/>
  <c r="S3" i="5"/>
  <c r="F59" i="5"/>
  <c r="J61" i="5"/>
  <c r="I61" i="5"/>
  <c r="F37" i="5"/>
  <c r="J50" i="5"/>
  <c r="F26" i="5"/>
  <c r="I55" i="5"/>
  <c r="J55" i="5" s="1"/>
  <c r="I45" i="5"/>
  <c r="J45" i="5" s="1"/>
  <c r="G48" i="5"/>
  <c r="H48" i="5" s="1"/>
  <c r="I33" i="5"/>
  <c r="J33" i="5" s="1"/>
  <c r="J39" i="5"/>
  <c r="J56" i="5"/>
  <c r="G26" i="3"/>
  <c r="H26" i="3" s="1"/>
  <c r="B4" i="3"/>
  <c r="C3" i="3"/>
  <c r="J8" i="3"/>
  <c r="J6" i="3"/>
  <c r="J9" i="3"/>
  <c r="I9" i="3"/>
  <c r="I3" i="3"/>
  <c r="J3" i="3" s="1"/>
  <c r="P5" i="3"/>
  <c r="S4" i="3"/>
  <c r="J7" i="3"/>
  <c r="F65" i="3"/>
  <c r="I33" i="3"/>
  <c r="J33" i="3" s="1"/>
  <c r="F134" i="3"/>
  <c r="F135" i="3" s="1"/>
  <c r="F136" i="3" s="1"/>
  <c r="F137" i="3" s="1"/>
  <c r="G133" i="3"/>
  <c r="H133" i="3" s="1"/>
  <c r="I8" i="3"/>
  <c r="F41" i="3"/>
  <c r="I44" i="3"/>
  <c r="J44" i="3" s="1"/>
  <c r="S3" i="3"/>
  <c r="G11" i="3"/>
  <c r="G23" i="3"/>
  <c r="H23" i="3" s="1"/>
  <c r="G24" i="3"/>
  <c r="H24" i="3" s="1"/>
  <c r="H22" i="3"/>
  <c r="G25" i="3"/>
  <c r="H25" i="3" s="1"/>
  <c r="F30" i="3"/>
  <c r="J38" i="3"/>
  <c r="F53" i="3"/>
  <c r="I7" i="3"/>
  <c r="J49" i="3"/>
  <c r="F74" i="3"/>
  <c r="J111" i="3"/>
  <c r="I111" i="3"/>
  <c r="F97" i="3"/>
  <c r="J106" i="3"/>
  <c r="I106" i="3"/>
  <c r="I112" i="3"/>
  <c r="J112" i="3" s="1"/>
  <c r="I77" i="3"/>
  <c r="J77" i="3" s="1"/>
  <c r="F141" i="3"/>
  <c r="H66" i="3"/>
  <c r="J93" i="3"/>
  <c r="I93" i="3"/>
  <c r="F120" i="3"/>
  <c r="I50" i="3"/>
  <c r="J50" i="3" s="1"/>
  <c r="H55" i="3"/>
  <c r="J60" i="3"/>
  <c r="J71" i="3"/>
  <c r="J105" i="3"/>
  <c r="I105" i="3"/>
  <c r="G114" i="3"/>
  <c r="H114" i="3" s="1"/>
  <c r="J82" i="3"/>
  <c r="F86" i="3"/>
  <c r="H88" i="3"/>
  <c r="G130" i="3"/>
  <c r="H130" i="3" s="1"/>
  <c r="J116" i="3"/>
  <c r="J127" i="3"/>
  <c r="F153" i="3"/>
  <c r="J108" i="3"/>
  <c r="I127" i="3"/>
  <c r="H132" i="3"/>
  <c r="G135" i="3"/>
  <c r="H135" i="3" s="1"/>
  <c r="G134" i="3"/>
  <c r="H134" i="3" s="1"/>
  <c r="G136" i="3"/>
  <c r="H136" i="3" s="1"/>
  <c r="H110" i="3"/>
  <c r="G113" i="3"/>
  <c r="H113" i="3" s="1"/>
  <c r="H121" i="3"/>
  <c r="G129" i="3"/>
  <c r="H129" i="3" s="1"/>
  <c r="J148" i="3"/>
  <c r="H99" i="3"/>
  <c r="J107" i="3"/>
  <c r="J115" i="3"/>
  <c r="G131" i="3"/>
  <c r="H131" i="3" s="1"/>
  <c r="J104" i="3"/>
  <c r="G109" i="3"/>
  <c r="H109" i="3" s="1"/>
  <c r="I126" i="3"/>
  <c r="J126" i="3" s="1"/>
  <c r="G128" i="3"/>
  <c r="H128" i="3" s="1"/>
  <c r="I137" i="3"/>
  <c r="J137" i="3" s="1"/>
  <c r="J149" i="3"/>
  <c r="H154" i="3"/>
  <c r="H143" i="3"/>
  <c r="I159" i="3"/>
  <c r="J159" i="3" s="1"/>
  <c r="D57" i="7" l="1"/>
  <c r="E57" i="7" s="1"/>
  <c r="B59" i="7"/>
  <c r="C58" i="7"/>
  <c r="J48" i="5"/>
  <c r="I48" i="5"/>
  <c r="F38" i="5"/>
  <c r="I47" i="5"/>
  <c r="J47" i="5" s="1"/>
  <c r="B5" i="5"/>
  <c r="C4" i="5"/>
  <c r="H4" i="5"/>
  <c r="G5" i="5"/>
  <c r="P6" i="5"/>
  <c r="S5" i="5"/>
  <c r="F51" i="5"/>
  <c r="G46" i="5"/>
  <c r="H46" i="5" s="1"/>
  <c r="I49" i="5"/>
  <c r="J49" i="5" s="1"/>
  <c r="F20" i="5"/>
  <c r="F27" i="5"/>
  <c r="F60" i="5"/>
  <c r="F72" i="5"/>
  <c r="G71" i="5"/>
  <c r="H71" i="5" s="1"/>
  <c r="I143" i="3"/>
  <c r="J143" i="3"/>
  <c r="I136" i="3"/>
  <c r="J136" i="3" s="1"/>
  <c r="F154" i="3"/>
  <c r="I88" i="3"/>
  <c r="J88" i="3" s="1"/>
  <c r="F54" i="3"/>
  <c r="I23" i="3"/>
  <c r="J23" i="3" s="1"/>
  <c r="F42" i="3"/>
  <c r="J129" i="3"/>
  <c r="I129" i="3"/>
  <c r="I134" i="3"/>
  <c r="J134" i="3"/>
  <c r="H11" i="3"/>
  <c r="G12" i="3"/>
  <c r="J135" i="3"/>
  <c r="I135" i="3"/>
  <c r="J133" i="3"/>
  <c r="I133" i="3"/>
  <c r="I132" i="3"/>
  <c r="J132" i="3" s="1"/>
  <c r="I130" i="3"/>
  <c r="J130" i="3" s="1"/>
  <c r="F87" i="3"/>
  <c r="F121" i="3"/>
  <c r="G120" i="3" s="1"/>
  <c r="H120" i="3" s="1"/>
  <c r="F142" i="3"/>
  <c r="F75" i="3"/>
  <c r="D3" i="3"/>
  <c r="I131" i="3"/>
  <c r="J131" i="3" s="1"/>
  <c r="I128" i="3"/>
  <c r="J128" i="3" s="1"/>
  <c r="I113" i="3"/>
  <c r="J113" i="3" s="1"/>
  <c r="F98" i="3"/>
  <c r="F31" i="3"/>
  <c r="P6" i="3"/>
  <c r="S5" i="3"/>
  <c r="C4" i="3"/>
  <c r="B5" i="3"/>
  <c r="I55" i="3"/>
  <c r="J55" i="3" s="1"/>
  <c r="I121" i="3"/>
  <c r="J121" i="3" s="1"/>
  <c r="I110" i="3"/>
  <c r="J110" i="3" s="1"/>
  <c r="I25" i="3"/>
  <c r="J25" i="3" s="1"/>
  <c r="J154" i="3"/>
  <c r="I154" i="3"/>
  <c r="I99" i="3"/>
  <c r="J99" i="3" s="1"/>
  <c r="I22" i="3"/>
  <c r="J22" i="3"/>
  <c r="I26" i="3"/>
  <c r="J26" i="3" s="1"/>
  <c r="J109" i="3"/>
  <c r="I109" i="3"/>
  <c r="J114" i="3"/>
  <c r="I114" i="3"/>
  <c r="I66" i="3"/>
  <c r="J66" i="3" s="1"/>
  <c r="I24" i="3"/>
  <c r="J24" i="3" s="1"/>
  <c r="F66" i="3"/>
  <c r="D58" i="7" l="1"/>
  <c r="E58" i="7" s="1"/>
  <c r="C59" i="7"/>
  <c r="B60" i="7"/>
  <c r="F52" i="5"/>
  <c r="I46" i="5"/>
  <c r="J46" i="5" s="1"/>
  <c r="F28" i="5"/>
  <c r="G27" i="5"/>
  <c r="H27" i="5" s="1"/>
  <c r="F21" i="5"/>
  <c r="S6" i="5"/>
  <c r="P7" i="5"/>
  <c r="G38" i="5"/>
  <c r="H38" i="5" s="1"/>
  <c r="F39" i="5"/>
  <c r="H5" i="5"/>
  <c r="G7" i="5"/>
  <c r="J71" i="5"/>
  <c r="I71" i="5"/>
  <c r="I4" i="5"/>
  <c r="J4" i="5"/>
  <c r="F73" i="5"/>
  <c r="G68" i="5"/>
  <c r="H68" i="5" s="1"/>
  <c r="G69" i="5"/>
  <c r="H69" i="5" s="1"/>
  <c r="G70" i="5"/>
  <c r="H70" i="5" s="1"/>
  <c r="D4" i="5"/>
  <c r="E4" i="5" s="1"/>
  <c r="F61" i="5"/>
  <c r="G60" i="5"/>
  <c r="H60" i="5" s="1"/>
  <c r="B6" i="5"/>
  <c r="C5" i="5"/>
  <c r="I120" i="3"/>
  <c r="J120" i="3" s="1"/>
  <c r="F99" i="3"/>
  <c r="G98" i="3"/>
  <c r="H98" i="3" s="1"/>
  <c r="B6" i="3"/>
  <c r="C5" i="3"/>
  <c r="H12" i="3"/>
  <c r="G13" i="3"/>
  <c r="D4" i="3"/>
  <c r="E4" i="3" s="1"/>
  <c r="F76" i="3"/>
  <c r="I11" i="3"/>
  <c r="J11" i="3" s="1"/>
  <c r="S6" i="3"/>
  <c r="P7" i="3"/>
  <c r="F143" i="3"/>
  <c r="G54" i="3"/>
  <c r="H54" i="3" s="1"/>
  <c r="F55" i="3"/>
  <c r="F67" i="3"/>
  <c r="G62" i="3"/>
  <c r="H62" i="3" s="1"/>
  <c r="G63" i="3"/>
  <c r="H63" i="3" s="1"/>
  <c r="G64" i="3"/>
  <c r="H64" i="3" s="1"/>
  <c r="F155" i="3"/>
  <c r="G152" i="3"/>
  <c r="H152" i="3" s="1"/>
  <c r="G150" i="3"/>
  <c r="H150" i="3" s="1"/>
  <c r="G151" i="3"/>
  <c r="H151" i="3" s="1"/>
  <c r="F32" i="3"/>
  <c r="F122" i="3"/>
  <c r="G117" i="3"/>
  <c r="H117" i="3" s="1"/>
  <c r="G118" i="3"/>
  <c r="H118" i="3" s="1"/>
  <c r="G119" i="3"/>
  <c r="H119" i="3" s="1"/>
  <c r="G65" i="3"/>
  <c r="H65" i="3" s="1"/>
  <c r="F88" i="3"/>
  <c r="G87" i="3" s="1"/>
  <c r="H87" i="3" s="1"/>
  <c r="F43" i="3"/>
  <c r="G153" i="3"/>
  <c r="H153" i="3" s="1"/>
  <c r="C60" i="7" l="1"/>
  <c r="B61" i="7"/>
  <c r="D59" i="7"/>
  <c r="E59" i="7" s="1"/>
  <c r="H7" i="5"/>
  <c r="G8" i="5"/>
  <c r="I60" i="5"/>
  <c r="J60" i="5" s="1"/>
  <c r="I70" i="5"/>
  <c r="J70" i="5" s="1"/>
  <c r="I69" i="5"/>
  <c r="J69" i="5" s="1"/>
  <c r="I5" i="5"/>
  <c r="J5" i="5" s="1"/>
  <c r="I27" i="5"/>
  <c r="J27" i="5" s="1"/>
  <c r="D5" i="5"/>
  <c r="E5" i="5" s="1"/>
  <c r="J68" i="5"/>
  <c r="I68" i="5"/>
  <c r="F40" i="5"/>
  <c r="G35" i="5"/>
  <c r="H35" i="5" s="1"/>
  <c r="G36" i="5"/>
  <c r="H36" i="5" s="1"/>
  <c r="G37" i="5"/>
  <c r="H37" i="5" s="1"/>
  <c r="F29" i="5"/>
  <c r="G24" i="5"/>
  <c r="H24" i="5" s="1"/>
  <c r="G25" i="5"/>
  <c r="H25" i="5" s="1"/>
  <c r="G26" i="5"/>
  <c r="H26" i="5" s="1"/>
  <c r="C6" i="5"/>
  <c r="B7" i="5"/>
  <c r="F74" i="5"/>
  <c r="I38" i="5"/>
  <c r="J38" i="5" s="1"/>
  <c r="P8" i="5"/>
  <c r="S7" i="5"/>
  <c r="F62" i="5"/>
  <c r="G57" i="5"/>
  <c r="H57" i="5" s="1"/>
  <c r="G58" i="5"/>
  <c r="H58" i="5" s="1"/>
  <c r="G59" i="5"/>
  <c r="H59" i="5" s="1"/>
  <c r="F22" i="5"/>
  <c r="G21" i="5"/>
  <c r="H21" i="5" s="1"/>
  <c r="F53" i="5"/>
  <c r="I87" i="3"/>
  <c r="J87" i="3" s="1"/>
  <c r="F144" i="3"/>
  <c r="G139" i="3"/>
  <c r="H139" i="3" s="1"/>
  <c r="G140" i="3"/>
  <c r="H140" i="3" s="1"/>
  <c r="G141" i="3"/>
  <c r="H141" i="3" s="1"/>
  <c r="G32" i="3"/>
  <c r="H32" i="3" s="1"/>
  <c r="F33" i="3"/>
  <c r="I12" i="3"/>
  <c r="J12" i="3" s="1"/>
  <c r="F68" i="3"/>
  <c r="D5" i="3"/>
  <c r="E5" i="3" s="1"/>
  <c r="F89" i="3"/>
  <c r="G84" i="3"/>
  <c r="H84" i="3" s="1"/>
  <c r="G85" i="3"/>
  <c r="H85" i="3" s="1"/>
  <c r="G86" i="3"/>
  <c r="H86" i="3" s="1"/>
  <c r="I151" i="3"/>
  <c r="J151" i="3" s="1"/>
  <c r="F56" i="3"/>
  <c r="G51" i="3"/>
  <c r="H51" i="3" s="1"/>
  <c r="G52" i="3"/>
  <c r="H52" i="3" s="1"/>
  <c r="G53" i="3"/>
  <c r="H53" i="3" s="1"/>
  <c r="C6" i="3"/>
  <c r="B7" i="3"/>
  <c r="I62" i="3"/>
  <c r="J62" i="3"/>
  <c r="I150" i="3"/>
  <c r="J150" i="3" s="1"/>
  <c r="J54" i="3"/>
  <c r="I54" i="3"/>
  <c r="I98" i="3"/>
  <c r="J98" i="3" s="1"/>
  <c r="I65" i="3"/>
  <c r="J65" i="3" s="1"/>
  <c r="I119" i="3"/>
  <c r="J119" i="3" s="1"/>
  <c r="I152" i="3"/>
  <c r="J152" i="3" s="1"/>
  <c r="G142" i="3"/>
  <c r="H142" i="3" s="1"/>
  <c r="G76" i="3"/>
  <c r="H76" i="3" s="1"/>
  <c r="F77" i="3"/>
  <c r="F100" i="3"/>
  <c r="G96" i="3"/>
  <c r="H96" i="3" s="1"/>
  <c r="G95" i="3"/>
  <c r="H95" i="3" s="1"/>
  <c r="G97" i="3"/>
  <c r="H97" i="3" s="1"/>
  <c r="F156" i="3"/>
  <c r="J153" i="3"/>
  <c r="I153" i="3"/>
  <c r="J64" i="3"/>
  <c r="I64" i="3"/>
  <c r="P8" i="3"/>
  <c r="S7" i="3"/>
  <c r="I118" i="3"/>
  <c r="J118" i="3" s="1"/>
  <c r="I117" i="3"/>
  <c r="J117" i="3" s="1"/>
  <c r="G43" i="3"/>
  <c r="H43" i="3" s="1"/>
  <c r="F44" i="3"/>
  <c r="F123" i="3"/>
  <c r="I63" i="3"/>
  <c r="J63" i="3"/>
  <c r="H13" i="3"/>
  <c r="G14" i="3"/>
  <c r="C61" i="7" l="1"/>
  <c r="B62" i="7"/>
  <c r="D60" i="7"/>
  <c r="E60" i="7" s="1"/>
  <c r="I21" i="5"/>
  <c r="J21" i="5" s="1"/>
  <c r="G18" i="5"/>
  <c r="H18" i="5" s="1"/>
  <c r="G19" i="5"/>
  <c r="H19" i="5" s="1"/>
  <c r="G20" i="5"/>
  <c r="H20" i="5" s="1"/>
  <c r="I24" i="5"/>
  <c r="J24" i="5" s="1"/>
  <c r="I59" i="5"/>
  <c r="J59" i="5" s="1"/>
  <c r="F30" i="5"/>
  <c r="I58" i="5"/>
  <c r="J58" i="5" s="1"/>
  <c r="F75" i="5"/>
  <c r="I37" i="5"/>
  <c r="J37" i="5"/>
  <c r="I57" i="5"/>
  <c r="J57" i="5" s="1"/>
  <c r="J36" i="5"/>
  <c r="I36" i="5"/>
  <c r="F63" i="5"/>
  <c r="B8" i="5"/>
  <c r="C7" i="5"/>
  <c r="I35" i="5"/>
  <c r="J35" i="5" s="1"/>
  <c r="G9" i="5"/>
  <c r="H8" i="5"/>
  <c r="E6" i="5"/>
  <c r="D6" i="5"/>
  <c r="F41" i="5"/>
  <c r="I7" i="5"/>
  <c r="J7" i="5" s="1"/>
  <c r="I25" i="5"/>
  <c r="J25" i="5" s="1"/>
  <c r="F54" i="5"/>
  <c r="P9" i="5"/>
  <c r="S8" i="5"/>
  <c r="I26" i="5"/>
  <c r="J26" i="5" s="1"/>
  <c r="P9" i="3"/>
  <c r="S8" i="3"/>
  <c r="F45" i="3"/>
  <c r="G40" i="3"/>
  <c r="H40" i="3" s="1"/>
  <c r="G41" i="3"/>
  <c r="H41" i="3" s="1"/>
  <c r="G42" i="3"/>
  <c r="H42" i="3" s="1"/>
  <c r="J96" i="3"/>
  <c r="I96" i="3"/>
  <c r="F57" i="3"/>
  <c r="I140" i="3"/>
  <c r="J140" i="3" s="1"/>
  <c r="F101" i="3"/>
  <c r="I139" i="3"/>
  <c r="J139" i="3" s="1"/>
  <c r="F124" i="3"/>
  <c r="I43" i="3"/>
  <c r="J43" i="3" s="1"/>
  <c r="G15" i="3"/>
  <c r="H14" i="3"/>
  <c r="F78" i="3"/>
  <c r="G73" i="3"/>
  <c r="H73" i="3" s="1"/>
  <c r="G74" i="3"/>
  <c r="H74" i="3" s="1"/>
  <c r="G75" i="3"/>
  <c r="H75" i="3" s="1"/>
  <c r="F69" i="3"/>
  <c r="F145" i="3"/>
  <c r="J141" i="3"/>
  <c r="I141" i="3"/>
  <c r="I76" i="3"/>
  <c r="J76" i="3" s="1"/>
  <c r="B8" i="3"/>
  <c r="C7" i="3"/>
  <c r="J86" i="3"/>
  <c r="I86" i="3"/>
  <c r="I95" i="3"/>
  <c r="J95" i="3" s="1"/>
  <c r="J142" i="3"/>
  <c r="I142" i="3"/>
  <c r="D6" i="3"/>
  <c r="E6" i="3" s="1"/>
  <c r="I85" i="3"/>
  <c r="J85" i="3" s="1"/>
  <c r="J13" i="3"/>
  <c r="I13" i="3"/>
  <c r="F157" i="3"/>
  <c r="I53" i="3"/>
  <c r="J53" i="3" s="1"/>
  <c r="I84" i="3"/>
  <c r="J84" i="3" s="1"/>
  <c r="F34" i="3"/>
  <c r="G29" i="3"/>
  <c r="H29" i="3" s="1"/>
  <c r="G30" i="3"/>
  <c r="H30" i="3" s="1"/>
  <c r="G31" i="3"/>
  <c r="H31" i="3" s="1"/>
  <c r="I51" i="3"/>
  <c r="J51" i="3"/>
  <c r="J97" i="3"/>
  <c r="I97" i="3"/>
  <c r="J52" i="3"/>
  <c r="I52" i="3"/>
  <c r="F90" i="3"/>
  <c r="I32" i="3"/>
  <c r="J32" i="3" s="1"/>
  <c r="C62" i="7" l="1"/>
  <c r="B63" i="7"/>
  <c r="D61" i="7"/>
  <c r="E61" i="7"/>
  <c r="F55" i="5"/>
  <c r="F64" i="5"/>
  <c r="F76" i="5"/>
  <c r="I8" i="5"/>
  <c r="J8" i="5" s="1"/>
  <c r="I20" i="5"/>
  <c r="J20" i="5" s="1"/>
  <c r="H9" i="5"/>
  <c r="G10" i="5"/>
  <c r="I19" i="5"/>
  <c r="J19" i="5" s="1"/>
  <c r="F31" i="5"/>
  <c r="I18" i="5"/>
  <c r="J18" i="5"/>
  <c r="F42" i="5"/>
  <c r="S9" i="5"/>
  <c r="P10" i="5"/>
  <c r="D7" i="5"/>
  <c r="E7" i="5" s="1"/>
  <c r="C8" i="5"/>
  <c r="B9" i="5"/>
  <c r="I14" i="3"/>
  <c r="J14" i="3" s="1"/>
  <c r="I42" i="3"/>
  <c r="J42" i="3"/>
  <c r="F146" i="3"/>
  <c r="G16" i="3"/>
  <c r="H15" i="3"/>
  <c r="F102" i="3"/>
  <c r="I41" i="3"/>
  <c r="J41" i="3"/>
  <c r="F35" i="3"/>
  <c r="D7" i="3"/>
  <c r="E7" i="3"/>
  <c r="I40" i="3"/>
  <c r="J40" i="3" s="1"/>
  <c r="F79" i="3"/>
  <c r="C8" i="3"/>
  <c r="B9" i="3"/>
  <c r="F70" i="3"/>
  <c r="F46" i="3"/>
  <c r="I31" i="3"/>
  <c r="J31" i="3"/>
  <c r="I75" i="3"/>
  <c r="J75" i="3"/>
  <c r="F91" i="3"/>
  <c r="I30" i="3"/>
  <c r="J30" i="3"/>
  <c r="F158" i="3"/>
  <c r="I74" i="3"/>
  <c r="J74" i="3" s="1"/>
  <c r="F125" i="3"/>
  <c r="F58" i="3"/>
  <c r="S9" i="3"/>
  <c r="P10" i="3"/>
  <c r="I29" i="3"/>
  <c r="J29" i="3" s="1"/>
  <c r="I73" i="3"/>
  <c r="J73" i="3" s="1"/>
  <c r="B64" i="7" l="1"/>
  <c r="C63" i="7"/>
  <c r="D62" i="7"/>
  <c r="E62" i="7" s="1"/>
  <c r="P11" i="5"/>
  <c r="S10" i="5"/>
  <c r="F77" i="5"/>
  <c r="G76" i="5"/>
  <c r="H76" i="5" s="1"/>
  <c r="G11" i="5"/>
  <c r="H10" i="5"/>
  <c r="F43" i="5"/>
  <c r="I9" i="5"/>
  <c r="J9" i="5" s="1"/>
  <c r="F65" i="5"/>
  <c r="F32" i="5"/>
  <c r="B10" i="5"/>
  <c r="C9" i="5"/>
  <c r="G51" i="5"/>
  <c r="H51" i="5" s="1"/>
  <c r="G52" i="5"/>
  <c r="H52" i="5" s="1"/>
  <c r="G53" i="5"/>
  <c r="H53" i="5" s="1"/>
  <c r="D8" i="5"/>
  <c r="E8" i="5" s="1"/>
  <c r="G54" i="5"/>
  <c r="H54" i="5" s="1"/>
  <c r="F92" i="3"/>
  <c r="H16" i="3"/>
  <c r="G17" i="3"/>
  <c r="D8" i="3"/>
  <c r="E8" i="3"/>
  <c r="F36" i="3"/>
  <c r="F147" i="3"/>
  <c r="S10" i="3"/>
  <c r="P11" i="3"/>
  <c r="I15" i="3"/>
  <c r="J15" i="3" s="1"/>
  <c r="F159" i="3"/>
  <c r="G158" i="3"/>
  <c r="H158" i="3" s="1"/>
  <c r="F80" i="3"/>
  <c r="F126" i="3"/>
  <c r="G125" i="3"/>
  <c r="H125" i="3" s="1"/>
  <c r="C9" i="3"/>
  <c r="B10" i="3"/>
  <c r="F71" i="3"/>
  <c r="G70" i="3"/>
  <c r="H70" i="3" s="1"/>
  <c r="F59" i="3"/>
  <c r="F47" i="3"/>
  <c r="F103" i="3"/>
  <c r="D63" i="7" l="1"/>
  <c r="E63" i="7"/>
  <c r="B65" i="7"/>
  <c r="C64" i="7"/>
  <c r="D9" i="5"/>
  <c r="E9" i="5"/>
  <c r="C10" i="5"/>
  <c r="B11" i="5"/>
  <c r="I54" i="5"/>
  <c r="J54" i="5" s="1"/>
  <c r="F33" i="5"/>
  <c r="G32" i="5"/>
  <c r="H32" i="5" s="1"/>
  <c r="I10" i="5"/>
  <c r="J10" i="5" s="1"/>
  <c r="H11" i="5"/>
  <c r="G12" i="5"/>
  <c r="F44" i="5"/>
  <c r="G43" i="5"/>
  <c r="H43" i="5" s="1"/>
  <c r="I76" i="5"/>
  <c r="J76" i="5"/>
  <c r="I53" i="5"/>
  <c r="J53" i="5"/>
  <c r="F66" i="5"/>
  <c r="G73" i="5"/>
  <c r="H73" i="5" s="1"/>
  <c r="G74" i="5"/>
  <c r="H74" i="5" s="1"/>
  <c r="G75" i="5"/>
  <c r="H75" i="5" s="1"/>
  <c r="J52" i="5"/>
  <c r="I52" i="5"/>
  <c r="I51" i="5"/>
  <c r="J51" i="5" s="1"/>
  <c r="S11" i="5"/>
  <c r="P12" i="5"/>
  <c r="I158" i="3"/>
  <c r="J158" i="3" s="1"/>
  <c r="G67" i="3"/>
  <c r="H67" i="3" s="1"/>
  <c r="G68" i="3"/>
  <c r="H68" i="3" s="1"/>
  <c r="G69" i="3"/>
  <c r="H69" i="3" s="1"/>
  <c r="F160" i="3"/>
  <c r="G155" i="3"/>
  <c r="H155" i="3" s="1"/>
  <c r="G156" i="3"/>
  <c r="H156" i="3" s="1"/>
  <c r="G157" i="3"/>
  <c r="H157" i="3" s="1"/>
  <c r="F37" i="3"/>
  <c r="I70" i="3"/>
  <c r="J70" i="3"/>
  <c r="B11" i="3"/>
  <c r="C10" i="3"/>
  <c r="E9" i="3"/>
  <c r="D9" i="3"/>
  <c r="H17" i="3"/>
  <c r="G18" i="3"/>
  <c r="F104" i="3"/>
  <c r="G103" i="3"/>
  <c r="H103" i="3" s="1"/>
  <c r="F48" i="3"/>
  <c r="G122" i="3"/>
  <c r="H122" i="3" s="1"/>
  <c r="G123" i="3"/>
  <c r="H123" i="3" s="1"/>
  <c r="G124" i="3"/>
  <c r="H124" i="3" s="1"/>
  <c r="I16" i="3"/>
  <c r="J16" i="3"/>
  <c r="S11" i="3"/>
  <c r="P12" i="3"/>
  <c r="I125" i="3"/>
  <c r="J125" i="3"/>
  <c r="F60" i="3"/>
  <c r="G59" i="3"/>
  <c r="H59" i="3" s="1"/>
  <c r="F81" i="3"/>
  <c r="F148" i="3"/>
  <c r="G147" i="3"/>
  <c r="H147" i="3" s="1"/>
  <c r="F93" i="3"/>
  <c r="G92" i="3"/>
  <c r="H92" i="3" s="1"/>
  <c r="D64" i="7" l="1"/>
  <c r="E64" i="7" s="1"/>
  <c r="C65" i="7"/>
  <c r="B66" i="7"/>
  <c r="J75" i="5"/>
  <c r="I75" i="5"/>
  <c r="G29" i="5"/>
  <c r="H29" i="5" s="1"/>
  <c r="G30" i="5"/>
  <c r="H30" i="5" s="1"/>
  <c r="G31" i="5"/>
  <c r="H31" i="5" s="1"/>
  <c r="I43" i="5"/>
  <c r="J43" i="5" s="1"/>
  <c r="G40" i="5"/>
  <c r="H40" i="5" s="1"/>
  <c r="G41" i="5"/>
  <c r="H41" i="5" s="1"/>
  <c r="G42" i="5"/>
  <c r="H42" i="5" s="1"/>
  <c r="I32" i="5"/>
  <c r="J32" i="5"/>
  <c r="G62" i="5"/>
  <c r="H62" i="5" s="1"/>
  <c r="G63" i="5"/>
  <c r="H63" i="5" s="1"/>
  <c r="G64" i="5"/>
  <c r="H64" i="5" s="1"/>
  <c r="H12" i="5"/>
  <c r="G13" i="5"/>
  <c r="C11" i="5"/>
  <c r="B12" i="5"/>
  <c r="P13" i="5"/>
  <c r="S12" i="5"/>
  <c r="G65" i="5"/>
  <c r="H65" i="5" s="1"/>
  <c r="I11" i="5"/>
  <c r="J11" i="5" s="1"/>
  <c r="D10" i="5"/>
  <c r="E10" i="5" s="1"/>
  <c r="I73" i="5"/>
  <c r="J73" i="5" s="1"/>
  <c r="I74" i="5"/>
  <c r="J74" i="5" s="1"/>
  <c r="I156" i="3"/>
  <c r="J156" i="3"/>
  <c r="G89" i="3"/>
  <c r="H89" i="3" s="1"/>
  <c r="G90" i="3"/>
  <c r="H90" i="3" s="1"/>
  <c r="G91" i="3"/>
  <c r="H91" i="3" s="1"/>
  <c r="F49" i="3"/>
  <c r="G48" i="3" s="1"/>
  <c r="H48" i="3" s="1"/>
  <c r="D10" i="3"/>
  <c r="E10" i="3" s="1"/>
  <c r="I155" i="3"/>
  <c r="J155" i="3" s="1"/>
  <c r="I103" i="3"/>
  <c r="J103" i="3"/>
  <c r="J69" i="3"/>
  <c r="I69" i="3"/>
  <c r="J122" i="3"/>
  <c r="I122" i="3"/>
  <c r="F161" i="3"/>
  <c r="G100" i="3"/>
  <c r="H100" i="3" s="1"/>
  <c r="G101" i="3"/>
  <c r="H101" i="3" s="1"/>
  <c r="G102" i="3"/>
  <c r="H102" i="3" s="1"/>
  <c r="I68" i="3"/>
  <c r="J68" i="3" s="1"/>
  <c r="I147" i="3"/>
  <c r="J147" i="3" s="1"/>
  <c r="B12" i="3"/>
  <c r="C11" i="3"/>
  <c r="G144" i="3"/>
  <c r="H144" i="3" s="1"/>
  <c r="G145" i="3"/>
  <c r="H145" i="3" s="1"/>
  <c r="G146" i="3"/>
  <c r="H146" i="3" s="1"/>
  <c r="F82" i="3"/>
  <c r="H18" i="3"/>
  <c r="G19" i="3"/>
  <c r="F38" i="3"/>
  <c r="G37" i="3"/>
  <c r="H37" i="3" s="1"/>
  <c r="I67" i="3"/>
  <c r="J67" i="3" s="1"/>
  <c r="J92" i="3"/>
  <c r="I92" i="3"/>
  <c r="I59" i="3"/>
  <c r="J59" i="3" s="1"/>
  <c r="I124" i="3"/>
  <c r="J124" i="3" s="1"/>
  <c r="J17" i="3"/>
  <c r="I17" i="3"/>
  <c r="P13" i="3"/>
  <c r="S12" i="3"/>
  <c r="G56" i="3"/>
  <c r="H56" i="3" s="1"/>
  <c r="G57" i="3"/>
  <c r="H57" i="3" s="1"/>
  <c r="G58" i="3"/>
  <c r="H58" i="3" s="1"/>
  <c r="I123" i="3"/>
  <c r="J123" i="3" s="1"/>
  <c r="I157" i="3"/>
  <c r="J157" i="3" s="1"/>
  <c r="D65" i="7" l="1"/>
  <c r="E65" i="7" s="1"/>
  <c r="C66" i="7"/>
  <c r="B67" i="7"/>
  <c r="I65" i="5"/>
  <c r="J65" i="5" s="1"/>
  <c r="I63" i="5"/>
  <c r="J63" i="5" s="1"/>
  <c r="I12" i="5"/>
  <c r="J12" i="5"/>
  <c r="J62" i="5"/>
  <c r="I62" i="5"/>
  <c r="I40" i="5"/>
  <c r="J40" i="5" s="1"/>
  <c r="I31" i="5"/>
  <c r="J31" i="5" s="1"/>
  <c r="S13" i="5"/>
  <c r="P14" i="5"/>
  <c r="B13" i="5"/>
  <c r="C12" i="5"/>
  <c r="I30" i="5"/>
  <c r="J30" i="5" s="1"/>
  <c r="D11" i="5"/>
  <c r="E11" i="5"/>
  <c r="I42" i="5"/>
  <c r="J42" i="5" s="1"/>
  <c r="I29" i="5"/>
  <c r="J29" i="5" s="1"/>
  <c r="I64" i="5"/>
  <c r="J64" i="5"/>
  <c r="G14" i="5"/>
  <c r="H13" i="5"/>
  <c r="I41" i="5"/>
  <c r="J41" i="5" s="1"/>
  <c r="I48" i="3"/>
  <c r="J48" i="3" s="1"/>
  <c r="G78" i="3"/>
  <c r="H78" i="3" s="1"/>
  <c r="G79" i="3"/>
  <c r="H79" i="3" s="1"/>
  <c r="G80" i="3"/>
  <c r="H80" i="3" s="1"/>
  <c r="J146" i="3"/>
  <c r="I146" i="3"/>
  <c r="J101" i="3"/>
  <c r="I101" i="3"/>
  <c r="I91" i="3"/>
  <c r="J91" i="3" s="1"/>
  <c r="I58" i="3"/>
  <c r="J58" i="3" s="1"/>
  <c r="G34" i="3"/>
  <c r="H34" i="3" s="1"/>
  <c r="G35" i="3"/>
  <c r="H35" i="3" s="1"/>
  <c r="G36" i="3"/>
  <c r="H36" i="3" s="1"/>
  <c r="I100" i="3"/>
  <c r="J100" i="3" s="1"/>
  <c r="I90" i="3"/>
  <c r="J90" i="3"/>
  <c r="I145" i="3"/>
  <c r="J145" i="3" s="1"/>
  <c r="I144" i="3"/>
  <c r="J144" i="3" s="1"/>
  <c r="G20" i="3"/>
  <c r="H19" i="3"/>
  <c r="C12" i="3"/>
  <c r="B13" i="3"/>
  <c r="I89" i="3"/>
  <c r="J89" i="3"/>
  <c r="P14" i="3"/>
  <c r="S13" i="3"/>
  <c r="I102" i="3"/>
  <c r="J102" i="3" s="1"/>
  <c r="I37" i="3"/>
  <c r="J37" i="3" s="1"/>
  <c r="D11" i="3"/>
  <c r="E11" i="3" s="1"/>
  <c r="I56" i="3"/>
  <c r="J56" i="3" s="1"/>
  <c r="I18" i="3"/>
  <c r="J18" i="3" s="1"/>
  <c r="F162" i="3"/>
  <c r="G45" i="3"/>
  <c r="H45" i="3" s="1"/>
  <c r="G46" i="3"/>
  <c r="H46" i="3" s="1"/>
  <c r="G47" i="3"/>
  <c r="H47" i="3" s="1"/>
  <c r="J57" i="3"/>
  <c r="I57" i="3"/>
  <c r="G81" i="3"/>
  <c r="H81" i="3" s="1"/>
  <c r="B68" i="7" l="1"/>
  <c r="C67" i="7"/>
  <c r="D66" i="7"/>
  <c r="E66" i="7"/>
  <c r="I13" i="5"/>
  <c r="J13" i="5" s="1"/>
  <c r="H14" i="5"/>
  <c r="G15" i="5"/>
  <c r="P15" i="5"/>
  <c r="S14" i="5"/>
  <c r="C13" i="5"/>
  <c r="B14" i="5"/>
  <c r="D12" i="5"/>
  <c r="E12" i="5" s="1"/>
  <c r="I47" i="3"/>
  <c r="J47" i="3" s="1"/>
  <c r="P15" i="3"/>
  <c r="S14" i="3"/>
  <c r="I35" i="3"/>
  <c r="J35" i="3"/>
  <c r="I46" i="3"/>
  <c r="J46" i="3"/>
  <c r="C13" i="3"/>
  <c r="B14" i="3"/>
  <c r="I79" i="3"/>
  <c r="J79" i="3" s="1"/>
  <c r="I34" i="3"/>
  <c r="J34" i="3"/>
  <c r="F163" i="3"/>
  <c r="D12" i="3"/>
  <c r="E12" i="3" s="1"/>
  <c r="I78" i="3"/>
  <c r="J78" i="3" s="1"/>
  <c r="I80" i="3"/>
  <c r="J80" i="3" s="1"/>
  <c r="I19" i="3"/>
  <c r="J19" i="3" s="1"/>
  <c r="I36" i="3"/>
  <c r="J36" i="3" s="1"/>
  <c r="I45" i="3"/>
  <c r="J45" i="3" s="1"/>
  <c r="I81" i="3"/>
  <c r="J81" i="3" s="1"/>
  <c r="H20" i="3"/>
  <c r="G21" i="3"/>
  <c r="H21" i="3" s="1"/>
  <c r="D67" i="7" l="1"/>
  <c r="E67" i="7" s="1"/>
  <c r="B69" i="7"/>
  <c r="C68" i="7"/>
  <c r="H15" i="5"/>
  <c r="G16" i="5"/>
  <c r="H16" i="5" s="1"/>
  <c r="S15" i="5"/>
  <c r="P16" i="5"/>
  <c r="I14" i="5"/>
  <c r="J14" i="5" s="1"/>
  <c r="D13" i="5"/>
  <c r="E13" i="5" s="1"/>
  <c r="C14" i="5"/>
  <c r="B15" i="5"/>
  <c r="I20" i="3"/>
  <c r="J20" i="3" s="1"/>
  <c r="F164" i="3"/>
  <c r="G163" i="3"/>
  <c r="H163" i="3" s="1"/>
  <c r="S15" i="3"/>
  <c r="P16" i="3"/>
  <c r="I21" i="3"/>
  <c r="J21" i="3" s="1"/>
  <c r="C14" i="3"/>
  <c r="B15" i="3"/>
  <c r="D13" i="3"/>
  <c r="E13" i="3" s="1"/>
  <c r="D68" i="7" l="1"/>
  <c r="E68" i="7" s="1"/>
  <c r="B70" i="7"/>
  <c r="C69" i="7"/>
  <c r="P17" i="5"/>
  <c r="S16" i="5"/>
  <c r="I16" i="5"/>
  <c r="J16" i="5" s="1"/>
  <c r="B16" i="5"/>
  <c r="C15" i="5"/>
  <c r="D14" i="5"/>
  <c r="E14" i="5" s="1"/>
  <c r="I15" i="5"/>
  <c r="J15" i="5" s="1"/>
  <c r="I163" i="3"/>
  <c r="J163" i="3"/>
  <c r="S16" i="3"/>
  <c r="P17" i="3"/>
  <c r="G160" i="3"/>
  <c r="H160" i="3" s="1"/>
  <c r="G161" i="3"/>
  <c r="H161" i="3" s="1"/>
  <c r="G162" i="3"/>
  <c r="H162" i="3" s="1"/>
  <c r="C15" i="3"/>
  <c r="B16" i="3"/>
  <c r="D14" i="3"/>
  <c r="E14" i="3" s="1"/>
  <c r="D69" i="7" l="1"/>
  <c r="E69" i="7" s="1"/>
  <c r="C70" i="7"/>
  <c r="B71" i="7"/>
  <c r="W2" i="5"/>
  <c r="D15" i="5"/>
  <c r="E15" i="5" s="1"/>
  <c r="C16" i="5"/>
  <c r="B17" i="5"/>
  <c r="S17" i="5"/>
  <c r="P18" i="5"/>
  <c r="I162" i="3"/>
  <c r="J162" i="3" s="1"/>
  <c r="I161" i="3"/>
  <c r="J161" i="3"/>
  <c r="P18" i="3"/>
  <c r="S17" i="3"/>
  <c r="D15" i="3"/>
  <c r="E15" i="3" s="1"/>
  <c r="I160" i="3"/>
  <c r="J160" i="3" s="1"/>
  <c r="W2" i="3" s="1"/>
  <c r="B17" i="3"/>
  <c r="C16" i="3"/>
  <c r="D70" i="7" l="1"/>
  <c r="E70" i="7" s="1"/>
  <c r="B72" i="7"/>
  <c r="C71" i="7"/>
  <c r="S18" i="5"/>
  <c r="P19" i="5"/>
  <c r="D16" i="5"/>
  <c r="E16" i="5" s="1"/>
  <c r="B18" i="5"/>
  <c r="C17" i="5"/>
  <c r="D16" i="3"/>
  <c r="E16" i="3" s="1"/>
  <c r="P19" i="3"/>
  <c r="S18" i="3"/>
  <c r="B18" i="3"/>
  <c r="C17" i="3"/>
  <c r="D71" i="7" l="1"/>
  <c r="E71" i="7" s="1"/>
  <c r="C72" i="7"/>
  <c r="B73" i="7"/>
  <c r="D17" i="5"/>
  <c r="E17" i="5"/>
  <c r="P20" i="5"/>
  <c r="S19" i="5"/>
  <c r="B19" i="5"/>
  <c r="C18" i="5"/>
  <c r="D17" i="3"/>
  <c r="E17" i="3" s="1"/>
  <c r="C18" i="3"/>
  <c r="B19" i="3"/>
  <c r="P20" i="3"/>
  <c r="S19" i="3"/>
  <c r="D72" i="7" l="1"/>
  <c r="E72" i="7"/>
  <c r="B74" i="7"/>
  <c r="C73" i="7"/>
  <c r="S20" i="5"/>
  <c r="P21" i="5"/>
  <c r="D18" i="5"/>
  <c r="E18" i="5" s="1"/>
  <c r="B20" i="5"/>
  <c r="C19" i="5"/>
  <c r="B20" i="3"/>
  <c r="C19" i="3"/>
  <c r="D18" i="3"/>
  <c r="E18" i="3" s="1"/>
  <c r="P21" i="3"/>
  <c r="S20" i="3"/>
  <c r="D73" i="7" l="1"/>
  <c r="E73" i="7" s="1"/>
  <c r="B75" i="7"/>
  <c r="C74" i="7"/>
  <c r="D19" i="5"/>
  <c r="E19" i="5" s="1"/>
  <c r="C20" i="5"/>
  <c r="B21" i="5"/>
  <c r="P22" i="5"/>
  <c r="S21" i="5"/>
  <c r="P22" i="3"/>
  <c r="S21" i="3"/>
  <c r="D19" i="3"/>
  <c r="E19" i="3" s="1"/>
  <c r="B21" i="3"/>
  <c r="C20" i="3"/>
  <c r="B76" i="7" l="1"/>
  <c r="C75" i="7"/>
  <c r="D74" i="7"/>
  <c r="E74" i="7" s="1"/>
  <c r="C21" i="5"/>
  <c r="B22" i="5"/>
  <c r="S22" i="5"/>
  <c r="P23" i="5"/>
  <c r="D20" i="5"/>
  <c r="E20" i="5" s="1"/>
  <c r="D20" i="3"/>
  <c r="E20" i="3" s="1"/>
  <c r="C21" i="3"/>
  <c r="B22" i="3"/>
  <c r="S22" i="3"/>
  <c r="P23" i="3"/>
  <c r="D75" i="7" l="1"/>
  <c r="E75" i="7" s="1"/>
  <c r="C76" i="7"/>
  <c r="B77" i="7"/>
  <c r="C22" i="5"/>
  <c r="B23" i="5"/>
  <c r="P24" i="5"/>
  <c r="S23" i="5"/>
  <c r="D21" i="5"/>
  <c r="E21" i="5" s="1"/>
  <c r="D21" i="3"/>
  <c r="E21" i="3"/>
  <c r="S23" i="3"/>
  <c r="P24" i="3"/>
  <c r="C22" i="3"/>
  <c r="B23" i="3"/>
  <c r="C77" i="7" l="1"/>
  <c r="B78" i="7"/>
  <c r="D76" i="7"/>
  <c r="E76" i="7" s="1"/>
  <c r="E22" i="5"/>
  <c r="D22" i="5"/>
  <c r="P25" i="5"/>
  <c r="S24" i="5"/>
  <c r="B24" i="5"/>
  <c r="C23" i="5"/>
  <c r="D22" i="3"/>
  <c r="E22" i="3" s="1"/>
  <c r="B24" i="3"/>
  <c r="C23" i="3"/>
  <c r="P25" i="3"/>
  <c r="S24" i="3"/>
  <c r="B79" i="7" l="1"/>
  <c r="C78" i="7"/>
  <c r="D77" i="7"/>
  <c r="E77" i="7" s="1"/>
  <c r="B25" i="5"/>
  <c r="C24" i="5"/>
  <c r="P26" i="5"/>
  <c r="S25" i="5"/>
  <c r="D23" i="5"/>
  <c r="E23" i="5" s="1"/>
  <c r="D23" i="3"/>
  <c r="E23" i="3" s="1"/>
  <c r="P26" i="3"/>
  <c r="S25" i="3"/>
  <c r="B25" i="3"/>
  <c r="C24" i="3"/>
  <c r="D78" i="7" l="1"/>
  <c r="E78" i="7"/>
  <c r="B80" i="7"/>
  <c r="C79" i="7"/>
  <c r="D24" i="5"/>
  <c r="E24" i="5" s="1"/>
  <c r="S26" i="5"/>
  <c r="P27" i="5"/>
  <c r="C25" i="5"/>
  <c r="B26" i="5"/>
  <c r="P27" i="3"/>
  <c r="S26" i="3"/>
  <c r="C25" i="3"/>
  <c r="B26" i="3"/>
  <c r="D24" i="3"/>
  <c r="E24" i="3" s="1"/>
  <c r="D79" i="7" l="1"/>
  <c r="E79" i="7"/>
  <c r="B81" i="7"/>
  <c r="C80" i="7"/>
  <c r="P28" i="5"/>
  <c r="S27" i="5"/>
  <c r="B27" i="5"/>
  <c r="C26" i="5"/>
  <c r="D25" i="5"/>
  <c r="E25" i="5" s="1"/>
  <c r="C26" i="3"/>
  <c r="B27" i="3"/>
  <c r="D25" i="3"/>
  <c r="E25" i="3" s="1"/>
  <c r="S27" i="3"/>
  <c r="P28" i="3"/>
  <c r="D80" i="7" l="1"/>
  <c r="E80" i="7" s="1"/>
  <c r="C81" i="7"/>
  <c r="B82" i="7"/>
  <c r="D26" i="5"/>
  <c r="E26" i="5"/>
  <c r="C27" i="5"/>
  <c r="B28" i="5"/>
  <c r="S28" i="5"/>
  <c r="P29" i="5"/>
  <c r="P29" i="3"/>
  <c r="S28" i="3"/>
  <c r="C27" i="3"/>
  <c r="B28" i="3"/>
  <c r="D26" i="3"/>
  <c r="E26" i="3" s="1"/>
  <c r="B83" i="7" l="1"/>
  <c r="C82" i="7"/>
  <c r="D81" i="7"/>
  <c r="E81" i="7" s="1"/>
  <c r="D27" i="5"/>
  <c r="E27" i="5" s="1"/>
  <c r="S29" i="5"/>
  <c r="P30" i="5"/>
  <c r="C28" i="5"/>
  <c r="B29" i="5"/>
  <c r="B29" i="3"/>
  <c r="C28" i="3"/>
  <c r="D27" i="3"/>
  <c r="E27" i="3" s="1"/>
  <c r="P30" i="3"/>
  <c r="S29" i="3"/>
  <c r="D82" i="7" l="1"/>
  <c r="E82" i="7" s="1"/>
  <c r="C83" i="7"/>
  <c r="B84" i="7"/>
  <c r="P31" i="5"/>
  <c r="S30" i="5"/>
  <c r="C29" i="5"/>
  <c r="B30" i="5"/>
  <c r="D28" i="5"/>
  <c r="E28" i="5" s="1"/>
  <c r="S30" i="3"/>
  <c r="P31" i="3"/>
  <c r="D28" i="3"/>
  <c r="E28" i="3" s="1"/>
  <c r="C29" i="3"/>
  <c r="B30" i="3"/>
  <c r="C84" i="7" l="1"/>
  <c r="B85" i="7"/>
  <c r="D83" i="7"/>
  <c r="E83" i="7" s="1"/>
  <c r="B31" i="5"/>
  <c r="C30" i="5"/>
  <c r="D29" i="5"/>
  <c r="E29" i="5" s="1"/>
  <c r="S31" i="5"/>
  <c r="P32" i="5"/>
  <c r="S31" i="3"/>
  <c r="P32" i="3"/>
  <c r="B31" i="3"/>
  <c r="C30" i="3"/>
  <c r="D29" i="3"/>
  <c r="E29" i="3" s="1"/>
  <c r="B86" i="7" l="1"/>
  <c r="C85" i="7"/>
  <c r="D84" i="7"/>
  <c r="E84" i="7" s="1"/>
  <c r="P33" i="5"/>
  <c r="S32" i="5"/>
  <c r="W14" i="5" s="1"/>
  <c r="D30" i="5"/>
  <c r="E30" i="5" s="1"/>
  <c r="C31" i="5"/>
  <c r="B32" i="5"/>
  <c r="P33" i="3"/>
  <c r="S32" i="3"/>
  <c r="W14" i="3" s="1"/>
  <c r="D30" i="3"/>
  <c r="E30" i="3" s="1"/>
  <c r="B32" i="3"/>
  <c r="C31" i="3"/>
  <c r="D85" i="7" l="1"/>
  <c r="E85" i="7"/>
  <c r="B87" i="7"/>
  <c r="C86" i="7"/>
  <c r="D31" i="5"/>
  <c r="E31" i="5"/>
  <c r="B33" i="5"/>
  <c r="C32" i="5"/>
  <c r="S33" i="5"/>
  <c r="P34" i="5"/>
  <c r="C32" i="3"/>
  <c r="B33" i="3"/>
  <c r="D31" i="3"/>
  <c r="E31" i="3" s="1"/>
  <c r="P34" i="3"/>
  <c r="S33" i="3"/>
  <c r="D86" i="7" l="1"/>
  <c r="E86" i="7" s="1"/>
  <c r="B88" i="7"/>
  <c r="C87" i="7"/>
  <c r="C33" i="5"/>
  <c r="B34" i="5"/>
  <c r="P35" i="5"/>
  <c r="S34" i="5"/>
  <c r="D32" i="5"/>
  <c r="E32" i="5" s="1"/>
  <c r="W5" i="5" s="1"/>
  <c r="S34" i="3"/>
  <c r="P35" i="3"/>
  <c r="C33" i="3"/>
  <c r="B34" i="3"/>
  <c r="D32" i="3"/>
  <c r="E32" i="3" s="1"/>
  <c r="W5" i="3" s="1"/>
  <c r="W6" i="3" s="1"/>
  <c r="W10" i="3" s="1"/>
  <c r="W16" i="3" s="1"/>
  <c r="C88" i="7" l="1"/>
  <c r="B89" i="7"/>
  <c r="D87" i="7"/>
  <c r="E87" i="7" s="1"/>
  <c r="B35" i="5"/>
  <c r="C34" i="5"/>
  <c r="P36" i="5"/>
  <c r="S35" i="5"/>
  <c r="D33" i="5"/>
  <c r="E33" i="5" s="1"/>
  <c r="S35" i="3"/>
  <c r="P36" i="3"/>
  <c r="C34" i="3"/>
  <c r="B35" i="3"/>
  <c r="D33" i="3"/>
  <c r="E33" i="3" s="1"/>
  <c r="B90" i="7" l="1"/>
  <c r="C89" i="7"/>
  <c r="D88" i="7"/>
  <c r="E88" i="7"/>
  <c r="P37" i="5"/>
  <c r="S36" i="5"/>
  <c r="D34" i="5"/>
  <c r="E34" i="5"/>
  <c r="B36" i="5"/>
  <c r="C35" i="5"/>
  <c r="P37" i="3"/>
  <c r="S36" i="3"/>
  <c r="B36" i="3"/>
  <c r="C35" i="3"/>
  <c r="D34" i="3"/>
  <c r="E34" i="3" s="1"/>
  <c r="D89" i="7" l="1"/>
  <c r="E89" i="7"/>
  <c r="B91" i="7"/>
  <c r="C90" i="7"/>
  <c r="D35" i="5"/>
  <c r="E35" i="5" s="1"/>
  <c r="B37" i="5"/>
  <c r="C36" i="5"/>
  <c r="S37" i="5"/>
  <c r="P38" i="5"/>
  <c r="C36" i="3"/>
  <c r="B37" i="3"/>
  <c r="D35" i="3"/>
  <c r="E35" i="3" s="1"/>
  <c r="P38" i="3"/>
  <c r="S37" i="3"/>
  <c r="B92" i="7" l="1"/>
  <c r="C91" i="7"/>
  <c r="D90" i="7"/>
  <c r="E90" i="7" s="1"/>
  <c r="D36" i="5"/>
  <c r="E36" i="5" s="1"/>
  <c r="P39" i="5"/>
  <c r="S38" i="5"/>
  <c r="B38" i="5"/>
  <c r="C37" i="5"/>
  <c r="S38" i="3"/>
  <c r="P39" i="3"/>
  <c r="C37" i="3"/>
  <c r="B38" i="3"/>
  <c r="D36" i="3"/>
  <c r="E36" i="3" s="1"/>
  <c r="D91" i="7" l="1"/>
  <c r="E91" i="7" s="1"/>
  <c r="B93" i="7"/>
  <c r="C92" i="7"/>
  <c r="C38" i="5"/>
  <c r="B39" i="5"/>
  <c r="S39" i="5"/>
  <c r="P40" i="5"/>
  <c r="D37" i="5"/>
  <c r="E37" i="5" s="1"/>
  <c r="C38" i="3"/>
  <c r="B39" i="3"/>
  <c r="D37" i="3"/>
  <c r="E37" i="3" s="1"/>
  <c r="P40" i="3"/>
  <c r="S39" i="3"/>
  <c r="D92" i="7" l="1"/>
  <c r="E92" i="7" s="1"/>
  <c r="C93" i="7"/>
  <c r="B94" i="7"/>
  <c r="S40" i="5"/>
  <c r="P41" i="5"/>
  <c r="C39" i="5"/>
  <c r="B40" i="5"/>
  <c r="D38" i="5"/>
  <c r="E38" i="5" s="1"/>
  <c r="P41" i="3"/>
  <c r="S40" i="3"/>
  <c r="B40" i="3"/>
  <c r="C39" i="3"/>
  <c r="D38" i="3"/>
  <c r="E38" i="3" s="1"/>
  <c r="D93" i="7" l="1"/>
  <c r="E93" i="7" s="1"/>
  <c r="C94" i="7"/>
  <c r="B95" i="7"/>
  <c r="P42" i="5"/>
  <c r="S41" i="5"/>
  <c r="C40" i="5"/>
  <c r="B41" i="5"/>
  <c r="D39" i="5"/>
  <c r="E39" i="5" s="1"/>
  <c r="D39" i="3"/>
  <c r="E39" i="3" s="1"/>
  <c r="C40" i="3"/>
  <c r="B41" i="3"/>
  <c r="S41" i="3"/>
  <c r="P42" i="3"/>
  <c r="C95" i="7" l="1"/>
  <c r="B96" i="7"/>
  <c r="D94" i="7"/>
  <c r="E94" i="7" s="1"/>
  <c r="B42" i="5"/>
  <c r="C41" i="5"/>
  <c r="D40" i="5"/>
  <c r="E40" i="5" s="1"/>
  <c r="S42" i="5"/>
  <c r="P43" i="5"/>
  <c r="D40" i="3"/>
  <c r="E40" i="3" s="1"/>
  <c r="C41" i="3"/>
  <c r="B42" i="3"/>
  <c r="S42" i="3"/>
  <c r="P43" i="3"/>
  <c r="B97" i="7" l="1"/>
  <c r="C96" i="7"/>
  <c r="D95" i="7"/>
  <c r="E95" i="7" s="1"/>
  <c r="P44" i="5"/>
  <c r="S43" i="5"/>
  <c r="D41" i="5"/>
  <c r="E41" i="5" s="1"/>
  <c r="C42" i="5"/>
  <c r="B43" i="5"/>
  <c r="P44" i="3"/>
  <c r="S43" i="3"/>
  <c r="B43" i="3"/>
  <c r="C42" i="3"/>
  <c r="D41" i="3"/>
  <c r="E41" i="3" s="1"/>
  <c r="D96" i="7" l="1"/>
  <c r="E96" i="7"/>
  <c r="B98" i="7"/>
  <c r="C97" i="7"/>
  <c r="D42" i="5"/>
  <c r="E42" i="5"/>
  <c r="C43" i="5"/>
  <c r="B44" i="5"/>
  <c r="P45" i="5"/>
  <c r="S44" i="5"/>
  <c r="C43" i="3"/>
  <c r="B44" i="3"/>
  <c r="D42" i="3"/>
  <c r="E42" i="3" s="1"/>
  <c r="P45" i="3"/>
  <c r="S44" i="3"/>
  <c r="D97" i="7" l="1"/>
  <c r="E97" i="7" s="1"/>
  <c r="C98" i="7"/>
  <c r="B99" i="7"/>
  <c r="C44" i="5"/>
  <c r="B45" i="5"/>
  <c r="S45" i="5"/>
  <c r="P46" i="5"/>
  <c r="D43" i="5"/>
  <c r="E43" i="5" s="1"/>
  <c r="S45" i="3"/>
  <c r="P46" i="3"/>
  <c r="C44" i="3"/>
  <c r="B45" i="3"/>
  <c r="D43" i="3"/>
  <c r="E43" i="3" s="1"/>
  <c r="C99" i="7" l="1"/>
  <c r="B100" i="7"/>
  <c r="D98" i="7"/>
  <c r="E98" i="7" s="1"/>
  <c r="C45" i="5"/>
  <c r="B46" i="5"/>
  <c r="S46" i="5"/>
  <c r="P47" i="5"/>
  <c r="D44" i="5"/>
  <c r="E44" i="5" s="1"/>
  <c r="C45" i="3"/>
  <c r="B46" i="3"/>
  <c r="D44" i="3"/>
  <c r="E44" i="3" s="1"/>
  <c r="S46" i="3"/>
  <c r="P47" i="3"/>
  <c r="B101" i="7" l="1"/>
  <c r="C100" i="7"/>
  <c r="D99" i="7"/>
  <c r="E99" i="7"/>
  <c r="S47" i="5"/>
  <c r="P48" i="5"/>
  <c r="C46" i="5"/>
  <c r="B47" i="5"/>
  <c r="D45" i="5"/>
  <c r="E45" i="5" s="1"/>
  <c r="P48" i="3"/>
  <c r="S47" i="3"/>
  <c r="B47" i="3"/>
  <c r="C46" i="3"/>
  <c r="D45" i="3"/>
  <c r="E45" i="3" s="1"/>
  <c r="B102" i="7" l="1"/>
  <c r="C101" i="7"/>
  <c r="D100" i="7"/>
  <c r="E100" i="7"/>
  <c r="C47" i="5"/>
  <c r="B48" i="5"/>
  <c r="D46" i="5"/>
  <c r="E46" i="5" s="1"/>
  <c r="P49" i="5"/>
  <c r="S49" i="5" s="1"/>
  <c r="S48" i="5"/>
  <c r="C47" i="3"/>
  <c r="B48" i="3"/>
  <c r="D46" i="3"/>
  <c r="E46" i="3" s="1"/>
  <c r="P49" i="3"/>
  <c r="S49" i="3" s="1"/>
  <c r="S48" i="3"/>
  <c r="D101" i="7" l="1"/>
  <c r="E101" i="7" s="1"/>
  <c r="B103" i="7"/>
  <c r="C102" i="7"/>
  <c r="B49" i="5"/>
  <c r="C48" i="5"/>
  <c r="D47" i="5"/>
  <c r="E47" i="5" s="1"/>
  <c r="C48" i="3"/>
  <c r="B49" i="3"/>
  <c r="D47" i="3"/>
  <c r="E47" i="3" s="1"/>
  <c r="B104" i="7" l="1"/>
  <c r="C103" i="7"/>
  <c r="D102" i="7"/>
  <c r="E102" i="7" s="1"/>
  <c r="D48" i="5"/>
  <c r="E48" i="5" s="1"/>
  <c r="C49" i="5"/>
  <c r="B50" i="5"/>
  <c r="C49" i="3"/>
  <c r="B50" i="3"/>
  <c r="D48" i="3"/>
  <c r="E48" i="3" s="1"/>
  <c r="D103" i="7" l="1"/>
  <c r="E103" i="7" s="1"/>
  <c r="C104" i="7"/>
  <c r="B105" i="7"/>
  <c r="D49" i="5"/>
  <c r="E49" i="5"/>
  <c r="B51" i="5"/>
  <c r="C50" i="5"/>
  <c r="C50" i="3"/>
  <c r="B51" i="3"/>
  <c r="D49" i="3"/>
  <c r="E49" i="3" s="1"/>
  <c r="D104" i="7" l="1"/>
  <c r="E104" i="7" s="1"/>
  <c r="C105" i="7"/>
  <c r="B106" i="7"/>
  <c r="B52" i="5"/>
  <c r="C51" i="5"/>
  <c r="D50" i="5"/>
  <c r="E50" i="5" s="1"/>
  <c r="B52" i="3"/>
  <c r="C51" i="3"/>
  <c r="D50" i="3"/>
  <c r="E50" i="3" s="1"/>
  <c r="D105" i="7" l="1"/>
  <c r="E105" i="7" s="1"/>
  <c r="C106" i="7"/>
  <c r="B107" i="7"/>
  <c r="D51" i="5"/>
  <c r="E51" i="5" s="1"/>
  <c r="C52" i="5"/>
  <c r="B53" i="5"/>
  <c r="D51" i="3"/>
  <c r="E51" i="3" s="1"/>
  <c r="B53" i="3"/>
  <c r="C52" i="3"/>
  <c r="B108" i="7" l="1"/>
  <c r="C107" i="7"/>
  <c r="D106" i="7"/>
  <c r="E106" i="7" s="1"/>
  <c r="D52" i="5"/>
  <c r="E52" i="5" s="1"/>
  <c r="B54" i="5"/>
  <c r="C53" i="5"/>
  <c r="B54" i="3"/>
  <c r="C53" i="3"/>
  <c r="D52" i="3"/>
  <c r="E52" i="3" s="1"/>
  <c r="D107" i="7" l="1"/>
  <c r="E107" i="7"/>
  <c r="B109" i="7"/>
  <c r="C108" i="7"/>
  <c r="D53" i="5"/>
  <c r="E53" i="5"/>
  <c r="B55" i="5"/>
  <c r="C54" i="5"/>
  <c r="D53" i="3"/>
  <c r="E53" i="3" s="1"/>
  <c r="C54" i="3"/>
  <c r="B55" i="3"/>
  <c r="D108" i="7" l="1"/>
  <c r="E108" i="7" s="1"/>
  <c r="C109" i="7"/>
  <c r="B110" i="7"/>
  <c r="D54" i="5"/>
  <c r="E54" i="5" s="1"/>
  <c r="B56" i="5"/>
  <c r="C55" i="5"/>
  <c r="D54" i="3"/>
  <c r="E54" i="3" s="1"/>
  <c r="B56" i="3"/>
  <c r="C55" i="3"/>
  <c r="C110" i="7" l="1"/>
  <c r="B111" i="7"/>
  <c r="D109" i="7"/>
  <c r="E109" i="7" s="1"/>
  <c r="C56" i="5"/>
  <c r="B57" i="5"/>
  <c r="D55" i="5"/>
  <c r="E55" i="5" s="1"/>
  <c r="B57" i="3"/>
  <c r="C56" i="3"/>
  <c r="D55" i="3"/>
  <c r="E55" i="3"/>
  <c r="B112" i="7" l="1"/>
  <c r="C112" i="7" s="1"/>
  <c r="C111" i="7"/>
  <c r="D110" i="7"/>
  <c r="E110" i="7" s="1"/>
  <c r="C57" i="5"/>
  <c r="B58" i="5"/>
  <c r="D56" i="5"/>
  <c r="E56" i="5" s="1"/>
  <c r="D56" i="3"/>
  <c r="E56" i="3" s="1"/>
  <c r="B58" i="3"/>
  <c r="C57" i="3"/>
  <c r="D111" i="7" l="1"/>
  <c r="E111" i="7" s="1"/>
  <c r="D112" i="7"/>
  <c r="E112" i="7" s="1"/>
  <c r="W3" i="7" s="1"/>
  <c r="W4" i="7" s="1"/>
  <c r="B59" i="5"/>
  <c r="C58" i="5"/>
  <c r="D57" i="5"/>
  <c r="E57" i="5" s="1"/>
  <c r="B59" i="3"/>
  <c r="C58" i="3"/>
  <c r="D57" i="3"/>
  <c r="E57" i="3" s="1"/>
  <c r="B60" i="5" l="1"/>
  <c r="C59" i="5"/>
  <c r="D58" i="5"/>
  <c r="E58" i="5" s="1"/>
  <c r="D58" i="3"/>
  <c r="E58" i="3"/>
  <c r="B60" i="3"/>
  <c r="C59" i="3"/>
  <c r="D59" i="5" l="1"/>
  <c r="E59" i="5" s="1"/>
  <c r="B61" i="5"/>
  <c r="C60" i="5"/>
  <c r="D59" i="3"/>
  <c r="E59" i="3"/>
  <c r="C60" i="3"/>
  <c r="B61" i="3"/>
  <c r="B62" i="5" l="1"/>
  <c r="C61" i="5"/>
  <c r="D60" i="5"/>
  <c r="E60" i="5" s="1"/>
  <c r="C61" i="3"/>
  <c r="B62" i="3"/>
  <c r="D60" i="3"/>
  <c r="E60" i="3" s="1"/>
  <c r="D61" i="5" l="1"/>
  <c r="E61" i="5" s="1"/>
  <c r="C62" i="5"/>
  <c r="B63" i="5"/>
  <c r="C62" i="3"/>
  <c r="B63" i="3"/>
  <c r="D61" i="3"/>
  <c r="E61" i="3" s="1"/>
  <c r="D62" i="5" l="1"/>
  <c r="E62" i="5" s="1"/>
  <c r="C63" i="5"/>
  <c r="B64" i="5"/>
  <c r="B64" i="3"/>
  <c r="C63" i="3"/>
  <c r="D62" i="3"/>
  <c r="E62" i="3" s="1"/>
  <c r="B65" i="5" l="1"/>
  <c r="C64" i="5"/>
  <c r="D63" i="5"/>
  <c r="E63" i="5" s="1"/>
  <c r="D63" i="3"/>
  <c r="E63" i="3"/>
  <c r="B65" i="3"/>
  <c r="C64" i="3"/>
  <c r="D64" i="5" l="1"/>
  <c r="E64" i="5" s="1"/>
  <c r="B66" i="5"/>
  <c r="C65" i="5"/>
  <c r="D64" i="3"/>
  <c r="E64" i="3"/>
  <c r="C65" i="3"/>
  <c r="B66" i="3"/>
  <c r="D65" i="5" l="1"/>
  <c r="E65" i="5" s="1"/>
  <c r="C66" i="5"/>
  <c r="B67" i="5"/>
  <c r="C66" i="3"/>
  <c r="B67" i="3"/>
  <c r="D65" i="3"/>
  <c r="E65" i="3" s="1"/>
  <c r="C67" i="5" l="1"/>
  <c r="B68" i="5"/>
  <c r="D66" i="5"/>
  <c r="E66" i="5" s="1"/>
  <c r="B68" i="3"/>
  <c r="C67" i="3"/>
  <c r="D66" i="3"/>
  <c r="E66" i="3" s="1"/>
  <c r="C68" i="5" l="1"/>
  <c r="B69" i="5"/>
  <c r="E67" i="5"/>
  <c r="D67" i="5"/>
  <c r="D67" i="3"/>
  <c r="E67" i="3"/>
  <c r="B69" i="3"/>
  <c r="C68" i="3"/>
  <c r="B70" i="5" l="1"/>
  <c r="C69" i="5"/>
  <c r="D68" i="5"/>
  <c r="E68" i="5" s="1"/>
  <c r="D68" i="3"/>
  <c r="E68" i="3"/>
  <c r="B70" i="3"/>
  <c r="C69" i="3"/>
  <c r="D69" i="5" l="1"/>
  <c r="E69" i="5" s="1"/>
  <c r="B71" i="5"/>
  <c r="C70" i="5"/>
  <c r="D69" i="3"/>
  <c r="E69" i="3" s="1"/>
  <c r="C70" i="3"/>
  <c r="B71" i="3"/>
  <c r="D70" i="5" l="1"/>
  <c r="E70" i="5" s="1"/>
  <c r="B72" i="5"/>
  <c r="C72" i="5" s="1"/>
  <c r="C71" i="5"/>
  <c r="B72" i="3"/>
  <c r="C71" i="3"/>
  <c r="D70" i="3"/>
  <c r="E70" i="3" s="1"/>
  <c r="D72" i="5" l="1"/>
  <c r="E72" i="5" s="1"/>
  <c r="W3" i="5" s="1"/>
  <c r="W4" i="5" s="1"/>
  <c r="W6" i="5" s="1"/>
  <c r="W10" i="5" s="1"/>
  <c r="W16" i="5" s="1"/>
  <c r="D71" i="5"/>
  <c r="E71" i="5" s="1"/>
  <c r="D71" i="3"/>
  <c r="E71" i="3"/>
  <c r="B73" i="3"/>
  <c r="C72" i="3"/>
  <c r="D72" i="3" l="1"/>
  <c r="E72" i="3" s="1"/>
  <c r="B74" i="3"/>
  <c r="C73" i="3"/>
  <c r="C74" i="3" l="1"/>
  <c r="B75" i="3"/>
  <c r="D73" i="3"/>
  <c r="E73" i="3" s="1"/>
  <c r="C75" i="3" l="1"/>
  <c r="B76" i="3"/>
  <c r="D74" i="3"/>
  <c r="E74" i="3" s="1"/>
  <c r="B77" i="3" l="1"/>
  <c r="C76" i="3"/>
  <c r="D75" i="3"/>
  <c r="E75" i="3" s="1"/>
  <c r="D76" i="3" l="1"/>
  <c r="E76" i="3"/>
  <c r="B78" i="3"/>
  <c r="C77" i="3"/>
  <c r="D77" i="3" l="1"/>
  <c r="E77" i="3" s="1"/>
  <c r="C78" i="3"/>
  <c r="B79" i="3"/>
  <c r="D78" i="3" l="1"/>
  <c r="E78" i="3" s="1"/>
  <c r="C79" i="3"/>
  <c r="B80" i="3"/>
  <c r="B81" i="3" l="1"/>
  <c r="C80" i="3"/>
  <c r="D79" i="3"/>
  <c r="E79" i="3" s="1"/>
  <c r="D80" i="3" l="1"/>
  <c r="E80" i="3"/>
  <c r="B82" i="3"/>
  <c r="C81" i="3"/>
  <c r="D81" i="3" l="1"/>
  <c r="E81" i="3" s="1"/>
  <c r="C82" i="3"/>
  <c r="B83" i="3"/>
  <c r="C83" i="3" l="1"/>
  <c r="B84" i="3"/>
  <c r="D82" i="3"/>
  <c r="E82" i="3" s="1"/>
  <c r="C84" i="3" l="1"/>
  <c r="B85" i="3"/>
  <c r="D83" i="3"/>
  <c r="E83" i="3" s="1"/>
  <c r="B86" i="3" l="1"/>
  <c r="C85" i="3"/>
  <c r="D84" i="3"/>
  <c r="E84" i="3" s="1"/>
  <c r="D85" i="3" l="1"/>
  <c r="E85" i="3"/>
  <c r="B87" i="3"/>
  <c r="C86" i="3"/>
  <c r="D86" i="3" l="1"/>
  <c r="E86" i="3" s="1"/>
  <c r="C87" i="3"/>
  <c r="B88" i="3"/>
  <c r="D87" i="3" l="1"/>
  <c r="E87" i="3" s="1"/>
  <c r="C88" i="3"/>
  <c r="B89" i="3"/>
  <c r="D88" i="3" l="1"/>
  <c r="E88" i="3" s="1"/>
  <c r="B90" i="3"/>
  <c r="C89" i="3"/>
  <c r="B91" i="3" l="1"/>
  <c r="C90" i="3"/>
  <c r="D89" i="3"/>
  <c r="E89" i="3" s="1"/>
  <c r="D90" i="3" l="1"/>
  <c r="E90" i="3" s="1"/>
  <c r="B92" i="3"/>
  <c r="C91" i="3"/>
  <c r="B93" i="3" l="1"/>
  <c r="C92" i="3"/>
  <c r="D91" i="3"/>
  <c r="E91" i="3" s="1"/>
  <c r="D92" i="3" l="1"/>
  <c r="E92" i="3" s="1"/>
  <c r="C93" i="3"/>
  <c r="B94" i="3"/>
  <c r="B95" i="3" l="1"/>
  <c r="C94" i="3"/>
  <c r="D93" i="3"/>
  <c r="E93" i="3" s="1"/>
  <c r="D94" i="3" l="1"/>
  <c r="E94" i="3"/>
  <c r="B96" i="3"/>
  <c r="C95" i="3"/>
  <c r="D95" i="3" l="1"/>
  <c r="E95" i="3"/>
  <c r="B97" i="3"/>
  <c r="C96" i="3"/>
  <c r="D96" i="3" l="1"/>
  <c r="E96" i="3"/>
  <c r="B98" i="3"/>
  <c r="C97" i="3"/>
  <c r="D97" i="3" l="1"/>
  <c r="E97" i="3" s="1"/>
  <c r="C98" i="3"/>
  <c r="B99" i="3"/>
  <c r="B100" i="3" l="1"/>
  <c r="C99" i="3"/>
  <c r="D98" i="3"/>
  <c r="E98" i="3" s="1"/>
  <c r="D99" i="3" l="1"/>
  <c r="E99" i="3"/>
  <c r="B101" i="3"/>
  <c r="C100" i="3"/>
  <c r="B102" i="3" l="1"/>
  <c r="C101" i="3"/>
  <c r="D100" i="3"/>
  <c r="E100" i="3"/>
  <c r="D101" i="3" l="1"/>
  <c r="E101" i="3" s="1"/>
  <c r="C102" i="3"/>
  <c r="B103" i="3"/>
  <c r="D102" i="3" l="1"/>
  <c r="E102" i="3"/>
  <c r="B104" i="3"/>
  <c r="C103" i="3"/>
  <c r="D103" i="3" l="1"/>
  <c r="E103" i="3"/>
  <c r="B105" i="3"/>
  <c r="C104" i="3"/>
  <c r="B106" i="3" l="1"/>
  <c r="C105" i="3"/>
  <c r="D104" i="3"/>
  <c r="E104" i="3" s="1"/>
  <c r="D105" i="3" l="1"/>
  <c r="E105" i="3" s="1"/>
  <c r="B107" i="3"/>
  <c r="C106" i="3"/>
  <c r="C107" i="3" l="1"/>
  <c r="B108" i="3"/>
  <c r="D106" i="3"/>
  <c r="E106" i="3" s="1"/>
  <c r="B109" i="3" l="1"/>
  <c r="C108" i="3"/>
  <c r="D107" i="3"/>
  <c r="E107" i="3" s="1"/>
  <c r="D108" i="3" l="1"/>
  <c r="E108" i="3"/>
  <c r="B110" i="3"/>
  <c r="C109" i="3"/>
  <c r="D109" i="3" l="1"/>
  <c r="E109" i="3"/>
  <c r="B111" i="3"/>
  <c r="C110" i="3"/>
  <c r="D110" i="3" l="1"/>
  <c r="E110" i="3" s="1"/>
  <c r="C111" i="3"/>
  <c r="B112" i="3"/>
  <c r="D111" i="3" l="1"/>
  <c r="E111" i="3"/>
  <c r="B113" i="3"/>
  <c r="C112" i="3"/>
  <c r="D112" i="3" l="1"/>
  <c r="E112" i="3"/>
  <c r="B114" i="3"/>
  <c r="C113" i="3"/>
  <c r="D113" i="3" l="1"/>
  <c r="E113" i="3"/>
  <c r="B115" i="3"/>
  <c r="C114" i="3"/>
  <c r="D114" i="3" l="1"/>
  <c r="E114" i="3" s="1"/>
  <c r="C115" i="3"/>
  <c r="B116" i="3"/>
  <c r="B117" i="3" l="1"/>
  <c r="C116" i="3"/>
  <c r="D115" i="3"/>
  <c r="E115" i="3" s="1"/>
  <c r="D116" i="3" l="1"/>
  <c r="E116" i="3" s="1"/>
  <c r="B118" i="3"/>
  <c r="C117" i="3"/>
  <c r="D117" i="3" l="1"/>
  <c r="E117" i="3"/>
  <c r="B119" i="3"/>
  <c r="C118" i="3"/>
  <c r="D118" i="3" l="1"/>
  <c r="E118" i="3"/>
  <c r="B120" i="3"/>
  <c r="C119" i="3"/>
  <c r="C120" i="3" l="1"/>
  <c r="B121" i="3"/>
  <c r="D119" i="3"/>
  <c r="E119" i="3" s="1"/>
  <c r="B122" i="3" l="1"/>
  <c r="C121" i="3"/>
  <c r="D120" i="3"/>
  <c r="E120" i="3" s="1"/>
  <c r="D121" i="3" l="1"/>
  <c r="E121" i="3"/>
  <c r="B123" i="3"/>
  <c r="C122" i="3"/>
  <c r="D122" i="3" l="1"/>
  <c r="E122" i="3"/>
  <c r="B124" i="3"/>
  <c r="C123" i="3"/>
  <c r="D123" i="3" l="1"/>
  <c r="E123" i="3" s="1"/>
  <c r="C124" i="3"/>
  <c r="B125" i="3"/>
  <c r="D124" i="3" l="1"/>
  <c r="E124" i="3" s="1"/>
  <c r="B126" i="3"/>
  <c r="C125" i="3"/>
  <c r="D125" i="3" l="1"/>
  <c r="E125" i="3"/>
  <c r="B127" i="3"/>
  <c r="C126" i="3"/>
  <c r="B128" i="3" l="1"/>
  <c r="C127" i="3"/>
  <c r="D126" i="3"/>
  <c r="E126" i="3" s="1"/>
  <c r="D127" i="3" l="1"/>
  <c r="E127" i="3" s="1"/>
  <c r="B129" i="3"/>
  <c r="C128" i="3"/>
  <c r="C129" i="3" l="1"/>
  <c r="B130" i="3"/>
  <c r="D128" i="3"/>
  <c r="E128" i="3" s="1"/>
  <c r="B131" i="3" l="1"/>
  <c r="C130" i="3"/>
  <c r="D129" i="3"/>
  <c r="E129" i="3" s="1"/>
  <c r="D130" i="3" l="1"/>
  <c r="E130" i="3"/>
  <c r="B132" i="3"/>
  <c r="C131" i="3"/>
  <c r="D131" i="3" l="1"/>
  <c r="E131" i="3"/>
  <c r="B133" i="3"/>
  <c r="C132" i="3"/>
  <c r="D132" i="3" l="1"/>
  <c r="E132" i="3" s="1"/>
  <c r="C133" i="3"/>
  <c r="B134" i="3"/>
  <c r="B135" i="3" l="1"/>
  <c r="C134" i="3"/>
  <c r="D133" i="3"/>
  <c r="E133" i="3" s="1"/>
  <c r="D134" i="3" l="1"/>
  <c r="E134" i="3"/>
  <c r="B136" i="3"/>
  <c r="C135" i="3"/>
  <c r="D135" i="3" l="1"/>
  <c r="E135" i="3" s="1"/>
  <c r="B137" i="3"/>
  <c r="C136" i="3"/>
  <c r="D136" i="3" l="1"/>
  <c r="E136" i="3" s="1"/>
  <c r="C137" i="3"/>
  <c r="B138" i="3"/>
  <c r="D137" i="3" l="1"/>
  <c r="E137" i="3" s="1"/>
  <c r="B139" i="3"/>
  <c r="C138" i="3"/>
  <c r="B140" i="3" l="1"/>
  <c r="C139" i="3"/>
  <c r="D138" i="3"/>
  <c r="E138" i="3" s="1"/>
  <c r="D139" i="3" l="1"/>
  <c r="E139" i="3"/>
  <c r="B141" i="3"/>
  <c r="C140" i="3"/>
  <c r="D140" i="3" l="1"/>
  <c r="E140" i="3" s="1"/>
  <c r="B142" i="3"/>
  <c r="C141" i="3"/>
  <c r="C142" i="3" l="1"/>
  <c r="B143" i="3"/>
  <c r="D141" i="3"/>
  <c r="E141" i="3" s="1"/>
  <c r="B144" i="3" l="1"/>
  <c r="C143" i="3"/>
  <c r="D142" i="3"/>
  <c r="E142" i="3" s="1"/>
  <c r="D143" i="3" l="1"/>
  <c r="E143" i="3"/>
  <c r="B145" i="3"/>
  <c r="C144" i="3"/>
  <c r="D144" i="3" l="1"/>
  <c r="E144" i="3" s="1"/>
  <c r="B146" i="3"/>
  <c r="C145" i="3"/>
  <c r="C146" i="3" l="1"/>
  <c r="B147" i="3"/>
  <c r="D145" i="3"/>
  <c r="E145" i="3" s="1"/>
  <c r="B148" i="3" l="1"/>
  <c r="C147" i="3"/>
  <c r="D146" i="3"/>
  <c r="E146" i="3" s="1"/>
  <c r="D147" i="3" l="1"/>
  <c r="E147" i="3" s="1"/>
  <c r="B149" i="3"/>
  <c r="C148" i="3"/>
  <c r="D148" i="3" l="1"/>
  <c r="E148" i="3" s="1"/>
  <c r="C149" i="3"/>
  <c r="B150" i="3"/>
  <c r="D149" i="3" l="1"/>
  <c r="E149" i="3" s="1"/>
  <c r="B151" i="3"/>
  <c r="C150" i="3"/>
  <c r="D150" i="3" l="1"/>
  <c r="E150" i="3" s="1"/>
  <c r="C151" i="3"/>
  <c r="B152" i="3"/>
  <c r="C152" i="3" s="1"/>
  <c r="D152" i="3" l="1"/>
  <c r="E152" i="3"/>
  <c r="D151" i="3"/>
  <c r="E151" i="3" s="1"/>
  <c r="W4" i="3" l="1"/>
</calcChain>
</file>

<file path=xl/sharedStrings.xml><?xml version="1.0" encoding="utf-8"?>
<sst xmlns="http://schemas.openxmlformats.org/spreadsheetml/2006/main" count="314" uniqueCount="147">
  <si>
    <t>Sous-parcelles forestières</t>
  </si>
  <si>
    <t>Parcelles cadastrales</t>
  </si>
  <si>
    <t>Surface concernée</t>
  </si>
  <si>
    <t>Essences à installer</t>
  </si>
  <si>
    <t>Révolution cible</t>
  </si>
  <si>
    <t>Densités plantées (nb plts/ha)</t>
  </si>
  <si>
    <t>02B, 02A, 02C, 01A, 01B</t>
  </si>
  <si>
    <t>ZD17 et ZD20</t>
  </si>
  <si>
    <t>Chêne sessile</t>
  </si>
  <si>
    <t>Tilleul</t>
  </si>
  <si>
    <t>Chêne rouge d’Amérique</t>
  </si>
  <si>
    <t>Peupliers Koster</t>
  </si>
  <si>
    <t>Année</t>
  </si>
  <si>
    <t>V (m³/ha)</t>
  </si>
  <si>
    <t>Biomasse aérienne 
(tMS/ha)</t>
  </si>
  <si>
    <t>Biomasse racinaire 
(tMS/ha)</t>
  </si>
  <si>
    <t>Biomasse 
totale accrus (tCO₂/ha)</t>
  </si>
  <si>
    <r>
      <t>V (m</t>
    </r>
    <r>
      <rPr>
        <b/>
        <sz val="11"/>
        <color theme="1"/>
        <rFont val="Arial"/>
        <family val="2"/>
      </rPr>
      <t>³</t>
    </r>
    <r>
      <rPr>
        <b/>
        <sz val="11"/>
        <color theme="1"/>
        <rFont val="Calibri"/>
        <family val="2"/>
        <scheme val="minor"/>
      </rPr>
      <t>/ha)</t>
    </r>
  </si>
  <si>
    <r>
      <t>Biomasse totale chêne sessile
(tCO</t>
    </r>
    <r>
      <rPr>
        <b/>
        <sz val="11"/>
        <color theme="1"/>
        <rFont val="Calibri"/>
        <family val="2"/>
      </rPr>
      <t>₂</t>
    </r>
    <r>
      <rPr>
        <b/>
        <sz val="11"/>
        <color theme="1"/>
        <rFont val="Calibri"/>
        <family val="2"/>
        <scheme val="minor"/>
      </rPr>
      <t>/ha)</t>
    </r>
  </si>
  <si>
    <t>V éclairci 
(m³/ha)</t>
  </si>
  <si>
    <t>% Sciages</t>
  </si>
  <si>
    <t>% Panneaux</t>
  </si>
  <si>
    <t>% Pâte à 
papier</t>
  </si>
  <si>
    <t>Stock 
sciages (tCO₂/ha)</t>
  </si>
  <si>
    <t>Stock 
panneaux (tCO₂/ha)</t>
  </si>
  <si>
    <t>Stocks pâte 
à papier (tCO₂/ha)</t>
  </si>
  <si>
    <t>Stock produits 
bois (tCO₂/ha)</t>
  </si>
  <si>
    <t>Infradensité chêne sessile</t>
  </si>
  <si>
    <t>Infradensité moyenne 
accrus feuillus</t>
  </si>
  <si>
    <t>Tables de production britanniques de la Forestry Commission
Classe de fertilité 2/3 utilisé, AM = 5 m3/ha/an sur 150 ans
La table a été adaptée en limitant à des éclaircies tous les 10 ans, plus probable que les éclaircies tous les 5 ans programmées dans la table initiale</t>
  </si>
  <si>
    <t>CHS</t>
  </si>
  <si>
    <t>Stock moyen de long terme</t>
  </si>
  <si>
    <t>Accrus</t>
  </si>
  <si>
    <t>Diff. stock moyen de long terme</t>
  </si>
  <si>
    <t>Diff. stock (30 ans)</t>
  </si>
  <si>
    <t>Gain CO₂ dans la biomasse</t>
  </si>
  <si>
    <t>Gain CO₂ dans la litière</t>
  </si>
  <si>
    <t>Gain en CO₂ dans le bois mort</t>
  </si>
  <si>
    <t>Gain en CO₂ dans le sol</t>
  </si>
  <si>
    <t>REA forêt générables</t>
  </si>
  <si>
    <t>Récolte pendant 30 ans (m³/ha)</t>
  </si>
  <si>
    <t>Coefficient de substitution</t>
  </si>
  <si>
    <t>REI substitution</t>
  </si>
  <si>
    <t>REA produits</t>
  </si>
  <si>
    <t>REE</t>
  </si>
  <si>
    <t>Species</t>
  </si>
  <si>
    <t>Yield class</t>
  </si>
  <si>
    <t>Thinning treatment</t>
  </si>
  <si>
    <t>Initial spacing</t>
  </si>
  <si>
    <t>Stand area</t>
  </si>
  <si>
    <t>Oak</t>
  </si>
  <si>
    <t>Intermediate</t>
  </si>
  <si>
    <t>1st thin delay</t>
  </si>
  <si>
    <t>1st thin type</t>
  </si>
  <si>
    <t>1st thin age</t>
  </si>
  <si>
    <t>2nd thin age</t>
  </si>
  <si>
    <t>Max MAI age</t>
  </si>
  <si>
    <t>Sub thin type</t>
  </si>
  <si>
    <t>Late thin age</t>
  </si>
  <si>
    <t>Late thin cycle</t>
  </si>
  <si>
    <t>0 years</t>
  </si>
  <si>
    <t>INTERMEDIATE</t>
  </si>
  <si>
    <t>25 years</t>
  </si>
  <si>
    <t>30 years</t>
  </si>
  <si>
    <t>80 years</t>
  </si>
  <si>
    <t>N/A</t>
  </si>
  <si>
    <t>MAIN CROP after thinning</t>
  </si>
  <si>
    <t>Yield from THINNINGS</t>
  </si>
  <si>
    <t>CUMULATIVE PRODUCTION</t>
  </si>
  <si>
    <t>MAI</t>
  </si>
  <si>
    <t>Age yrs</t>
  </si>
  <si>
    <t>Top ht m</t>
  </si>
  <si>
    <t>Trees /ha</t>
  </si>
  <si>
    <t>Mean dbh cm</t>
  </si>
  <si>
    <t>BA m²/ha</t>
  </si>
  <si>
    <t>Mean vol m³</t>
  </si>
  <si>
    <t>Vol m³/ha</t>
  </si>
  <si>
    <t>Vol m³/ha /yr</t>
  </si>
  <si>
    <t>Publication</t>
  </si>
  <si>
    <t>Tables de production britanniques</t>
  </si>
  <si>
    <t>Auteurs</t>
  </si>
  <si>
    <t>Hamilton &amp; Christie</t>
  </si>
  <si>
    <t>Editeur</t>
  </si>
  <si>
    <t>Forestry Commission (Grande-Bretagne)</t>
  </si>
  <si>
    <t>Essence</t>
  </si>
  <si>
    <t>Chênes</t>
  </si>
  <si>
    <t>Nombre de classes</t>
  </si>
  <si>
    <t>Classe retenue</t>
  </si>
  <si>
    <t>AM</t>
  </si>
  <si>
    <r>
      <t>5 m</t>
    </r>
    <r>
      <rPr>
        <sz val="11"/>
        <color theme="1"/>
        <rFont val="Calibri"/>
        <family val="2"/>
      </rPr>
      <t>³</t>
    </r>
    <r>
      <rPr>
        <sz val="11"/>
        <color theme="1"/>
        <rFont val="Calibri"/>
        <family val="2"/>
        <scheme val="minor"/>
      </rPr>
      <t>/ha/an</t>
    </r>
  </si>
  <si>
    <t>Remarque</t>
  </si>
  <si>
    <t>Volumes bois fort</t>
  </si>
  <si>
    <r>
      <t>Biomasse totale chêne rouge
(tCO</t>
    </r>
    <r>
      <rPr>
        <b/>
        <sz val="11"/>
        <color theme="1"/>
        <rFont val="Calibri"/>
        <family val="2"/>
      </rPr>
      <t>₂</t>
    </r>
    <r>
      <rPr>
        <b/>
        <sz val="11"/>
        <color theme="1"/>
        <rFont val="Calibri"/>
        <family val="2"/>
        <scheme val="minor"/>
      </rPr>
      <t>/ha)</t>
    </r>
  </si>
  <si>
    <t>Infradensité chêne rouge</t>
  </si>
  <si>
    <t>Tables de production hollandaises pour le chêne rouge p. 28 "Revised yield tables for six tree species in the Netherlands" de JGA La Bastide et PJ Fabre, 1972
Classe de fertilité 2/6 utilisé, AM = 9 m³/ha/an sur 70 ans
La table a été adaptée en limitant à des éclaircies tous les 10 ans, plus probable que les éclaircies tous les 5 ans programmées dans la table initiale
Pas de facteur d'expansion branches car il s'agit de volumes totaux et non de volumes bois fort</t>
  </si>
  <si>
    <t>CHR</t>
  </si>
  <si>
    <t>Livre</t>
  </si>
  <si>
    <t>Revised yield tables for six tree species in the Netherlands</t>
  </si>
  <si>
    <t>JGA La Bastide et PJ Fabre</t>
  </si>
  <si>
    <t>?</t>
  </si>
  <si>
    <r>
      <t>Chêne rouge d'Amérique (</t>
    </r>
    <r>
      <rPr>
        <i/>
        <sz val="11"/>
        <color theme="1"/>
        <rFont val="Calibri"/>
        <family val="2"/>
        <scheme val="minor"/>
      </rPr>
      <t>Amerikaanse eik</t>
    </r>
    <r>
      <rPr>
        <sz val="11"/>
        <color theme="1"/>
        <rFont val="Calibri"/>
        <family val="2"/>
        <scheme val="minor"/>
      </rPr>
      <t>)</t>
    </r>
  </si>
  <si>
    <r>
      <t>9 m</t>
    </r>
    <r>
      <rPr>
        <sz val="11"/>
        <color theme="1"/>
        <rFont val="Calibri"/>
        <family val="2"/>
      </rPr>
      <t>³</t>
    </r>
    <r>
      <rPr>
        <sz val="11"/>
        <color theme="1"/>
        <rFont val="Calibri"/>
        <family val="2"/>
        <scheme val="minor"/>
      </rPr>
      <t>/ha/an</t>
    </r>
  </si>
  <si>
    <t>Volumes totaux</t>
  </si>
  <si>
    <r>
      <t>Biomasse totale tilleul
(tCO</t>
    </r>
    <r>
      <rPr>
        <b/>
        <sz val="11"/>
        <color theme="1"/>
        <rFont val="Calibri"/>
        <family val="2"/>
      </rPr>
      <t>₂</t>
    </r>
    <r>
      <rPr>
        <b/>
        <sz val="11"/>
        <color theme="1"/>
        <rFont val="Calibri"/>
        <family val="2"/>
        <scheme val="minor"/>
      </rPr>
      <t>/ha)</t>
    </r>
  </si>
  <si>
    <t>Infrandensité moyenne feuillus</t>
  </si>
  <si>
    <t>Infrandensité moyenne tilleul</t>
  </si>
  <si>
    <t>Utilisation de la table roumaine du tilleul argenté
La table a été adaptée en limitant à des éclaircies tous les 10 ans, plus probable que les éclaircies tous les 5 ans programmées dans la table initiale
Classe de fertilité 3/6 avec une 
production totale sur 110 de 8,2 m³/ha/an
Pas de facteur d'expansion branches, les tables roumaines semblent donner des volumes totaux</t>
  </si>
  <si>
    <t>REE générables</t>
  </si>
  <si>
    <t>Modele matematico-auxologice şi tabele de producţie pentru arborete</t>
  </si>
  <si>
    <t>Regia Naţională a pădurilor - Romsilva</t>
  </si>
  <si>
    <t>Victor Giurgiu, Dorin Drăghiciu (Roumanie)</t>
  </si>
  <si>
    <t>Editura Ceres</t>
  </si>
  <si>
    <r>
      <t>Tilleul argenté (</t>
    </r>
    <r>
      <rPr>
        <i/>
        <sz val="11"/>
        <color theme="1"/>
        <rFont val="Calibri"/>
        <family val="2"/>
        <scheme val="minor"/>
      </rPr>
      <t>Tei argintiu</t>
    </r>
    <r>
      <rPr>
        <sz val="11"/>
        <color theme="1"/>
        <rFont val="Calibri"/>
        <family val="2"/>
        <scheme val="minor"/>
      </rPr>
      <t>)</t>
    </r>
  </si>
  <si>
    <r>
      <t>8,2 m</t>
    </r>
    <r>
      <rPr>
        <sz val="11"/>
        <color theme="1"/>
        <rFont val="Calibri"/>
        <family val="2"/>
      </rPr>
      <t>³</t>
    </r>
    <r>
      <rPr>
        <sz val="11"/>
        <color theme="1"/>
        <rFont val="Calibri"/>
        <family val="2"/>
        <scheme val="minor"/>
      </rPr>
      <t>/ha/an</t>
    </r>
  </si>
  <si>
    <t>Carbone moyen (tCO₂/ha)</t>
  </si>
  <si>
    <r>
      <t>Biomasse totale peuplier
(tCO</t>
    </r>
    <r>
      <rPr>
        <b/>
        <sz val="11"/>
        <color theme="1"/>
        <rFont val="Calibri"/>
        <family val="2"/>
      </rPr>
      <t>₂</t>
    </r>
    <r>
      <rPr>
        <b/>
        <sz val="11"/>
        <color theme="1"/>
        <rFont val="Calibri"/>
        <family val="2"/>
        <scheme val="minor"/>
      </rPr>
      <t>/ha)</t>
    </r>
  </si>
  <si>
    <t>V récolté
(m³/ha)</t>
  </si>
  <si>
    <t>Infrandensité moyenne peuplier Koster</t>
  </si>
  <si>
    <t>Utilisation de tables de production pour le peuplier Koster en contexte argileux (bien moins favorable que sur station riche fraîche)
Classe de fertilité unique
Pas de facteur d'expansion branches, il s'agit de volumes totaux</t>
  </si>
  <si>
    <t>Peuplier</t>
  </si>
  <si>
    <t>Koster</t>
  </si>
  <si>
    <t>H déc. diam. en cm</t>
  </si>
  <si>
    <t>D.M.M.circ. en cm/m</t>
  </si>
  <si>
    <t>Station</t>
  </si>
  <si>
    <t>Age</t>
  </si>
  <si>
    <t>C 1.30 m en cm valeurs modèle</t>
  </si>
  <si>
    <t>H Gr BO en m</t>
  </si>
  <si>
    <t>Vol BO 204 en m3/ha</t>
  </si>
  <si>
    <t>Vol BEBI 204 en m3/ha</t>
  </si>
  <si>
    <t>Vol tot 204 en m3/ha</t>
  </si>
  <si>
    <t>argileuse</t>
  </si>
  <si>
    <t>Source</t>
  </si>
  <si>
    <t>Données de production CNPF non publiées issues de dispositifs suivis</t>
  </si>
  <si>
    <t>Eric Paillassa</t>
  </si>
  <si>
    <t>Non publié</t>
  </si>
  <si>
    <t>-</t>
  </si>
  <si>
    <t>Peuplier Koster (station argileuse, moins favorable que riche fraîche)</t>
  </si>
  <si>
    <r>
      <t>12,1 m</t>
    </r>
    <r>
      <rPr>
        <sz val="11"/>
        <color theme="1"/>
        <rFont val="Calibri"/>
        <family val="2"/>
      </rPr>
      <t>³</t>
    </r>
    <r>
      <rPr>
        <sz val="11"/>
        <color theme="1"/>
        <rFont val="Calibri"/>
        <family val="2"/>
        <scheme val="minor"/>
      </rPr>
      <t>/ha/an en 25 ans</t>
    </r>
  </si>
  <si>
    <t>REA forêt générables (avec rabais)</t>
  </si>
  <si>
    <t>REA produits générables (avec rabais)</t>
  </si>
  <si>
    <t>REI susbstittion générables (avec rabais)</t>
  </si>
  <si>
    <t>REA forêt (tCO2/ha sur 30 ans)</t>
  </si>
  <si>
    <t>REA produits (tCO2/ha sur 30 ans)</t>
  </si>
  <si>
    <t>REI substitution (tCO2/ha sur 30 ans)</t>
  </si>
  <si>
    <t>Rabais</t>
  </si>
  <si>
    <t>REE totales générables</t>
  </si>
  <si>
    <t>Supérieure à 30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</si>
</sst>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b/>
      <sz val="11"/>
      <color rgb="FFFFFFFF"/>
      <name val="Calibri"/>
      <family val="2"/>
      <scheme val="minor"/>
    </font>
    <font>
      <b/>
      <sz val="11"/>
      <color rgb="FF000000"/>
      <name val="Calibri"/>
      <family val="2"/>
      <scheme val="minor"/>
    </font>
    <font>
      <sz val="11"/>
      <color rgb="FF000000"/>
      <name val="Calibri"/>
      <family val="2"/>
      <scheme val="minor"/>
    </font>
    <font>
      <b/>
      <sz val="11"/>
      <color theme="1"/>
      <name val="Arial"/>
      <family val="2"/>
    </font>
    <font>
      <b/>
      <sz val="11"/>
      <color theme="1"/>
      <name val="Calibri"/>
      <family val="2"/>
    </font>
    <font>
      <b/>
      <sz val="8.25"/>
      <color indexed="8"/>
      <name val="Verdana"/>
      <family val="2"/>
    </font>
    <font>
      <sz val="8.25"/>
      <color indexed="8"/>
      <name val="Verdana"/>
      <family val="2"/>
    </font>
    <font>
      <sz val="11"/>
      <color theme="1"/>
      <name val="Calibri"/>
      <family val="2"/>
    </font>
    <font>
      <b/>
      <sz val="14"/>
      <color theme="1"/>
      <name val="Calibri"/>
      <family val="2"/>
      <scheme val="minor"/>
    </font>
    <font>
      <i/>
      <sz val="11"/>
      <color theme="1"/>
      <name val="Calibri"/>
      <family val="2"/>
      <scheme val="minor"/>
    </font>
    <font>
      <sz val="10"/>
      <name val="Arial"/>
      <family val="2"/>
    </font>
  </fonts>
  <fills count="13">
    <fill>
      <patternFill patternType="none"/>
    </fill>
    <fill>
      <patternFill patternType="gray125"/>
    </fill>
    <fill>
      <patternFill patternType="solid">
        <fgColor rgb="FFFFC000"/>
        <bgColor indexed="64"/>
      </patternFill>
    </fill>
    <fill>
      <patternFill patternType="solid">
        <fgColor rgb="FFFFF2CC"/>
        <bgColor indexed="64"/>
      </patternFill>
    </fill>
    <fill>
      <patternFill patternType="solid">
        <fgColor rgb="FF00B0F0"/>
        <bgColor rgb="FFCFE7F5"/>
      </patternFill>
    </fill>
    <fill>
      <patternFill patternType="solid">
        <fgColor rgb="FF00B0F0"/>
        <bgColor indexed="64"/>
      </patternFill>
    </fill>
    <fill>
      <patternFill patternType="solid">
        <fgColor rgb="FF92D050"/>
        <bgColor rgb="FFCFE7F5"/>
      </patternFill>
    </fill>
    <fill>
      <patternFill patternType="solid">
        <fgColor rgb="FF92D050"/>
        <bgColor indexed="64"/>
      </patternFill>
    </fill>
    <fill>
      <patternFill patternType="solid">
        <fgColor theme="7" tint="0.59999389629810485"/>
        <bgColor rgb="FFCFE7F5"/>
      </patternFill>
    </fill>
    <fill>
      <patternFill patternType="solid">
        <fgColor theme="7" tint="0.59999389629810485"/>
        <bgColor indexed="64"/>
      </patternFill>
    </fill>
    <fill>
      <patternFill patternType="solid">
        <fgColor rgb="FFFFFF00"/>
        <bgColor indexed="64"/>
      </patternFill>
    </fill>
    <fill>
      <patternFill patternType="solid">
        <fgColor theme="7" tint="0.59999389629810485"/>
        <bgColor rgb="FFE6E6FF"/>
      </patternFill>
    </fill>
    <fill>
      <patternFill patternType="solid">
        <fgColor theme="9" tint="0.39997558519241921"/>
        <bgColor indexed="64"/>
      </patternFill>
    </fill>
  </fills>
  <borders count="15">
    <border>
      <left/>
      <right/>
      <top/>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style="medium">
        <color rgb="FFFFD966"/>
      </left>
      <right style="medium">
        <color rgb="FFFFD966"/>
      </right>
      <top/>
      <bottom style="medium">
        <color rgb="FFFFD966"/>
      </bottom>
      <diagonal/>
    </border>
    <border>
      <left style="medium">
        <color rgb="FFFFD966"/>
      </left>
      <right style="medium">
        <color rgb="FFFFD966"/>
      </right>
      <top/>
      <bottom/>
      <diagonal/>
    </border>
    <border>
      <left/>
      <right style="medium">
        <color rgb="FFFFD966"/>
      </right>
      <top/>
      <bottom style="medium">
        <color rgb="FFFFD966"/>
      </bottom>
      <diagonal/>
    </border>
    <border>
      <left/>
      <right style="medium">
        <color rgb="FFFFD966"/>
      </right>
      <top/>
      <bottom/>
      <diagonal/>
    </border>
    <border>
      <left style="medium">
        <color rgb="FFFFD966"/>
      </left>
      <right style="medium">
        <color rgb="FFFFD966"/>
      </right>
      <top style="medium">
        <color rgb="FFFFC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ck">
        <color rgb="FFC00000"/>
      </left>
      <right style="thick">
        <color rgb="FFC00000"/>
      </right>
      <top style="double">
        <color rgb="FFFFD966"/>
      </top>
      <bottom style="thick">
        <color rgb="FFC00000"/>
      </bottom>
      <diagonal/>
    </border>
    <border>
      <left style="medium">
        <color rgb="FFC00000"/>
      </left>
      <right style="thick">
        <color rgb="FFC00000"/>
      </right>
      <top style="medium">
        <color rgb="FFFFD966"/>
      </top>
      <bottom style="thick">
        <color rgb="FFC00000"/>
      </bottom>
      <diagonal/>
    </border>
    <border>
      <left style="medium">
        <color rgb="FFC00000"/>
      </left>
      <right style="medium">
        <color rgb="FFC00000"/>
      </right>
      <top style="medium">
        <color rgb="FFFFD966"/>
      </top>
      <bottom style="thick">
        <color rgb="FFC00000"/>
      </bottom>
      <diagonal/>
    </border>
  </borders>
  <cellStyleXfs count="1">
    <xf numFmtId="0" fontId="0" fillId="0" borderId="0"/>
  </cellStyleXfs>
  <cellXfs count="131">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0" fillId="0" borderId="6" xfId="0" applyBorder="1" applyAlignment="1">
      <alignment horizontal="center" vertical="center" wrapText="1"/>
    </xf>
    <xf numFmtId="0" fontId="1" fillId="4" borderId="0" xfId="0" applyFont="1" applyFill="1" applyAlignment="1">
      <alignment horizontal="center" vertical="center"/>
    </xf>
    <xf numFmtId="0" fontId="1" fillId="5" borderId="0" xfId="0" applyFont="1" applyFill="1" applyAlignment="1">
      <alignment horizontal="center" vertical="center" wrapText="1"/>
    </xf>
    <xf numFmtId="0" fontId="1" fillId="6" borderId="0" xfId="0" applyFont="1" applyFill="1" applyAlignment="1">
      <alignment horizontal="center" vertical="center"/>
    </xf>
    <xf numFmtId="0" fontId="1" fillId="7" borderId="0" xfId="0" applyFont="1" applyFill="1" applyAlignment="1">
      <alignment horizontal="center" vertical="center"/>
    </xf>
    <xf numFmtId="0" fontId="1" fillId="7" borderId="0" xfId="0" applyFont="1" applyFill="1" applyAlignment="1">
      <alignment horizontal="center" vertical="center" wrapText="1"/>
    </xf>
    <xf numFmtId="0" fontId="1" fillId="8" borderId="0" xfId="0" applyFont="1" applyFill="1" applyAlignment="1">
      <alignment horizontal="center" vertical="center"/>
    </xf>
    <xf numFmtId="0" fontId="1" fillId="9" borderId="0" xfId="0" applyFont="1" applyFill="1" applyAlignment="1">
      <alignment horizontal="center" vertical="center" wrapText="1"/>
    </xf>
    <xf numFmtId="0" fontId="1" fillId="9" borderId="0" xfId="0" applyFont="1" applyFill="1" applyAlignment="1">
      <alignment horizontal="center" vertical="center"/>
    </xf>
    <xf numFmtId="0" fontId="1" fillId="5" borderId="0" xfId="0" applyFont="1" applyFill="1" applyAlignment="1">
      <alignment horizontal="center" vertical="center"/>
    </xf>
    <xf numFmtId="0" fontId="0" fillId="4" borderId="0" xfId="0" applyFill="1" applyAlignment="1">
      <alignment horizontal="center" vertical="center"/>
    </xf>
    <xf numFmtId="164" fontId="0" fillId="4" borderId="0" xfId="0" applyNumberForma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164" fontId="0" fillId="7" borderId="0" xfId="0" applyNumberFormat="1" applyFill="1" applyAlignment="1">
      <alignment horizontal="center" vertical="center"/>
    </xf>
    <xf numFmtId="0" fontId="0" fillId="8" borderId="0" xfId="0" applyFill="1" applyAlignment="1">
      <alignment horizontal="center" vertical="center"/>
    </xf>
    <xf numFmtId="0" fontId="0" fillId="9" borderId="0" xfId="0" applyFill="1" applyAlignment="1">
      <alignment horizontal="center" vertical="center"/>
    </xf>
    <xf numFmtId="0" fontId="0" fillId="0" borderId="0" xfId="0" applyAlignment="1">
      <alignment horizontal="center" vertical="center"/>
    </xf>
    <xf numFmtId="164" fontId="0" fillId="0" borderId="0" xfId="0" applyNumberFormat="1" applyAlignment="1">
      <alignment horizontal="center" vertical="center"/>
    </xf>
    <xf numFmtId="164" fontId="0" fillId="9" borderId="0" xfId="0" applyNumberFormat="1" applyFill="1" applyAlignment="1">
      <alignment horizontal="center" vertical="center"/>
    </xf>
    <xf numFmtId="1" fontId="0" fillId="7" borderId="0" xfId="0" applyNumberFormat="1" applyFill="1"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1" fillId="10" borderId="0" xfId="0" applyFont="1" applyFill="1" applyAlignment="1">
      <alignment horizontal="center" vertical="center"/>
    </xf>
    <xf numFmtId="1" fontId="1" fillId="10" borderId="0" xfId="0" applyNumberFormat="1" applyFont="1" applyFill="1" applyAlignment="1">
      <alignment horizontal="center"/>
    </xf>
    <xf numFmtId="1" fontId="1" fillId="10" borderId="0" xfId="0" applyNumberFormat="1" applyFont="1" applyFill="1" applyAlignment="1">
      <alignment horizontal="center" vertical="center"/>
    </xf>
    <xf numFmtId="9" fontId="0" fillId="9" borderId="0" xfId="0" applyNumberFormat="1" applyFill="1" applyAlignment="1">
      <alignment horizontal="center" vertical="center"/>
    </xf>
    <xf numFmtId="0" fontId="1" fillId="10" borderId="0" xfId="0" applyFont="1" applyFill="1" applyAlignment="1">
      <alignment horizontal="center"/>
    </xf>
    <xf numFmtId="0" fontId="1" fillId="0" borderId="0" xfId="0" applyFont="1" applyAlignment="1">
      <alignment horizontal="center" vertical="center"/>
    </xf>
    <xf numFmtId="1" fontId="1" fillId="0" borderId="0" xfId="0" applyNumberFormat="1" applyFont="1" applyAlignment="1">
      <alignment horizontal="center" vertical="center"/>
    </xf>
    <xf numFmtId="0" fontId="0" fillId="9" borderId="0" xfId="0" applyFill="1"/>
    <xf numFmtId="0" fontId="0" fillId="9" borderId="0" xfId="0" applyFill="1" applyAlignment="1">
      <alignment horizontal="center"/>
    </xf>
    <xf numFmtId="10" fontId="0" fillId="9" borderId="0" xfId="0" applyNumberFormat="1" applyFill="1" applyAlignment="1">
      <alignment horizontal="center" vertical="center"/>
    </xf>
    <xf numFmtId="1" fontId="0" fillId="9" borderId="0" xfId="0" applyNumberFormat="1" applyFill="1" applyAlignment="1">
      <alignment horizontal="center" vertical="center"/>
    </xf>
    <xf numFmtId="0" fontId="0" fillId="11" borderId="0" xfId="0" applyFill="1" applyAlignment="1">
      <alignment horizontal="center" vertical="center"/>
    </xf>
    <xf numFmtId="9" fontId="0" fillId="11" borderId="0" xfId="0" applyNumberFormat="1" applyFill="1" applyAlignment="1">
      <alignment horizontal="center" vertical="center"/>
    </xf>
    <xf numFmtId="1" fontId="0" fillId="9" borderId="0" xfId="0" applyNumberFormat="1" applyFill="1" applyAlignment="1">
      <alignment horizontal="center"/>
    </xf>
    <xf numFmtId="9" fontId="0" fillId="9" borderId="0" xfId="0" applyNumberFormat="1" applyFill="1" applyAlignment="1">
      <alignment horizontal="center"/>
    </xf>
    <xf numFmtId="1" fontId="0" fillId="11" borderId="0" xfId="0" applyNumberFormat="1" applyFill="1" applyAlignment="1">
      <alignment horizontal="center" vertical="center"/>
    </xf>
    <xf numFmtId="164" fontId="0" fillId="7" borderId="0" xfId="0" applyNumberFormat="1" applyFill="1" applyAlignment="1">
      <alignment horizontal="center"/>
    </xf>
    <xf numFmtId="164" fontId="0" fillId="6" borderId="0" xfId="0" applyNumberFormat="1" applyFill="1" applyAlignment="1">
      <alignment horizontal="center" vertical="center"/>
    </xf>
    <xf numFmtId="164" fontId="0" fillId="9" borderId="0" xfId="0" applyNumberFormat="1" applyFill="1" applyAlignment="1">
      <alignment horizontal="center"/>
    </xf>
    <xf numFmtId="0" fontId="0" fillId="7" borderId="0" xfId="0" applyFill="1" applyAlignment="1">
      <alignment horizontal="center"/>
    </xf>
    <xf numFmtId="0" fontId="7"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top" wrapText="1"/>
    </xf>
    <xf numFmtId="0" fontId="7" fillId="0" borderId="0" xfId="0" applyFont="1" applyAlignment="1">
      <alignment horizontal="center" vertical="top" wrapText="1"/>
    </xf>
    <xf numFmtId="0" fontId="8" fillId="0" borderId="0" xfId="0" applyFont="1" applyAlignment="1">
      <alignment horizontal="right" vertical="top" wrapText="1"/>
    </xf>
    <xf numFmtId="0" fontId="1" fillId="12" borderId="9" xfId="0" applyFont="1" applyFill="1" applyBorder="1" applyAlignment="1">
      <alignment horizontal="center" vertical="center"/>
    </xf>
    <xf numFmtId="0" fontId="0" fillId="0" borderId="10" xfId="0" applyBorder="1" applyAlignment="1">
      <alignment horizontal="center" vertical="center"/>
    </xf>
    <xf numFmtId="0" fontId="1" fillId="12" borderId="10" xfId="0" applyFont="1" applyFill="1" applyBorder="1" applyAlignment="1">
      <alignment horizontal="center" vertical="center"/>
    </xf>
    <xf numFmtId="0" fontId="0" fillId="0" borderId="10" xfId="0" applyBorder="1" applyAlignment="1">
      <alignment horizontal="center"/>
    </xf>
    <xf numFmtId="164" fontId="0" fillId="11" borderId="0" xfId="0" applyNumberFormat="1" applyFill="1" applyAlignment="1">
      <alignment horizontal="center" vertical="center"/>
    </xf>
    <xf numFmtId="0" fontId="10" fillId="0" borderId="0" xfId="0" applyFont="1" applyAlignment="1">
      <alignment wrapText="1"/>
    </xf>
    <xf numFmtId="0" fontId="11" fillId="0" borderId="10" xfId="0" applyFont="1" applyBorder="1" applyAlignment="1">
      <alignment horizontal="center"/>
    </xf>
    <xf numFmtId="0" fontId="1" fillId="12" borderId="10" xfId="0" applyFont="1" applyFill="1" applyBorder="1" applyAlignment="1">
      <alignment horizontal="center"/>
    </xf>
    <xf numFmtId="0" fontId="1" fillId="0" borderId="0" xfId="0" applyFont="1" applyAlignment="1">
      <alignment horizontal="center" vertical="center" wrapText="1"/>
    </xf>
    <xf numFmtId="0" fontId="0" fillId="0" borderId="0" xfId="0"/>
    <xf numFmtId="0" fontId="0" fillId="0" borderId="0" xfId="0"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1" fillId="0" borderId="0" xfId="0" applyFont="1" applyAlignment="1">
      <alignment horizontal="center" vertical="center"/>
    </xf>
    <xf numFmtId="0" fontId="1" fillId="10" borderId="0" xfId="0" applyFont="1" applyFill="1" applyAlignment="1">
      <alignment horizontal="center" vertical="center"/>
    </xf>
    <xf numFmtId="0" fontId="1" fillId="7" borderId="0" xfId="0" applyFont="1" applyFill="1" applyAlignment="1">
      <alignment horizontal="center" vertical="center" wrapText="1"/>
    </xf>
    <xf numFmtId="0" fontId="1" fillId="6" borderId="0" xfId="0" applyFont="1" applyFill="1" applyAlignment="1">
      <alignment horizontal="center" vertical="center"/>
    </xf>
    <xf numFmtId="0" fontId="1" fillId="7" borderId="0" xfId="0" applyFont="1" applyFill="1" applyAlignment="1">
      <alignment horizontal="center" vertical="center"/>
    </xf>
    <xf numFmtId="0" fontId="0" fillId="6" borderId="0" xfId="0" applyFill="1" applyAlignment="1">
      <alignment horizontal="center" vertical="center"/>
    </xf>
    <xf numFmtId="0" fontId="0" fillId="7" borderId="0" xfId="0" applyFill="1" applyAlignment="1">
      <alignment horizontal="center" vertical="center"/>
    </xf>
    <xf numFmtId="164" fontId="0" fillId="7" borderId="0" xfId="0" applyNumberFormat="1" applyFill="1" applyAlignment="1">
      <alignment horizontal="center" vertical="center"/>
    </xf>
    <xf numFmtId="164" fontId="0" fillId="6" borderId="0" xfId="0" applyNumberFormat="1" applyFill="1" applyAlignment="1">
      <alignment horizontal="center" vertical="center"/>
    </xf>
    <xf numFmtId="0" fontId="0" fillId="7" borderId="0" xfId="0" applyFill="1" applyAlignment="1">
      <alignment horizontal="center"/>
    </xf>
    <xf numFmtId="0" fontId="1" fillId="8" borderId="0" xfId="0" applyFont="1" applyFill="1" applyAlignment="1">
      <alignment horizontal="center" vertical="center"/>
    </xf>
    <xf numFmtId="0" fontId="1" fillId="9" borderId="0" xfId="0" applyFont="1" applyFill="1" applyAlignment="1">
      <alignment horizontal="center" vertical="center" wrapText="1"/>
    </xf>
    <xf numFmtId="0" fontId="1" fillId="9" borderId="0" xfId="0" applyFont="1" applyFill="1" applyAlignment="1">
      <alignment horizontal="center" vertical="center"/>
    </xf>
    <xf numFmtId="0" fontId="0" fillId="9" borderId="0" xfId="0" applyFill="1" applyAlignment="1">
      <alignment horizontal="center" vertical="center"/>
    </xf>
    <xf numFmtId="164" fontId="0" fillId="9" borderId="0" xfId="0" applyNumberFormat="1" applyFill="1" applyAlignment="1">
      <alignment horizontal="center" vertical="center"/>
    </xf>
    <xf numFmtId="9" fontId="0" fillId="9" borderId="0" xfId="0" applyNumberFormat="1" applyFill="1" applyAlignment="1">
      <alignment horizontal="center" vertical="center"/>
    </xf>
    <xf numFmtId="0" fontId="0" fillId="9" borderId="0" xfId="0" applyFill="1"/>
    <xf numFmtId="0" fontId="0" fillId="11" borderId="0" xfId="0" applyFill="1" applyAlignment="1">
      <alignment horizontal="center" vertical="center"/>
    </xf>
    <xf numFmtId="9" fontId="0" fillId="11" borderId="0" xfId="0" applyNumberFormat="1" applyFill="1" applyAlignment="1">
      <alignment horizontal="center" vertical="center"/>
    </xf>
    <xf numFmtId="1" fontId="1" fillId="0" borderId="0" xfId="0" applyNumberFormat="1" applyFont="1" applyAlignment="1">
      <alignment horizontal="center" vertical="center"/>
    </xf>
    <xf numFmtId="1" fontId="1" fillId="10" borderId="0" xfId="0" applyNumberFormat="1" applyFont="1" applyFill="1" applyAlignment="1">
      <alignment horizontal="center" vertical="center"/>
    </xf>
    <xf numFmtId="0" fontId="0" fillId="8" borderId="0" xfId="0" applyFill="1" applyAlignment="1">
      <alignment horizontal="center" vertical="center"/>
    </xf>
    <xf numFmtId="164" fontId="0" fillId="7" borderId="0" xfId="0" applyNumberFormat="1" applyFill="1" applyAlignment="1">
      <alignment horizontal="center"/>
    </xf>
    <xf numFmtId="0" fontId="0" fillId="9" borderId="0" xfId="0" applyFill="1" applyAlignment="1">
      <alignment horizontal="center"/>
    </xf>
    <xf numFmtId="9" fontId="0" fillId="9" borderId="0" xfId="0" applyNumberFormat="1" applyFill="1" applyAlignment="1">
      <alignment horizontal="center"/>
    </xf>
    <xf numFmtId="164" fontId="0" fillId="0" borderId="0" xfId="0" applyNumberFormat="1" applyAlignment="1">
      <alignment horizontal="center"/>
    </xf>
    <xf numFmtId="1" fontId="1" fillId="10" borderId="0" xfId="0" applyNumberFormat="1" applyFont="1" applyFill="1" applyAlignment="1">
      <alignment horizontal="center"/>
    </xf>
    <xf numFmtId="10" fontId="0" fillId="9" borderId="0" xfId="0" applyNumberFormat="1" applyFill="1" applyAlignment="1">
      <alignment horizontal="center" vertical="center"/>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164" fontId="0" fillId="9" borderId="0" xfId="0" applyNumberFormat="1" applyFill="1" applyAlignment="1">
      <alignment horizontal="center"/>
    </xf>
    <xf numFmtId="0" fontId="1" fillId="10" borderId="0" xfId="0" applyFont="1" applyFill="1" applyAlignment="1">
      <alignment horizontal="center"/>
    </xf>
    <xf numFmtId="0" fontId="0" fillId="0" borderId="10" xfId="0" applyBorder="1" applyAlignment="1">
      <alignment horizontal="center"/>
    </xf>
    <xf numFmtId="0" fontId="1" fillId="12" borderId="10" xfId="0" applyFont="1" applyFill="1" applyBorder="1" applyAlignment="1">
      <alignment horizontal="center"/>
    </xf>
    <xf numFmtId="0" fontId="11" fillId="0" borderId="10" xfId="0" applyFont="1" applyBorder="1" applyAlignment="1">
      <alignment horizontal="center"/>
    </xf>
    <xf numFmtId="0" fontId="1" fillId="4" borderId="0" xfId="0" applyFont="1" applyFill="1" applyAlignment="1">
      <alignment horizontal="center" vertical="center"/>
    </xf>
    <xf numFmtId="0" fontId="0" fillId="4" borderId="0" xfId="0" applyFill="1" applyAlignment="1">
      <alignment horizontal="center" vertical="center"/>
    </xf>
    <xf numFmtId="0" fontId="0" fillId="5" borderId="0" xfId="0" applyFill="1" applyAlignment="1">
      <alignment horizontal="center" vertical="center"/>
    </xf>
    <xf numFmtId="164" fontId="0" fillId="5" borderId="0" xfId="0" applyNumberFormat="1" applyFill="1" applyAlignment="1">
      <alignment horizontal="center" vertical="center"/>
    </xf>
    <xf numFmtId="1" fontId="0" fillId="7" borderId="0" xfId="0" applyNumberFormat="1" applyFill="1" applyAlignment="1">
      <alignment horizontal="center"/>
    </xf>
    <xf numFmtId="9" fontId="0" fillId="0" borderId="0" xfId="0" applyNumberFormat="1" applyAlignment="1">
      <alignment horizontal="center" vertical="center"/>
    </xf>
    <xf numFmtId="9" fontId="0" fillId="0" borderId="0" xfId="0" applyNumberFormat="1" applyAlignment="1">
      <alignment horizontal="center"/>
    </xf>
    <xf numFmtId="2" fontId="0" fillId="0" borderId="0" xfId="0" applyNumberFormat="1" applyAlignment="1">
      <alignment horizontal="center" vertical="center" wrapText="1"/>
    </xf>
    <xf numFmtId="1" fontId="12" fillId="0" borderId="0" xfId="0" applyNumberFormat="1" applyFont="1" applyAlignment="1">
      <alignment horizontal="center" vertical="center" wrapText="1"/>
    </xf>
    <xf numFmtId="1" fontId="0" fillId="0" borderId="0" xfId="0" applyNumberFormat="1" applyAlignment="1">
      <alignment horizontal="center" vertical="center"/>
    </xf>
    <xf numFmtId="0" fontId="2" fillId="2" borderId="0" xfId="0"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1" fontId="1" fillId="0" borderId="6" xfId="0" applyNumberFormat="1" applyFont="1" applyBorder="1" applyAlignment="1">
      <alignment horizontal="center" vertical="center" wrapText="1"/>
    </xf>
    <xf numFmtId="1" fontId="1" fillId="0" borderId="7" xfId="0" applyNumberFormat="1" applyFont="1" applyBorder="1" applyAlignment="1">
      <alignment horizontal="center" vertical="center" wrapText="1"/>
    </xf>
    <xf numFmtId="1" fontId="1" fillId="0" borderId="12" xfId="0" applyNumberFormat="1" applyFont="1" applyFill="1" applyBorder="1" applyAlignment="1">
      <alignment horizontal="center" vertical="center"/>
    </xf>
    <xf numFmtId="1" fontId="4" fillId="3" borderId="6" xfId="0" applyNumberFormat="1" applyFont="1" applyFill="1" applyBorder="1" applyAlignment="1">
      <alignment horizontal="center" vertical="center" wrapText="1"/>
    </xf>
    <xf numFmtId="1" fontId="0" fillId="0" borderId="6" xfId="0" applyNumberFormat="1" applyBorder="1" applyAlignment="1">
      <alignment horizontal="center" vertical="center" wrapText="1"/>
    </xf>
    <xf numFmtId="1" fontId="1" fillId="0" borderId="14" xfId="0" applyNumberFormat="1" applyFont="1" applyBorder="1" applyAlignment="1">
      <alignment horizontal="center"/>
    </xf>
    <xf numFmtId="1" fontId="1" fillId="0" borderId="13" xfId="0" applyNumberFormat="1" applyFont="1" applyBorder="1" applyAlignment="1">
      <alignment horizontal="center"/>
    </xf>
    <xf numFmtId="0" fontId="3" fillId="3" borderId="8"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4" xfId="0" applyFont="1" applyFill="1" applyBorder="1" applyAlignment="1">
      <alignment horizontal="center" vertical="center" wrapText="1"/>
    </xf>
    <xf numFmtId="9" fontId="3" fillId="3" borderId="7" xfId="0" applyNumberFormat="1" applyFont="1" applyFill="1" applyBorder="1" applyAlignment="1">
      <alignment horizontal="center" vertical="center" wrapText="1"/>
    </xf>
    <xf numFmtId="0" fontId="1" fillId="7" borderId="0" xfId="0" applyFont="1" applyFill="1" applyAlignment="1">
      <alignment horizontal="left" vertical="center" wrapText="1"/>
    </xf>
    <xf numFmtId="0" fontId="7" fillId="0" borderId="0" xfId="0" applyFont="1" applyAlignment="1">
      <alignment horizontal="center" vertical="top" wrapText="1"/>
    </xf>
    <xf numFmtId="0" fontId="1" fillId="12" borderId="9" xfId="0" applyFont="1" applyFill="1" applyBorder="1" applyAlignment="1">
      <alignment horizontal="center" vertical="center"/>
    </xf>
    <xf numFmtId="0" fontId="1" fillId="12" borderId="1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chêne sessile</a:t>
            </a:r>
            <a:endParaRPr lang="fr-FR" b="1" baseline="0"/>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'[1]Quantification C'!$J$1</c:f>
              <c:strCache>
                <c:ptCount val="1"/>
                <c:pt idx="0">
                  <c:v>Biomasse totale chêne sessile
(tCO₂/ha)</c:v>
                </c:pt>
              </c:strCache>
            </c:strRef>
          </c:tx>
          <c:spPr>
            <a:ln w="19050" cap="rnd">
              <a:solidFill>
                <a:srgbClr val="92D050"/>
              </a:solidFill>
              <a:round/>
            </a:ln>
            <a:effectLst/>
          </c:spPr>
          <c:marker>
            <c:symbol val="none"/>
          </c:marker>
          <c:xVal>
            <c:numRef>
              <c:f>'[1]Quantification C'!$F$2:$F$166</c:f>
              <c:numCache>
                <c:formatCode>General</c:formatCode>
                <c:ptCount val="16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45</c:v>
                </c:pt>
                <c:pt idx="49">
                  <c:v>46</c:v>
                </c:pt>
                <c:pt idx="50">
                  <c:v>47</c:v>
                </c:pt>
                <c:pt idx="51">
                  <c:v>48</c:v>
                </c:pt>
                <c:pt idx="52">
                  <c:v>49</c:v>
                </c:pt>
                <c:pt idx="53">
                  <c:v>50</c:v>
                </c:pt>
                <c:pt idx="54">
                  <c:v>51</c:v>
                </c:pt>
                <c:pt idx="55">
                  <c:v>52</c:v>
                </c:pt>
                <c:pt idx="56">
                  <c:v>53</c:v>
                </c:pt>
                <c:pt idx="57">
                  <c:v>54</c:v>
                </c:pt>
                <c:pt idx="58">
                  <c:v>55</c:v>
                </c:pt>
                <c:pt idx="59">
                  <c:v>55</c:v>
                </c:pt>
                <c:pt idx="60">
                  <c:v>56</c:v>
                </c:pt>
                <c:pt idx="61">
                  <c:v>57</c:v>
                </c:pt>
                <c:pt idx="62">
                  <c:v>58</c:v>
                </c:pt>
                <c:pt idx="63">
                  <c:v>59</c:v>
                </c:pt>
                <c:pt idx="64">
                  <c:v>60</c:v>
                </c:pt>
                <c:pt idx="65">
                  <c:v>61</c:v>
                </c:pt>
                <c:pt idx="66">
                  <c:v>62</c:v>
                </c:pt>
                <c:pt idx="67">
                  <c:v>63</c:v>
                </c:pt>
                <c:pt idx="68">
                  <c:v>64</c:v>
                </c:pt>
                <c:pt idx="69">
                  <c:v>65</c:v>
                </c:pt>
                <c:pt idx="70">
                  <c:v>65</c:v>
                </c:pt>
                <c:pt idx="71">
                  <c:v>66</c:v>
                </c:pt>
                <c:pt idx="72">
                  <c:v>67</c:v>
                </c:pt>
                <c:pt idx="73">
                  <c:v>68</c:v>
                </c:pt>
                <c:pt idx="74">
                  <c:v>69</c:v>
                </c:pt>
                <c:pt idx="75">
                  <c:v>70</c:v>
                </c:pt>
                <c:pt idx="76">
                  <c:v>71</c:v>
                </c:pt>
                <c:pt idx="77">
                  <c:v>72</c:v>
                </c:pt>
                <c:pt idx="78">
                  <c:v>73</c:v>
                </c:pt>
                <c:pt idx="79">
                  <c:v>74</c:v>
                </c:pt>
                <c:pt idx="80">
                  <c:v>75</c:v>
                </c:pt>
                <c:pt idx="81">
                  <c:v>75</c:v>
                </c:pt>
                <c:pt idx="82">
                  <c:v>76</c:v>
                </c:pt>
                <c:pt idx="83">
                  <c:v>77</c:v>
                </c:pt>
                <c:pt idx="84">
                  <c:v>78</c:v>
                </c:pt>
                <c:pt idx="85">
                  <c:v>79</c:v>
                </c:pt>
                <c:pt idx="86">
                  <c:v>80</c:v>
                </c:pt>
                <c:pt idx="87">
                  <c:v>81</c:v>
                </c:pt>
                <c:pt idx="88">
                  <c:v>82</c:v>
                </c:pt>
                <c:pt idx="89">
                  <c:v>83</c:v>
                </c:pt>
                <c:pt idx="90">
                  <c:v>84</c:v>
                </c:pt>
                <c:pt idx="91">
                  <c:v>85</c:v>
                </c:pt>
                <c:pt idx="92">
                  <c:v>85</c:v>
                </c:pt>
                <c:pt idx="93">
                  <c:v>86</c:v>
                </c:pt>
                <c:pt idx="94">
                  <c:v>87</c:v>
                </c:pt>
                <c:pt idx="95">
                  <c:v>88</c:v>
                </c:pt>
                <c:pt idx="96">
                  <c:v>89</c:v>
                </c:pt>
                <c:pt idx="97">
                  <c:v>90</c:v>
                </c:pt>
                <c:pt idx="98">
                  <c:v>91</c:v>
                </c:pt>
                <c:pt idx="99">
                  <c:v>92</c:v>
                </c:pt>
                <c:pt idx="100">
                  <c:v>93</c:v>
                </c:pt>
                <c:pt idx="101">
                  <c:v>94</c:v>
                </c:pt>
                <c:pt idx="102">
                  <c:v>95</c:v>
                </c:pt>
                <c:pt idx="103">
                  <c:v>95</c:v>
                </c:pt>
                <c:pt idx="104">
                  <c:v>96</c:v>
                </c:pt>
                <c:pt idx="105">
                  <c:v>97</c:v>
                </c:pt>
                <c:pt idx="106">
                  <c:v>98</c:v>
                </c:pt>
                <c:pt idx="107">
                  <c:v>99</c:v>
                </c:pt>
                <c:pt idx="108">
                  <c:v>100</c:v>
                </c:pt>
                <c:pt idx="109">
                  <c:v>101</c:v>
                </c:pt>
                <c:pt idx="110">
                  <c:v>102</c:v>
                </c:pt>
                <c:pt idx="111">
                  <c:v>103</c:v>
                </c:pt>
                <c:pt idx="112">
                  <c:v>104</c:v>
                </c:pt>
                <c:pt idx="113">
                  <c:v>105</c:v>
                </c:pt>
                <c:pt idx="114">
                  <c:v>105</c:v>
                </c:pt>
                <c:pt idx="115">
                  <c:v>106</c:v>
                </c:pt>
                <c:pt idx="116">
                  <c:v>107</c:v>
                </c:pt>
                <c:pt idx="117">
                  <c:v>108</c:v>
                </c:pt>
                <c:pt idx="118">
                  <c:v>109</c:v>
                </c:pt>
                <c:pt idx="119">
                  <c:v>110</c:v>
                </c:pt>
                <c:pt idx="120">
                  <c:v>111</c:v>
                </c:pt>
                <c:pt idx="121">
                  <c:v>112</c:v>
                </c:pt>
                <c:pt idx="122">
                  <c:v>113</c:v>
                </c:pt>
                <c:pt idx="123">
                  <c:v>114</c:v>
                </c:pt>
                <c:pt idx="124">
                  <c:v>115</c:v>
                </c:pt>
                <c:pt idx="125">
                  <c:v>115</c:v>
                </c:pt>
                <c:pt idx="126">
                  <c:v>116</c:v>
                </c:pt>
                <c:pt idx="127">
                  <c:v>117</c:v>
                </c:pt>
                <c:pt idx="128">
                  <c:v>118</c:v>
                </c:pt>
                <c:pt idx="129">
                  <c:v>119</c:v>
                </c:pt>
                <c:pt idx="130">
                  <c:v>120</c:v>
                </c:pt>
                <c:pt idx="131">
                  <c:v>121</c:v>
                </c:pt>
                <c:pt idx="132">
                  <c:v>122</c:v>
                </c:pt>
                <c:pt idx="133">
                  <c:v>123</c:v>
                </c:pt>
                <c:pt idx="134">
                  <c:v>124</c:v>
                </c:pt>
                <c:pt idx="135">
                  <c:v>125</c:v>
                </c:pt>
                <c:pt idx="136">
                  <c:v>125</c:v>
                </c:pt>
                <c:pt idx="137">
                  <c:v>126</c:v>
                </c:pt>
                <c:pt idx="138">
                  <c:v>127</c:v>
                </c:pt>
                <c:pt idx="139">
                  <c:v>128</c:v>
                </c:pt>
                <c:pt idx="140">
                  <c:v>129</c:v>
                </c:pt>
                <c:pt idx="141">
                  <c:v>130</c:v>
                </c:pt>
                <c:pt idx="142">
                  <c:v>131</c:v>
                </c:pt>
                <c:pt idx="143">
                  <c:v>132</c:v>
                </c:pt>
                <c:pt idx="144">
                  <c:v>133</c:v>
                </c:pt>
                <c:pt idx="145">
                  <c:v>134</c:v>
                </c:pt>
                <c:pt idx="146">
                  <c:v>135</c:v>
                </c:pt>
                <c:pt idx="147">
                  <c:v>135</c:v>
                </c:pt>
                <c:pt idx="148">
                  <c:v>136</c:v>
                </c:pt>
                <c:pt idx="149">
                  <c:v>137</c:v>
                </c:pt>
                <c:pt idx="150">
                  <c:v>138</c:v>
                </c:pt>
                <c:pt idx="151">
                  <c:v>139</c:v>
                </c:pt>
                <c:pt idx="152">
                  <c:v>140</c:v>
                </c:pt>
                <c:pt idx="153">
                  <c:v>141</c:v>
                </c:pt>
                <c:pt idx="154">
                  <c:v>142</c:v>
                </c:pt>
                <c:pt idx="155">
                  <c:v>143</c:v>
                </c:pt>
                <c:pt idx="156">
                  <c:v>144</c:v>
                </c:pt>
                <c:pt idx="157">
                  <c:v>145</c:v>
                </c:pt>
                <c:pt idx="158">
                  <c:v>146</c:v>
                </c:pt>
                <c:pt idx="159">
                  <c:v>147</c:v>
                </c:pt>
                <c:pt idx="160">
                  <c:v>148</c:v>
                </c:pt>
                <c:pt idx="161">
                  <c:v>149</c:v>
                </c:pt>
                <c:pt idx="162">
                  <c:v>150</c:v>
                </c:pt>
                <c:pt idx="163">
                  <c:v>150</c:v>
                </c:pt>
              </c:numCache>
            </c:numRef>
          </c:xVal>
          <c:yVal>
            <c:numRef>
              <c:f>'[1]Quantification C'!$J$2:$J$166</c:f>
              <c:numCache>
                <c:formatCode>General</c:formatCode>
                <c:ptCount val="165"/>
                <c:pt idx="0">
                  <c:v>0</c:v>
                </c:pt>
                <c:pt idx="1">
                  <c:v>1.1861626566213483</c:v>
                </c:pt>
                <c:pt idx="2">
                  <c:v>2.3105886501740986</c:v>
                </c:pt>
                <c:pt idx="3">
                  <c:v>3.4150768005423173</c:v>
                </c:pt>
                <c:pt idx="4">
                  <c:v>4.5072748004691539</c:v>
                </c:pt>
                <c:pt idx="5">
                  <c:v>5.5906488350137495</c:v>
                </c:pt>
                <c:pt idx="6">
                  <c:v>6.6671761608511035</c:v>
                </c:pt>
                <c:pt idx="7">
                  <c:v>8.8044025208429719</c:v>
                </c:pt>
                <c:pt idx="8">
                  <c:v>10.925348899606076</c:v>
                </c:pt>
                <c:pt idx="9">
                  <c:v>13.033663283069531</c:v>
                </c:pt>
                <c:pt idx="10">
                  <c:v>15.131697386710426</c:v>
                </c:pt>
                <c:pt idx="11">
                  <c:v>17.221089273204196</c:v>
                </c:pt>
                <c:pt idx="12">
                  <c:v>19.303042939455146</c:v>
                </c:pt>
                <c:pt idx="13">
                  <c:v>21.378479131358745</c:v>
                </c:pt>
                <c:pt idx="14">
                  <c:v>25.512563294459923</c:v>
                </c:pt>
                <c:pt idx="15">
                  <c:v>31.679106437289079</c:v>
                </c:pt>
                <c:pt idx="16">
                  <c:v>39.850427353608758</c:v>
                </c:pt>
                <c:pt idx="17">
                  <c:v>50.00160312094232</c:v>
                </c:pt>
                <c:pt idx="18">
                  <c:v>62.111611813038422</c:v>
                </c:pt>
                <c:pt idx="19">
                  <c:v>76.163060165576709</c:v>
                </c:pt>
                <c:pt idx="20">
                  <c:v>86.158510470515964</c:v>
                </c:pt>
                <c:pt idx="21">
                  <c:v>97.318927922969621</c:v>
                </c:pt>
                <c:pt idx="22">
                  <c:v>108.4475019129206</c:v>
                </c:pt>
                <c:pt idx="23">
                  <c:v>119.54796628555846</c:v>
                </c:pt>
                <c:pt idx="24">
                  <c:v>130.62330272297189</c:v>
                </c:pt>
                <c:pt idx="25">
                  <c:v>141.67594470663133</c:v>
                </c:pt>
                <c:pt idx="26">
                  <c:v>125.87964006712114</c:v>
                </c:pt>
                <c:pt idx="27">
                  <c:v>139.70382844505221</c:v>
                </c:pt>
                <c:pt idx="28">
                  <c:v>153.49516770691636</c:v>
                </c:pt>
                <c:pt idx="29">
                  <c:v>167.25702755094338</c:v>
                </c:pt>
                <c:pt idx="30">
                  <c:v>180.99217685858619</c:v>
                </c:pt>
                <c:pt idx="31">
                  <c:v>194.70292931794017</c:v>
                </c:pt>
                <c:pt idx="32">
                  <c:v>210.34498910896306</c:v>
                </c:pt>
                <c:pt idx="33">
                  <c:v>225.96022281826015</c:v>
                </c:pt>
                <c:pt idx="34">
                  <c:v>241.5507456503326</c:v>
                </c:pt>
                <c:pt idx="35">
                  <c:v>257.11837729187425</c:v>
                </c:pt>
                <c:pt idx="36">
                  <c:v>272.6646989766358</c:v>
                </c:pt>
                <c:pt idx="37">
                  <c:v>190.78794083960554</c:v>
                </c:pt>
                <c:pt idx="38">
                  <c:v>207.21879690654114</c:v>
                </c:pt>
                <c:pt idx="39">
                  <c:v>223.61956111075634</c:v>
                </c:pt>
                <c:pt idx="40">
                  <c:v>239.99275146392384</c:v>
                </c:pt>
                <c:pt idx="41">
                  <c:v>256.34051411178768</c:v>
                </c:pt>
                <c:pt idx="42">
                  <c:v>272.6646989766358</c:v>
                </c:pt>
                <c:pt idx="43">
                  <c:v>288.96691630985214</c:v>
                </c:pt>
                <c:pt idx="44">
                  <c:v>305.24857979967942</c:v>
                </c:pt>
                <c:pt idx="45">
                  <c:v>321.51093999187793</c:v>
                </c:pt>
                <c:pt idx="46">
                  <c:v>337.75511058999291</c:v>
                </c:pt>
                <c:pt idx="47">
                  <c:v>353.98208942867717</c:v>
                </c:pt>
                <c:pt idx="48">
                  <c:v>272.6646989766358</c:v>
                </c:pt>
                <c:pt idx="49">
                  <c:v>288.57901240448899</c:v>
                </c:pt>
                <c:pt idx="50">
                  <c:v>304.47370954373423</c:v>
                </c:pt>
                <c:pt idx="51">
                  <c:v>320.34995854628932</c:v>
                </c:pt>
                <c:pt idx="52">
                  <c:v>336.20880231759617</c:v>
                </c:pt>
                <c:pt idx="53">
                  <c:v>352.05117734371055</c:v>
                </c:pt>
                <c:pt idx="54">
                  <c:v>367.49209034996028</c:v>
                </c:pt>
                <c:pt idx="55">
                  <c:v>382.9188457551441</c:v>
                </c:pt>
                <c:pt idx="56">
                  <c:v>398.33209414857441</c:v>
                </c:pt>
                <c:pt idx="57">
                  <c:v>413.73243167051174</c:v>
                </c:pt>
                <c:pt idx="58">
                  <c:v>429.1204064684805</c:v>
                </c:pt>
                <c:pt idx="59">
                  <c:v>348.18865493629556</c:v>
                </c:pt>
                <c:pt idx="60">
                  <c:v>362.8613341480654</c:v>
                </c:pt>
                <c:pt idx="61">
                  <c:v>377.52104986809326</c:v>
                </c:pt>
                <c:pt idx="62">
                  <c:v>392.16837634017293</c:v>
                </c:pt>
                <c:pt idx="63">
                  <c:v>406.80384141548689</c:v>
                </c:pt>
                <c:pt idx="64">
                  <c:v>421.42793186976104</c:v>
                </c:pt>
                <c:pt idx="65">
                  <c:v>435.27224940464242</c:v>
                </c:pt>
                <c:pt idx="66">
                  <c:v>449.10711821530077</c:v>
                </c:pt>
                <c:pt idx="67">
                  <c:v>462.93287033289994</c:v>
                </c:pt>
                <c:pt idx="68">
                  <c:v>476.74981634160116</c:v>
                </c:pt>
                <c:pt idx="69">
                  <c:v>490.55824735832425</c:v>
                </c:pt>
                <c:pt idx="70">
                  <c:v>409.88352694182043</c:v>
                </c:pt>
                <c:pt idx="71">
                  <c:v>422.96666682108599</c:v>
                </c:pt>
                <c:pt idx="72">
                  <c:v>436.04109794385869</c:v>
                </c:pt>
                <c:pt idx="73">
                  <c:v>449.10711821530077</c:v>
                </c:pt>
                <c:pt idx="74">
                  <c:v>462.16500679362116</c:v>
                </c:pt>
                <c:pt idx="75">
                  <c:v>475.21502577729046</c:v>
                </c:pt>
                <c:pt idx="76">
                  <c:v>487.10692264565654</c:v>
                </c:pt>
                <c:pt idx="77">
                  <c:v>498.99265901764267</c:v>
                </c:pt>
                <c:pt idx="78">
                  <c:v>510.87240230317917</c:v>
                </c:pt>
                <c:pt idx="79">
                  <c:v>522.74631149207426</c:v>
                </c:pt>
                <c:pt idx="80">
                  <c:v>534.61453776319547</c:v>
                </c:pt>
                <c:pt idx="81">
                  <c:v>454.10078588624373</c:v>
                </c:pt>
                <c:pt idx="82">
                  <c:v>465.62017905920681</c:v>
                </c:pt>
                <c:pt idx="83">
                  <c:v>477.13349754486762</c:v>
                </c:pt>
                <c:pt idx="84">
                  <c:v>488.64090858857702</c:v>
                </c:pt>
                <c:pt idx="85">
                  <c:v>500.14257091604287</c:v>
                </c:pt>
                <c:pt idx="86">
                  <c:v>511.63863535742718</c:v>
                </c:pt>
                <c:pt idx="87">
                  <c:v>522.74631149207426</c:v>
                </c:pt>
                <c:pt idx="88">
                  <c:v>533.84901440052897</c:v>
                </c:pt>
                <c:pt idx="89">
                  <c:v>544.94686208460519</c:v>
                </c:pt>
                <c:pt idx="90">
                  <c:v>556.03996734839518</c:v>
                </c:pt>
                <c:pt idx="91">
                  <c:v>567.12843812854373</c:v>
                </c:pt>
                <c:pt idx="92">
                  <c:v>486.72341015001916</c:v>
                </c:pt>
                <c:pt idx="93">
                  <c:v>497.07601440225955</c:v>
                </c:pt>
                <c:pt idx="94">
                  <c:v>507.42405248193251</c:v>
                </c:pt>
                <c:pt idx="95">
                  <c:v>517.76763064124975</c:v>
                </c:pt>
                <c:pt idx="96">
                  <c:v>528.10685054075066</c:v>
                </c:pt>
                <c:pt idx="97">
                  <c:v>538.44180953565854</c:v>
                </c:pt>
                <c:pt idx="98">
                  <c:v>548.00749806060492</c:v>
                </c:pt>
                <c:pt idx="99">
                  <c:v>557.56968475025803</c:v>
                </c:pt>
                <c:pt idx="100">
                  <c:v>567.12843812854373</c:v>
                </c:pt>
                <c:pt idx="101">
                  <c:v>576.68382422111188</c:v>
                </c:pt>
                <c:pt idx="102">
                  <c:v>586.23590668718828</c:v>
                </c:pt>
                <c:pt idx="103">
                  <c:v>505.89129373820583</c:v>
                </c:pt>
                <c:pt idx="104">
                  <c:v>515.08638473795327</c:v>
                </c:pt>
                <c:pt idx="105">
                  <c:v>524.27801174542878</c:v>
                </c:pt>
                <c:pt idx="106">
                  <c:v>533.46624406259446</c:v>
                </c:pt>
                <c:pt idx="107">
                  <c:v>542.65114840915601</c:v>
                </c:pt>
                <c:pt idx="108">
                  <c:v>551.83278906179714</c:v>
                </c:pt>
                <c:pt idx="109">
                  <c:v>560.62885616584492</c:v>
                </c:pt>
                <c:pt idx="110">
                  <c:v>569.42203544921153</c:v>
                </c:pt>
                <c:pt idx="111">
                  <c:v>578.21237779735463</c:v>
                </c:pt>
                <c:pt idx="112">
                  <c:v>586.99993242228993</c:v>
                </c:pt>
                <c:pt idx="113">
                  <c:v>595.7847469423931</c:v>
                </c:pt>
                <c:pt idx="114">
                  <c:v>517.38461348648968</c:v>
                </c:pt>
                <c:pt idx="115">
                  <c:v>525.42672503969118</c:v>
                </c:pt>
                <c:pt idx="116">
                  <c:v>533.46624406259446</c:v>
                </c:pt>
                <c:pt idx="117">
                  <c:v>541.50321514452025</c:v>
                </c:pt>
                <c:pt idx="118">
                  <c:v>549.53768144295771</c:v>
                </c:pt>
                <c:pt idx="119">
                  <c:v>557.56968475025803</c:v>
                </c:pt>
                <c:pt idx="120">
                  <c:v>564.83464686291802</c:v>
                </c:pt>
                <c:pt idx="121">
                  <c:v>572.09765505476253</c:v>
                </c:pt>
                <c:pt idx="122">
                  <c:v>579.35873763530469</c:v>
                </c:pt>
                <c:pt idx="123">
                  <c:v>586.61792214643719</c:v>
                </c:pt>
                <c:pt idx="124">
                  <c:v>593.87523539269284</c:v>
                </c:pt>
                <c:pt idx="125">
                  <c:v>523.12924541243819</c:v>
                </c:pt>
                <c:pt idx="126">
                  <c:v>530.02105046908662</c:v>
                </c:pt>
                <c:pt idx="127">
                  <c:v>536.91096968482668</c:v>
                </c:pt>
                <c:pt idx="128">
                  <c:v>543.79903068153806</c:v>
                </c:pt>
                <c:pt idx="129">
                  <c:v>550.68526032404009</c:v>
                </c:pt>
                <c:pt idx="130">
                  <c:v>557.56968475025803</c:v>
                </c:pt>
                <c:pt idx="131">
                  <c:v>563.68767821983909</c:v>
                </c:pt>
                <c:pt idx="132">
                  <c:v>569.80428287631264</c:v>
                </c:pt>
                <c:pt idx="133">
                  <c:v>575.91951573593758</c:v>
                </c:pt>
                <c:pt idx="134">
                  <c:v>582.03339342401421</c:v>
                </c:pt>
                <c:pt idx="135">
                  <c:v>588.14593218796983</c:v>
                </c:pt>
                <c:pt idx="136">
                  <c:v>525.04382649327351</c:v>
                </c:pt>
                <c:pt idx="137">
                  <c:v>531.1695005439999</c:v>
                </c:pt>
                <c:pt idx="138">
                  <c:v>537.29368823845232</c:v>
                </c:pt>
                <c:pt idx="139">
                  <c:v>543.4164089156161</c:v>
                </c:pt>
                <c:pt idx="140">
                  <c:v>549.53768144295771</c:v>
                </c:pt>
                <c:pt idx="141">
                  <c:v>555.65752423315951</c:v>
                </c:pt>
                <c:pt idx="142">
                  <c:v>561.01122798366885</c:v>
                </c:pt>
                <c:pt idx="143">
                  <c:v>566.36386263371833</c:v>
                </c:pt>
                <c:pt idx="144">
                  <c:v>571.71543971696565</c:v>
                </c:pt>
                <c:pt idx="145">
                  <c:v>577.06597053344126</c:v>
                </c:pt>
                <c:pt idx="146">
                  <c:v>582.4154661564512</c:v>
                </c:pt>
                <c:pt idx="147">
                  <c:v>526.95826048952063</c:v>
                </c:pt>
                <c:pt idx="148">
                  <c:v>531.93510488968684</c:v>
                </c:pt>
                <c:pt idx="149">
                  <c:v>536.91096968482668</c:v>
                </c:pt>
                <c:pt idx="150">
                  <c:v>541.88586523948345</c:v>
                </c:pt>
                <c:pt idx="151">
                  <c:v>546.8598017122614</c:v>
                </c:pt>
                <c:pt idx="152">
                  <c:v>551.83278906179714</c:v>
                </c:pt>
                <c:pt idx="153">
                  <c:v>556.80483705250049</c:v>
                </c:pt>
                <c:pt idx="154">
                  <c:v>561.7759552600827</c:v>
                </c:pt>
                <c:pt idx="155">
                  <c:v>566.7461530768777</c:v>
                </c:pt>
                <c:pt idx="156">
                  <c:v>571.71543971696565</c:v>
                </c:pt>
                <c:pt idx="157">
                  <c:v>576.68382422111188</c:v>
                </c:pt>
                <c:pt idx="158">
                  <c:v>580.88714383067781</c:v>
                </c:pt>
                <c:pt idx="159">
                  <c:v>585.08982917045773</c:v>
                </c:pt>
                <c:pt idx="160">
                  <c:v>589.29188544145154</c:v>
                </c:pt>
                <c:pt idx="161">
                  <c:v>593.49331776439851</c:v>
                </c:pt>
                <c:pt idx="162">
                  <c:v>597.6941311815882</c:v>
                </c:pt>
                <c:pt idx="163">
                  <c:v>0</c:v>
                </c:pt>
              </c:numCache>
            </c:numRef>
          </c:yVal>
          <c:smooth val="1"/>
          <c:extLst>
            <c:ext xmlns:c16="http://schemas.microsoft.com/office/drawing/2014/chart" uri="{C3380CC4-5D6E-409C-BE32-E72D297353CC}">
              <c16:uniqueId val="{00000000-1DA6-46D5-B5CA-FB35BAAFC1D2}"/>
            </c:ext>
          </c:extLst>
        </c:ser>
        <c:ser>
          <c:idx val="2"/>
          <c:order val="1"/>
          <c:tx>
            <c:strRef>
              <c:f>'[1]Quantification C'!$E$1</c:f>
              <c:strCache>
                <c:ptCount val="1"/>
                <c:pt idx="0">
                  <c:v>Biomasse 
totale accrus (tCO₂/ha)</c:v>
                </c:pt>
              </c:strCache>
            </c:strRef>
          </c:tx>
          <c:spPr>
            <a:ln w="19050" cap="rnd">
              <a:solidFill>
                <a:srgbClr val="00B0F0"/>
              </a:solidFill>
              <a:round/>
            </a:ln>
            <a:effectLst/>
          </c:spPr>
          <c:marker>
            <c:symbol val="none"/>
          </c:marker>
          <c:xVal>
            <c:numRef>
              <c:f>'[1]Quantification C'!$A$2:$A$152</c:f>
              <c:numCache>
                <c:formatCode>General</c:formatCode>
                <c:ptCount val="15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pt idx="111">
                  <c:v>111</c:v>
                </c:pt>
                <c:pt idx="112">
                  <c:v>112</c:v>
                </c:pt>
                <c:pt idx="113">
                  <c:v>113</c:v>
                </c:pt>
                <c:pt idx="114">
                  <c:v>114</c:v>
                </c:pt>
                <c:pt idx="115">
                  <c:v>115</c:v>
                </c:pt>
                <c:pt idx="116">
                  <c:v>116</c:v>
                </c:pt>
                <c:pt idx="117">
                  <c:v>117</c:v>
                </c:pt>
                <c:pt idx="118">
                  <c:v>118</c:v>
                </c:pt>
                <c:pt idx="119">
                  <c:v>119</c:v>
                </c:pt>
                <c:pt idx="120">
                  <c:v>120</c:v>
                </c:pt>
                <c:pt idx="121">
                  <c:v>121</c:v>
                </c:pt>
                <c:pt idx="122">
                  <c:v>122</c:v>
                </c:pt>
                <c:pt idx="123">
                  <c:v>123</c:v>
                </c:pt>
                <c:pt idx="124">
                  <c:v>124</c:v>
                </c:pt>
                <c:pt idx="125">
                  <c:v>125</c:v>
                </c:pt>
                <c:pt idx="126">
                  <c:v>126</c:v>
                </c:pt>
                <c:pt idx="127">
                  <c:v>127</c:v>
                </c:pt>
                <c:pt idx="128">
                  <c:v>128</c:v>
                </c:pt>
                <c:pt idx="129">
                  <c:v>129</c:v>
                </c:pt>
                <c:pt idx="130">
                  <c:v>130</c:v>
                </c:pt>
                <c:pt idx="131">
                  <c:v>131</c:v>
                </c:pt>
                <c:pt idx="132">
                  <c:v>132</c:v>
                </c:pt>
                <c:pt idx="133">
                  <c:v>133</c:v>
                </c:pt>
                <c:pt idx="134">
                  <c:v>134</c:v>
                </c:pt>
                <c:pt idx="135">
                  <c:v>135</c:v>
                </c:pt>
                <c:pt idx="136">
                  <c:v>136</c:v>
                </c:pt>
                <c:pt idx="137">
                  <c:v>137</c:v>
                </c:pt>
                <c:pt idx="138">
                  <c:v>138</c:v>
                </c:pt>
                <c:pt idx="139">
                  <c:v>139</c:v>
                </c:pt>
                <c:pt idx="140">
                  <c:v>140</c:v>
                </c:pt>
                <c:pt idx="141">
                  <c:v>141</c:v>
                </c:pt>
                <c:pt idx="142">
                  <c:v>142</c:v>
                </c:pt>
                <c:pt idx="143">
                  <c:v>143</c:v>
                </c:pt>
                <c:pt idx="144">
                  <c:v>144</c:v>
                </c:pt>
                <c:pt idx="145">
                  <c:v>145</c:v>
                </c:pt>
                <c:pt idx="146">
                  <c:v>146</c:v>
                </c:pt>
                <c:pt idx="147">
                  <c:v>147</c:v>
                </c:pt>
                <c:pt idx="148">
                  <c:v>148</c:v>
                </c:pt>
                <c:pt idx="149">
                  <c:v>149</c:v>
                </c:pt>
                <c:pt idx="150">
                  <c:v>150</c:v>
                </c:pt>
              </c:numCache>
            </c:numRef>
          </c:xVal>
          <c:yVal>
            <c:numRef>
              <c:f>'[1]Quantification C'!$E$2:$E$152</c:f>
              <c:numCache>
                <c:formatCode>General</c:formatCode>
                <c:ptCount val="151"/>
                <c:pt idx="0">
                  <c:v>0</c:v>
                </c:pt>
                <c:pt idx="1">
                  <c:v>2.2722141346836602</c:v>
                </c:pt>
                <c:pt idx="2">
                  <c:v>4.4322627676630342</c:v>
                </c:pt>
                <c:pt idx="3">
                  <c:v>6.5560875739478979</c:v>
                </c:pt>
                <c:pt idx="4">
                  <c:v>8.6575831706227913</c:v>
                </c:pt>
                <c:pt idx="5">
                  <c:v>10.743047053646096</c:v>
                </c:pt>
                <c:pt idx="6">
                  <c:v>12.816071577640278</c:v>
                </c:pt>
                <c:pt idx="7">
                  <c:v>14.87897259473001</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35.172319671970541</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55.125487819385427</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76.853424242090853</c:v>
                </c:pt>
                <c:pt idx="39">
                  <c:v>78.820101157900638</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96.467953961397711</c:v>
                </c:pt>
                <c:pt idx="49">
                  <c:v>98.423545555293359</c:v>
                </c:pt>
                <c:pt idx="50">
                  <c:v>100.37817162662895</c:v>
                </c:pt>
                <c:pt idx="51">
                  <c:v>102.33185371141566</c:v>
                </c:pt>
                <c:pt idx="52">
                  <c:v>104.28461245280987</c:v>
                </c:pt>
                <c:pt idx="53">
                  <c:v>106.23646765457613</c:v>
                </c:pt>
                <c:pt idx="54">
                  <c:v>108.18743833040095</c:v>
                </c:pt>
                <c:pt idx="55">
                  <c:v>110.13754274945018</c:v>
                </c:pt>
                <c:pt idx="56">
                  <c:v>112.08679847851977</c:v>
                </c:pt>
                <c:pt idx="57">
                  <c:v>114.03522242109018</c:v>
                </c:pt>
                <c:pt idx="58">
                  <c:v>115.98283085356282</c:v>
                </c:pt>
                <c:pt idx="59">
                  <c:v>117.92963945892645</c:v>
                </c:pt>
                <c:pt idx="60">
                  <c:v>119.87566335807644</c:v>
                </c:pt>
                <c:pt idx="61">
                  <c:v>121.82091713898713</c:v>
                </c:pt>
                <c:pt idx="62">
                  <c:v>123.7654148839167</c:v>
                </c:pt>
                <c:pt idx="63">
                  <c:v>125.70917019480748</c:v>
                </c:pt>
                <c:pt idx="64">
                  <c:v>127.65219621702742</c:v>
                </c:pt>
                <c:pt idx="65">
                  <c:v>129.59450566158586</c:v>
                </c:pt>
                <c:pt idx="66">
                  <c:v>131.53611082594338</c:v>
                </c:pt>
                <c:pt idx="67">
                  <c:v>133.47702361352444</c:v>
                </c:pt>
                <c:pt idx="68">
                  <c:v>135.41725555203229</c:v>
                </c:pt>
                <c:pt idx="69">
                  <c:v>137.35681781065566</c:v>
                </c:pt>
                <c:pt idx="70">
                  <c:v>139.29572121624977</c:v>
                </c:pt>
                <c:pt idx="71">
                  <c:v>141.23397626856661</c:v>
                </c:pt>
                <c:pt idx="72">
                  <c:v>143.17159315460216</c:v>
                </c:pt>
                <c:pt idx="73">
                  <c:v>145.10858176212471</c:v>
                </c:pt>
                <c:pt idx="74">
                  <c:v>147.04495169244021</c:v>
                </c:pt>
                <c:pt idx="75">
                  <c:v>148.98071227244827</c:v>
                </c:pt>
                <c:pt idx="76">
                  <c:v>150.91587256603665</c:v>
                </c:pt>
                <c:pt idx="77">
                  <c:v>152.85044138485929</c:v>
                </c:pt>
                <c:pt idx="78">
                  <c:v>154.78442729853825</c:v>
                </c:pt>
                <c:pt idx="79">
                  <c:v>156.7178386443274</c:v>
                </c:pt>
                <c:pt idx="80">
                  <c:v>158.65068353627368</c:v>
                </c:pt>
                <c:pt idx="81">
                  <c:v>160.58296987390614</c:v>
                </c:pt>
                <c:pt idx="82">
                  <c:v>162.51470535048455</c:v>
                </c:pt>
                <c:pt idx="83">
                  <c:v>164.44589746083363</c:v>
                </c:pt>
                <c:pt idx="84">
                  <c:v>166.37655350878956</c:v>
                </c:pt>
                <c:pt idx="85">
                  <c:v>168.30668061428082</c:v>
                </c:pt>
                <c:pt idx="86">
                  <c:v>170.23628572006746</c:v>
                </c:pt>
                <c:pt idx="87">
                  <c:v>172.165375598157</c:v>
                </c:pt>
                <c:pt idx="88">
                  <c:v>174.09395685591764</c:v>
                </c:pt>
                <c:pt idx="89">
                  <c:v>176.02203594190519</c:v>
                </c:pt>
                <c:pt idx="90">
                  <c:v>177.94961915142096</c:v>
                </c:pt>
                <c:pt idx="91">
                  <c:v>179.87671263181528</c:v>
                </c:pt>
                <c:pt idx="92">
                  <c:v>181.80332238755173</c:v>
                </c:pt>
                <c:pt idx="93">
                  <c:v>183.72945428504417</c:v>
                </c:pt>
                <c:pt idx="94">
                  <c:v>185.65511405728049</c:v>
                </c:pt>
                <c:pt idx="95">
                  <c:v>187.5803073082437</c:v>
                </c:pt>
                <c:pt idx="96">
                  <c:v>189.50503951714131</c:v>
                </c:pt>
                <c:pt idx="97">
                  <c:v>191.42931604245396</c:v>
                </c:pt>
                <c:pt idx="98">
                  <c:v>193.35314212581196</c:v>
                </c:pt>
                <c:pt idx="99">
                  <c:v>195.27652289570918</c:v>
                </c:pt>
                <c:pt idx="100">
                  <c:v>197.19946337106239</c:v>
                </c:pt>
                <c:pt idx="101">
                  <c:v>199.12196846462484</c:v>
                </c:pt>
                <c:pt idx="102">
                  <c:v>201.04404298625983</c:v>
                </c:pt>
                <c:pt idx="103">
                  <c:v>202.96569164608289</c:v>
                </c:pt>
                <c:pt idx="104">
                  <c:v>204.88691905747837</c:v>
                </c:pt>
                <c:pt idx="105">
                  <c:v>206.80772973999626</c:v>
                </c:pt>
                <c:pt idx="106">
                  <c:v>208.72812812213627</c:v>
                </c:pt>
                <c:pt idx="107">
                  <c:v>210.64811854402308</c:v>
                </c:pt>
                <c:pt idx="108">
                  <c:v>212.56770525997899</c:v>
                </c:pt>
                <c:pt idx="109">
                  <c:v>214.48689244099899</c:v>
                </c:pt>
                <c:pt idx="110">
                  <c:v>216.40568417713132</c:v>
                </c:pt>
                <c:pt idx="111">
                  <c:v>218.32408447977059</c:v>
                </c:pt>
                <c:pt idx="112">
                  <c:v>220.24209728386407</c:v>
                </c:pt>
                <c:pt idx="113">
                  <c:v>222.15972645003862</c:v>
                </c:pt>
                <c:pt idx="114">
                  <c:v>224.0769757666487</c:v>
                </c:pt>
                <c:pt idx="115">
                  <c:v>225.99384895175194</c:v>
                </c:pt>
                <c:pt idx="116">
                  <c:v>227.91034965501251</c:v>
                </c:pt>
                <c:pt idx="117">
                  <c:v>229.8264814595382</c:v>
                </c:pt>
                <c:pt idx="118">
                  <c:v>231.7422478836522</c:v>
                </c:pt>
                <c:pt idx="119">
                  <c:v>233.65765238260346</c:v>
                </c:pt>
                <c:pt idx="120">
                  <c:v>235.57269835021734</c:v>
                </c:pt>
                <c:pt idx="121">
                  <c:v>237.48738912049089</c:v>
                </c:pt>
                <c:pt idx="122">
                  <c:v>239.40172796913217</c:v>
                </c:pt>
                <c:pt idx="123">
                  <c:v>241.31571811504921</c:v>
                </c:pt>
                <c:pt idx="124">
                  <c:v>243.22936272178819</c:v>
                </c:pt>
                <c:pt idx="125">
                  <c:v>245.14266489892438</c:v>
                </c:pt>
                <c:pt idx="126">
                  <c:v>247.05562770340683</c:v>
                </c:pt>
                <c:pt idx="127">
                  <c:v>248.96825414086001</c:v>
                </c:pt>
                <c:pt idx="128">
                  <c:v>250.88054716684209</c:v>
                </c:pt>
                <c:pt idx="129">
                  <c:v>252.79250968806375</c:v>
                </c:pt>
                <c:pt idx="130">
                  <c:v>254.70414456356775</c:v>
                </c:pt>
                <c:pt idx="131">
                  <c:v>256.61545460587098</c:v>
                </c:pt>
                <c:pt idx="132">
                  <c:v>258.52644258207124</c:v>
                </c:pt>
                <c:pt idx="133">
                  <c:v>260.43711121491833</c:v>
                </c:pt>
                <c:pt idx="134">
                  <c:v>262.34746318385379</c:v>
                </c:pt>
                <c:pt idx="135">
                  <c:v>264.25750112601685</c:v>
                </c:pt>
                <c:pt idx="136">
                  <c:v>266.16722763722106</c:v>
                </c:pt>
                <c:pt idx="137">
                  <c:v>268.07664527290075</c:v>
                </c:pt>
                <c:pt idx="138">
                  <c:v>269.98575654902891</c:v>
                </c:pt>
                <c:pt idx="139">
                  <c:v>271.89456394300873</c:v>
                </c:pt>
                <c:pt idx="140">
                  <c:v>273.80306989453715</c:v>
                </c:pt>
                <c:pt idx="141">
                  <c:v>275.71127680644446</c:v>
                </c:pt>
                <c:pt idx="142">
                  <c:v>277.6191870455084</c:v>
                </c:pt>
                <c:pt idx="143">
                  <c:v>279.52680294324551</c:v>
                </c:pt>
                <c:pt idx="144">
                  <c:v>281.43412679667932</c:v>
                </c:pt>
                <c:pt idx="145">
                  <c:v>283.34116086908551</c:v>
                </c:pt>
                <c:pt idx="146">
                  <c:v>285.24790739071892</c:v>
                </c:pt>
                <c:pt idx="147">
                  <c:v>287.15436855951606</c:v>
                </c:pt>
                <c:pt idx="148">
                  <c:v>289.06054654178126</c:v>
                </c:pt>
                <c:pt idx="149">
                  <c:v>290.9664434728524</c:v>
                </c:pt>
                <c:pt idx="150">
                  <c:v>292.8720614577478</c:v>
                </c:pt>
              </c:numCache>
            </c:numRef>
          </c:yVal>
          <c:smooth val="1"/>
          <c:extLst>
            <c:ext xmlns:c16="http://schemas.microsoft.com/office/drawing/2014/chart" uri="{C3380CC4-5D6E-409C-BE32-E72D297353CC}">
              <c16:uniqueId val="{00000001-1DA6-46D5-B5CA-FB35BAAFC1D2}"/>
            </c:ext>
          </c:extLst>
        </c:ser>
        <c:dLbls>
          <c:showLegendKey val="0"/>
          <c:showVal val="0"/>
          <c:showCatName val="0"/>
          <c:showSerName val="0"/>
          <c:showPercent val="0"/>
          <c:showBubbleSize val="0"/>
        </c:dLbls>
        <c:axId val="-1480109312"/>
        <c:axId val="-1480106592"/>
      </c:scatterChart>
      <c:valAx>
        <c:axId val="-1480109312"/>
        <c:scaling>
          <c:orientation val="minMax"/>
          <c:max val="154"/>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106592"/>
        <c:crosses val="autoZero"/>
        <c:crossBetween val="midCat"/>
      </c:valAx>
      <c:valAx>
        <c:axId val="-1480106592"/>
        <c:scaling>
          <c:orientation val="minMax"/>
          <c:max val="6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1093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tilleul (fertilité 3/6)</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'[2]Quantification C'!$J$1</c:f>
              <c:strCache>
                <c:ptCount val="1"/>
                <c:pt idx="0">
                  <c:v>Biomasse totale tilleul
(tCO₂/ha)</c:v>
                </c:pt>
              </c:strCache>
            </c:strRef>
          </c:tx>
          <c:spPr>
            <a:ln w="19050" cap="rnd">
              <a:solidFill>
                <a:schemeClr val="accent1"/>
              </a:solidFill>
              <a:round/>
            </a:ln>
            <a:effectLst/>
          </c:spPr>
          <c:marker>
            <c:symbol val="none"/>
          </c:marker>
          <c:xVal>
            <c:numRef>
              <c:f>'[2]Quantification C'!$F$2:$F$121</c:f>
              <c:numCache>
                <c:formatCode>General</c:formatCode>
                <c:ptCount val="12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pt idx="27">
                  <c:v>26</c:v>
                </c:pt>
                <c:pt idx="28">
                  <c:v>27</c:v>
                </c:pt>
                <c:pt idx="29">
                  <c:v>28</c:v>
                </c:pt>
                <c:pt idx="30">
                  <c:v>29</c:v>
                </c:pt>
                <c:pt idx="31">
                  <c:v>30</c:v>
                </c:pt>
                <c:pt idx="32">
                  <c:v>31</c:v>
                </c:pt>
                <c:pt idx="33">
                  <c:v>32</c:v>
                </c:pt>
                <c:pt idx="34">
                  <c:v>33</c:v>
                </c:pt>
                <c:pt idx="35">
                  <c:v>34</c:v>
                </c:pt>
                <c:pt idx="36">
                  <c:v>35</c:v>
                </c:pt>
                <c:pt idx="37">
                  <c:v>35</c:v>
                </c:pt>
                <c:pt idx="38">
                  <c:v>36</c:v>
                </c:pt>
                <c:pt idx="39">
                  <c:v>37</c:v>
                </c:pt>
                <c:pt idx="40">
                  <c:v>38</c:v>
                </c:pt>
                <c:pt idx="41">
                  <c:v>39</c:v>
                </c:pt>
                <c:pt idx="42">
                  <c:v>40</c:v>
                </c:pt>
                <c:pt idx="43">
                  <c:v>41</c:v>
                </c:pt>
                <c:pt idx="44">
                  <c:v>42</c:v>
                </c:pt>
                <c:pt idx="45">
                  <c:v>43</c:v>
                </c:pt>
                <c:pt idx="46">
                  <c:v>44</c:v>
                </c:pt>
                <c:pt idx="47">
                  <c:v>45</c:v>
                </c:pt>
                <c:pt idx="48">
                  <c:v>45</c:v>
                </c:pt>
                <c:pt idx="49">
                  <c:v>46</c:v>
                </c:pt>
                <c:pt idx="50">
                  <c:v>47</c:v>
                </c:pt>
                <c:pt idx="51">
                  <c:v>48</c:v>
                </c:pt>
                <c:pt idx="52">
                  <c:v>49</c:v>
                </c:pt>
                <c:pt idx="53">
                  <c:v>50</c:v>
                </c:pt>
                <c:pt idx="54">
                  <c:v>51</c:v>
                </c:pt>
                <c:pt idx="55">
                  <c:v>52</c:v>
                </c:pt>
                <c:pt idx="56">
                  <c:v>53</c:v>
                </c:pt>
                <c:pt idx="57">
                  <c:v>54</c:v>
                </c:pt>
                <c:pt idx="58">
                  <c:v>55</c:v>
                </c:pt>
                <c:pt idx="59">
                  <c:v>55</c:v>
                </c:pt>
                <c:pt idx="60">
                  <c:v>56</c:v>
                </c:pt>
                <c:pt idx="61">
                  <c:v>57</c:v>
                </c:pt>
                <c:pt idx="62">
                  <c:v>58</c:v>
                </c:pt>
                <c:pt idx="63">
                  <c:v>59</c:v>
                </c:pt>
                <c:pt idx="64">
                  <c:v>60</c:v>
                </c:pt>
                <c:pt idx="65">
                  <c:v>61</c:v>
                </c:pt>
                <c:pt idx="66">
                  <c:v>62</c:v>
                </c:pt>
                <c:pt idx="67">
                  <c:v>63</c:v>
                </c:pt>
                <c:pt idx="68">
                  <c:v>64</c:v>
                </c:pt>
                <c:pt idx="69">
                  <c:v>65</c:v>
                </c:pt>
                <c:pt idx="70">
                  <c:v>65</c:v>
                </c:pt>
                <c:pt idx="71">
                  <c:v>66</c:v>
                </c:pt>
                <c:pt idx="72">
                  <c:v>67</c:v>
                </c:pt>
                <c:pt idx="73">
                  <c:v>68</c:v>
                </c:pt>
                <c:pt idx="74">
                  <c:v>69</c:v>
                </c:pt>
                <c:pt idx="75">
                  <c:v>70</c:v>
                </c:pt>
                <c:pt idx="76">
                  <c:v>71</c:v>
                </c:pt>
                <c:pt idx="77">
                  <c:v>72</c:v>
                </c:pt>
                <c:pt idx="78">
                  <c:v>73</c:v>
                </c:pt>
                <c:pt idx="79">
                  <c:v>74</c:v>
                </c:pt>
                <c:pt idx="80">
                  <c:v>75</c:v>
                </c:pt>
                <c:pt idx="81">
                  <c:v>75</c:v>
                </c:pt>
                <c:pt idx="82">
                  <c:v>76</c:v>
                </c:pt>
                <c:pt idx="83">
                  <c:v>77</c:v>
                </c:pt>
                <c:pt idx="84">
                  <c:v>78</c:v>
                </c:pt>
                <c:pt idx="85">
                  <c:v>79</c:v>
                </c:pt>
                <c:pt idx="86">
                  <c:v>80</c:v>
                </c:pt>
                <c:pt idx="87">
                  <c:v>81</c:v>
                </c:pt>
                <c:pt idx="88">
                  <c:v>82</c:v>
                </c:pt>
                <c:pt idx="89">
                  <c:v>83</c:v>
                </c:pt>
                <c:pt idx="90">
                  <c:v>84</c:v>
                </c:pt>
                <c:pt idx="91">
                  <c:v>85</c:v>
                </c:pt>
                <c:pt idx="92">
                  <c:v>85</c:v>
                </c:pt>
                <c:pt idx="93">
                  <c:v>86</c:v>
                </c:pt>
                <c:pt idx="94">
                  <c:v>87</c:v>
                </c:pt>
                <c:pt idx="95">
                  <c:v>88</c:v>
                </c:pt>
                <c:pt idx="96">
                  <c:v>89</c:v>
                </c:pt>
                <c:pt idx="97">
                  <c:v>90</c:v>
                </c:pt>
                <c:pt idx="98">
                  <c:v>91</c:v>
                </c:pt>
                <c:pt idx="99">
                  <c:v>92</c:v>
                </c:pt>
                <c:pt idx="100">
                  <c:v>93</c:v>
                </c:pt>
                <c:pt idx="101">
                  <c:v>94</c:v>
                </c:pt>
                <c:pt idx="102">
                  <c:v>95</c:v>
                </c:pt>
                <c:pt idx="103">
                  <c:v>95</c:v>
                </c:pt>
                <c:pt idx="104">
                  <c:v>96</c:v>
                </c:pt>
                <c:pt idx="105">
                  <c:v>97</c:v>
                </c:pt>
                <c:pt idx="106">
                  <c:v>98</c:v>
                </c:pt>
                <c:pt idx="107">
                  <c:v>99</c:v>
                </c:pt>
                <c:pt idx="108">
                  <c:v>100</c:v>
                </c:pt>
                <c:pt idx="109">
                  <c:v>101</c:v>
                </c:pt>
                <c:pt idx="110">
                  <c:v>102</c:v>
                </c:pt>
                <c:pt idx="111">
                  <c:v>103</c:v>
                </c:pt>
                <c:pt idx="112">
                  <c:v>104</c:v>
                </c:pt>
                <c:pt idx="113">
                  <c:v>105</c:v>
                </c:pt>
                <c:pt idx="114">
                  <c:v>106</c:v>
                </c:pt>
                <c:pt idx="115">
                  <c:v>107</c:v>
                </c:pt>
                <c:pt idx="116">
                  <c:v>108</c:v>
                </c:pt>
                <c:pt idx="117">
                  <c:v>109</c:v>
                </c:pt>
                <c:pt idx="118">
                  <c:v>110</c:v>
                </c:pt>
                <c:pt idx="119">
                  <c:v>110</c:v>
                </c:pt>
              </c:numCache>
            </c:numRef>
          </c:xVal>
          <c:yVal>
            <c:numRef>
              <c:f>'[2]Quantification C'!$J$2:$J$121</c:f>
              <c:numCache>
                <c:formatCode>General</c:formatCode>
                <c:ptCount val="120"/>
                <c:pt idx="0">
                  <c:v>0</c:v>
                </c:pt>
                <c:pt idx="1">
                  <c:v>1.1296753639631136</c:v>
                </c:pt>
                <c:pt idx="2">
                  <c:v>2.2003229937246598</c:v>
                </c:pt>
                <c:pt idx="3">
                  <c:v>3.2519076283460024</c:v>
                </c:pt>
                <c:pt idx="4">
                  <c:v>4.2917413892159546</c:v>
                </c:pt>
                <c:pt idx="5">
                  <c:v>6.3479890661467318</c:v>
                </c:pt>
                <c:pt idx="6">
                  <c:v>9.3937464663867924</c:v>
                </c:pt>
                <c:pt idx="7">
                  <c:v>13.408149238555248</c:v>
                </c:pt>
                <c:pt idx="8">
                  <c:v>18.376130342149079</c:v>
                </c:pt>
                <c:pt idx="9">
                  <c:v>24.286544976498547</c:v>
                </c:pt>
                <c:pt idx="10">
                  <c:v>31.130798969508078</c:v>
                </c:pt>
                <c:pt idx="11">
                  <c:v>38.902006779696443</c:v>
                </c:pt>
                <c:pt idx="12">
                  <c:v>47.594477436319387</c:v>
                </c:pt>
                <c:pt idx="13">
                  <c:v>57.203389887100847</c:v>
                </c:pt>
                <c:pt idx="14">
                  <c:v>67.724579331966666</c:v>
                </c:pt>
                <c:pt idx="15">
                  <c:v>76.301145689172856</c:v>
                </c:pt>
                <c:pt idx="16">
                  <c:v>88.457340034120918</c:v>
                </c:pt>
                <c:pt idx="17">
                  <c:v>100.57156022593183</c:v>
                </c:pt>
                <c:pt idx="18">
                  <c:v>112.64958590196655</c:v>
                </c:pt>
                <c:pt idx="19">
                  <c:v>124.69585112217389</c:v>
                </c:pt>
                <c:pt idx="20">
                  <c:v>136.71386058122562</c:v>
                </c:pt>
                <c:pt idx="21">
                  <c:v>149.0808364262418</c:v>
                </c:pt>
                <c:pt idx="22">
                  <c:v>161.42333771015896</c:v>
                </c:pt>
                <c:pt idx="23">
                  <c:v>173.7435009812958</c:v>
                </c:pt>
                <c:pt idx="24">
                  <c:v>186.04313457943746</c:v>
                </c:pt>
                <c:pt idx="25">
                  <c:v>198.32378790230177</c:v>
                </c:pt>
                <c:pt idx="26">
                  <c:v>139.52681109706691</c:v>
                </c:pt>
                <c:pt idx="27">
                  <c:v>151.32668038460233</c:v>
                </c:pt>
                <c:pt idx="28">
                  <c:v>163.10463194167394</c:v>
                </c:pt>
                <c:pt idx="29">
                  <c:v>174.86247286052662</c:v>
                </c:pt>
                <c:pt idx="30">
                  <c:v>186.60174701218963</c:v>
                </c:pt>
                <c:pt idx="31">
                  <c:v>198.32378790230177</c:v>
                </c:pt>
                <c:pt idx="32">
                  <c:v>209.47268002053463</c:v>
                </c:pt>
                <c:pt idx="33">
                  <c:v>220.60788240530164</c:v>
                </c:pt>
                <c:pt idx="34">
                  <c:v>231.73018391404946</c:v>
                </c:pt>
                <c:pt idx="35">
                  <c:v>242.84029142815555</c:v>
                </c:pt>
                <c:pt idx="36">
                  <c:v>253.93884181380471</c:v>
                </c:pt>
                <c:pt idx="37">
                  <c:v>204.82902043085244</c:v>
                </c:pt>
                <c:pt idx="38">
                  <c:v>215.22752536323196</c:v>
                </c:pt>
                <c:pt idx="39">
                  <c:v>225.61447053517372</c:v>
                </c:pt>
                <c:pt idx="40">
                  <c:v>235.99046358292776</c:v>
                </c:pt>
                <c:pt idx="41">
                  <c:v>246.3560542968282</c:v>
                </c:pt>
                <c:pt idx="42">
                  <c:v>256.71174238331622</c:v>
                </c:pt>
                <c:pt idx="43">
                  <c:v>266.50395342082282</c:v>
                </c:pt>
                <c:pt idx="44">
                  <c:v>276.28805817875144</c:v>
                </c:pt>
                <c:pt idx="45">
                  <c:v>286.06438440827787</c:v>
                </c:pt>
                <c:pt idx="46">
                  <c:v>295.83323561247488</c:v>
                </c:pt>
                <c:pt idx="47">
                  <c:v>305.59489359914369</c:v>
                </c:pt>
                <c:pt idx="48">
                  <c:v>256.71174238331622</c:v>
                </c:pt>
                <c:pt idx="49">
                  <c:v>265.76520570407024</c:v>
                </c:pt>
                <c:pt idx="50">
                  <c:v>274.81171839209094</c:v>
                </c:pt>
                <c:pt idx="51">
                  <c:v>283.85154171752504</c:v>
                </c:pt>
                <c:pt idx="52">
                  <c:v>292.88491893596603</c:v>
                </c:pt>
                <c:pt idx="53">
                  <c:v>301.91207706001939</c:v>
                </c:pt>
                <c:pt idx="54">
                  <c:v>310.19702819862079</c:v>
                </c:pt>
                <c:pt idx="55">
                  <c:v>318.47706788363638</c:v>
                </c:pt>
                <c:pt idx="56">
                  <c:v>326.75234192487522</c:v>
                </c:pt>
                <c:pt idx="57">
                  <c:v>335.02298813768715</c:v>
                </c:pt>
                <c:pt idx="58">
                  <c:v>343.28913697215444</c:v>
                </c:pt>
                <c:pt idx="59">
                  <c:v>298.22825996252726</c:v>
                </c:pt>
                <c:pt idx="60">
                  <c:v>305.96312075604669</c:v>
                </c:pt>
                <c:pt idx="61">
                  <c:v>313.69363540885178</c:v>
                </c:pt>
                <c:pt idx="62">
                  <c:v>321.41992623463267</c:v>
                </c:pt>
                <c:pt idx="63">
                  <c:v>329.14210918127696</c:v>
                </c:pt>
                <c:pt idx="64">
                  <c:v>336.86029430705378</c:v>
                </c:pt>
                <c:pt idx="65">
                  <c:v>344.20732577147555</c:v>
                </c:pt>
                <c:pt idx="66">
                  <c:v>351.5509120784784</c:v>
                </c:pt>
                <c:pt idx="67">
                  <c:v>358.89113540947892</c:v>
                </c:pt>
                <c:pt idx="68">
                  <c:v>366.22807430704466</c:v>
                </c:pt>
                <c:pt idx="69">
                  <c:v>373.56180390729855</c:v>
                </c:pt>
                <c:pt idx="70">
                  <c:v>333.18545990213522</c:v>
                </c:pt>
                <c:pt idx="71">
                  <c:v>340.3505691822013</c:v>
                </c:pt>
                <c:pt idx="72">
                  <c:v>347.51236094515139</c:v>
                </c:pt>
                <c:pt idx="73">
                  <c:v>354.67091326876107</c:v>
                </c:pt>
                <c:pt idx="74">
                  <c:v>361.82630081896735</c:v>
                </c:pt>
                <c:pt idx="75">
                  <c:v>368.97859506497747</c:v>
                </c:pt>
                <c:pt idx="76">
                  <c:v>375.57802655568094</c:v>
                </c:pt>
                <c:pt idx="77">
                  <c:v>382.17493242028701</c:v>
                </c:pt>
                <c:pt idx="78">
                  <c:v>388.76936244388736</c:v>
                </c:pt>
                <c:pt idx="79">
                  <c:v>395.36136458336074</c:v>
                </c:pt>
                <c:pt idx="80">
                  <c:v>401.95098506454968</c:v>
                </c:pt>
                <c:pt idx="81">
                  <c:v>362.56001063918211</c:v>
                </c:pt>
                <c:pt idx="82">
                  <c:v>368.61188489876855</c:v>
                </c:pt>
                <c:pt idx="83">
                  <c:v>374.66159103269348</c:v>
                </c:pt>
                <c:pt idx="84">
                  <c:v>380.70916902435761</c:v>
                </c:pt>
                <c:pt idx="85">
                  <c:v>386.75465748199395</c:v>
                </c:pt>
                <c:pt idx="86">
                  <c:v>392.79809370720182</c:v>
                </c:pt>
                <c:pt idx="87">
                  <c:v>398.65646970722736</c:v>
                </c:pt>
                <c:pt idx="88">
                  <c:v>404.51298169693905</c:v>
                </c:pt>
                <c:pt idx="89">
                  <c:v>410.36766049564739</c:v>
                </c:pt>
                <c:pt idx="90">
                  <c:v>416.2205359707321</c:v>
                </c:pt>
                <c:pt idx="91">
                  <c:v>422.07163708031629</c:v>
                </c:pt>
                <c:pt idx="92">
                  <c:v>386.38832303118897</c:v>
                </c:pt>
                <c:pt idx="93">
                  <c:v>391.88255202569809</c:v>
                </c:pt>
                <c:pt idx="94">
                  <c:v>397.375110324182</c:v>
                </c:pt>
                <c:pt idx="95">
                  <c:v>402.86602430053182</c:v>
                </c:pt>
                <c:pt idx="96">
                  <c:v>408.35531955034372</c:v>
                </c:pt>
                <c:pt idx="97">
                  <c:v>413.84302092427464</c:v>
                </c:pt>
                <c:pt idx="98">
                  <c:v>419.14630654573187</c:v>
                </c:pt>
                <c:pt idx="99">
                  <c:v>424.44814653245061</c:v>
                </c:pt>
                <c:pt idx="100">
                  <c:v>429.74856150658383</c:v>
                </c:pt>
                <c:pt idx="101">
                  <c:v>435.04757153962379</c:v>
                </c:pt>
                <c:pt idx="102">
                  <c:v>440.34519617378447</c:v>
                </c:pt>
                <c:pt idx="103">
                  <c:v>406.52573277661151</c:v>
                </c:pt>
                <c:pt idx="104">
                  <c:v>411.64813007939983</c:v>
                </c:pt>
                <c:pt idx="105">
                  <c:v>416.76915163430567</c:v>
                </c:pt>
                <c:pt idx="106">
                  <c:v>421.88881674752457</c:v>
                </c:pt>
                <c:pt idx="107">
                  <c:v>427.00714421800609</c:v>
                </c:pt>
                <c:pt idx="108">
                  <c:v>432.12415235683949</c:v>
                </c:pt>
                <c:pt idx="109">
                  <c:v>436.69180930289576</c:v>
                </c:pt>
                <c:pt idx="110">
                  <c:v>441.2584411094569</c:v>
                </c:pt>
                <c:pt idx="111">
                  <c:v>445.82405989308478</c:v>
                </c:pt>
                <c:pt idx="112">
                  <c:v>450.38867750169055</c:v>
                </c:pt>
                <c:pt idx="113">
                  <c:v>454.95230552321544</c:v>
                </c:pt>
                <c:pt idx="114">
                  <c:v>459.69744109486123</c:v>
                </c:pt>
                <c:pt idx="115">
                  <c:v>464.44153106100697</c:v>
                </c:pt>
                <c:pt idx="116">
                  <c:v>469.18458761820074</c:v>
                </c:pt>
                <c:pt idx="117">
                  <c:v>473.92662269607291</c:v>
                </c:pt>
                <c:pt idx="118">
                  <c:v>478.66764796584999</c:v>
                </c:pt>
                <c:pt idx="119">
                  <c:v>0</c:v>
                </c:pt>
              </c:numCache>
            </c:numRef>
          </c:yVal>
          <c:smooth val="1"/>
          <c:extLst>
            <c:ext xmlns:c16="http://schemas.microsoft.com/office/drawing/2014/chart" uri="{C3380CC4-5D6E-409C-BE32-E72D297353CC}">
              <c16:uniqueId val="{00000000-1776-4A50-BEBD-6BEA518E247A}"/>
            </c:ext>
          </c:extLst>
        </c:ser>
        <c:ser>
          <c:idx val="2"/>
          <c:order val="1"/>
          <c:tx>
            <c:strRef>
              <c:f>'[2]Quantification C'!$E$1</c:f>
              <c:strCache>
                <c:ptCount val="1"/>
                <c:pt idx="0">
                  <c:v>Biomasse 
totale accrus (tCO₂/ha)</c:v>
                </c:pt>
              </c:strCache>
            </c:strRef>
          </c:tx>
          <c:spPr>
            <a:ln w="19050" cap="rnd">
              <a:solidFill>
                <a:srgbClr val="92D050"/>
              </a:solidFill>
              <a:round/>
            </a:ln>
            <a:effectLst/>
          </c:spPr>
          <c:marker>
            <c:symbol val="none"/>
          </c:marker>
          <c:xVal>
            <c:numRef>
              <c:f>'[2]Quantification C'!$A$2:$A$112</c:f>
              <c:numCache>
                <c:formatCode>General</c:formatCode>
                <c:ptCount val="111"/>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pt idx="106">
                  <c:v>106</c:v>
                </c:pt>
                <c:pt idx="107">
                  <c:v>107</c:v>
                </c:pt>
                <c:pt idx="108">
                  <c:v>108</c:v>
                </c:pt>
                <c:pt idx="109">
                  <c:v>109</c:v>
                </c:pt>
                <c:pt idx="110">
                  <c:v>110</c:v>
                </c:pt>
              </c:numCache>
            </c:numRef>
          </c:xVal>
          <c:yVal>
            <c:numRef>
              <c:f>'[2]Quantification C'!$E$2:$E$112</c:f>
              <c:numCache>
                <c:formatCode>General</c:formatCode>
                <c:ptCount val="111"/>
                <c:pt idx="0">
                  <c:v>0</c:v>
                </c:pt>
                <c:pt idx="1">
                  <c:v>2.2722141346836602</c:v>
                </c:pt>
                <c:pt idx="2">
                  <c:v>4.4322627676630342</c:v>
                </c:pt>
                <c:pt idx="3">
                  <c:v>6.5560875739478979</c:v>
                </c:pt>
                <c:pt idx="4">
                  <c:v>8.6575831706227913</c:v>
                </c:pt>
                <c:pt idx="5">
                  <c:v>10.743047053646096</c:v>
                </c:pt>
                <c:pt idx="6">
                  <c:v>12.816071577640272</c:v>
                </c:pt>
                <c:pt idx="7">
                  <c:v>14.878972594730007</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35.172319671970534</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55.125487819385434</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76.853424242090881</c:v>
                </c:pt>
                <c:pt idx="39">
                  <c:v>78.820101157900652</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96.467953961397697</c:v>
                </c:pt>
                <c:pt idx="49">
                  <c:v>98.423545555293359</c:v>
                </c:pt>
                <c:pt idx="50">
                  <c:v>100.37817162662895</c:v>
                </c:pt>
                <c:pt idx="51">
                  <c:v>102.33185371141566</c:v>
                </c:pt>
                <c:pt idx="52">
                  <c:v>104.28461245280987</c:v>
                </c:pt>
                <c:pt idx="53">
                  <c:v>106.23646765457615</c:v>
                </c:pt>
                <c:pt idx="54">
                  <c:v>108.18743833040098</c:v>
                </c:pt>
                <c:pt idx="55">
                  <c:v>110.13754274945018</c:v>
                </c:pt>
                <c:pt idx="56">
                  <c:v>112.08679847851975</c:v>
                </c:pt>
                <c:pt idx="57">
                  <c:v>114.03522242109018</c:v>
                </c:pt>
                <c:pt idx="58">
                  <c:v>115.98283085356285</c:v>
                </c:pt>
                <c:pt idx="59">
                  <c:v>117.92963945892645</c:v>
                </c:pt>
                <c:pt idx="60">
                  <c:v>119.87566335807644</c:v>
                </c:pt>
                <c:pt idx="61">
                  <c:v>121.82091713898711</c:v>
                </c:pt>
                <c:pt idx="62">
                  <c:v>123.7654148839167</c:v>
                </c:pt>
                <c:pt idx="63">
                  <c:v>125.70917019480748</c:v>
                </c:pt>
                <c:pt idx="64">
                  <c:v>127.65219621702742</c:v>
                </c:pt>
                <c:pt idx="65">
                  <c:v>129.59450566158588</c:v>
                </c:pt>
                <c:pt idx="66">
                  <c:v>131.53611082594338</c:v>
                </c:pt>
                <c:pt idx="67">
                  <c:v>133.47702361352444</c:v>
                </c:pt>
                <c:pt idx="68">
                  <c:v>135.41725555203226</c:v>
                </c:pt>
                <c:pt idx="69">
                  <c:v>137.35681781065566</c:v>
                </c:pt>
                <c:pt idx="70">
                  <c:v>139.29572121624977</c:v>
                </c:pt>
                <c:pt idx="71">
                  <c:v>141.23397626856661</c:v>
                </c:pt>
                <c:pt idx="72">
                  <c:v>143.17159315460216</c:v>
                </c:pt>
                <c:pt idx="73">
                  <c:v>145.10858176212469</c:v>
                </c:pt>
                <c:pt idx="74">
                  <c:v>147.04495169244021</c:v>
                </c:pt>
                <c:pt idx="75">
                  <c:v>148.98071227244827</c:v>
                </c:pt>
                <c:pt idx="76">
                  <c:v>150.91587256603668</c:v>
                </c:pt>
                <c:pt idx="77">
                  <c:v>152.85044138485935</c:v>
                </c:pt>
                <c:pt idx="78">
                  <c:v>154.78442729853825</c:v>
                </c:pt>
                <c:pt idx="79">
                  <c:v>156.7178386443274</c:v>
                </c:pt>
                <c:pt idx="80">
                  <c:v>158.65068353627368</c:v>
                </c:pt>
                <c:pt idx="81">
                  <c:v>160.58296987390614</c:v>
                </c:pt>
                <c:pt idx="82">
                  <c:v>162.51470535048455</c:v>
                </c:pt>
                <c:pt idx="83">
                  <c:v>164.44589746083366</c:v>
                </c:pt>
                <c:pt idx="84">
                  <c:v>166.37655350878956</c:v>
                </c:pt>
                <c:pt idx="85">
                  <c:v>168.30668061428082</c:v>
                </c:pt>
                <c:pt idx="86">
                  <c:v>170.23628572006746</c:v>
                </c:pt>
                <c:pt idx="87">
                  <c:v>172.165375598157</c:v>
                </c:pt>
                <c:pt idx="88">
                  <c:v>174.09395685591764</c:v>
                </c:pt>
                <c:pt idx="89">
                  <c:v>176.02203594190516</c:v>
                </c:pt>
                <c:pt idx="90">
                  <c:v>177.94961915142096</c:v>
                </c:pt>
                <c:pt idx="91">
                  <c:v>179.87671263181528</c:v>
                </c:pt>
                <c:pt idx="92">
                  <c:v>181.80332238755173</c:v>
                </c:pt>
                <c:pt idx="93">
                  <c:v>183.72945428504417</c:v>
                </c:pt>
                <c:pt idx="94">
                  <c:v>185.65511405728049</c:v>
                </c:pt>
                <c:pt idx="95">
                  <c:v>187.5803073082437</c:v>
                </c:pt>
                <c:pt idx="96">
                  <c:v>189.50503951714128</c:v>
                </c:pt>
                <c:pt idx="97">
                  <c:v>191.42931604245396</c:v>
                </c:pt>
                <c:pt idx="98">
                  <c:v>193.35314212581196</c:v>
                </c:pt>
                <c:pt idx="99">
                  <c:v>195.27652289570918</c:v>
                </c:pt>
                <c:pt idx="100">
                  <c:v>197.19946337106239</c:v>
                </c:pt>
                <c:pt idx="101">
                  <c:v>199.12196846462484</c:v>
                </c:pt>
                <c:pt idx="102">
                  <c:v>201.04404298625983</c:v>
                </c:pt>
                <c:pt idx="103">
                  <c:v>202.96569164608289</c:v>
                </c:pt>
                <c:pt idx="104">
                  <c:v>204.88691905747837</c:v>
                </c:pt>
                <c:pt idx="105">
                  <c:v>206.80772973999626</c:v>
                </c:pt>
                <c:pt idx="106">
                  <c:v>208.72812812213633</c:v>
                </c:pt>
                <c:pt idx="107">
                  <c:v>210.64811854402308</c:v>
                </c:pt>
                <c:pt idx="108">
                  <c:v>212.56770525997908</c:v>
                </c:pt>
                <c:pt idx="109">
                  <c:v>214.48689244099896</c:v>
                </c:pt>
                <c:pt idx="110">
                  <c:v>216.40568417713132</c:v>
                </c:pt>
              </c:numCache>
            </c:numRef>
          </c:yVal>
          <c:smooth val="1"/>
          <c:extLst>
            <c:ext xmlns:c16="http://schemas.microsoft.com/office/drawing/2014/chart" uri="{C3380CC4-5D6E-409C-BE32-E72D297353CC}">
              <c16:uniqueId val="{00000001-1776-4A50-BEBD-6BEA518E247A}"/>
            </c:ext>
          </c:extLst>
        </c:ser>
        <c:dLbls>
          <c:showLegendKey val="0"/>
          <c:showVal val="0"/>
          <c:showCatName val="0"/>
          <c:showSerName val="0"/>
          <c:showPercent val="0"/>
          <c:showBubbleSize val="0"/>
        </c:dLbls>
        <c:axId val="-456339248"/>
        <c:axId val="-456337072"/>
      </c:scatterChart>
      <c:valAx>
        <c:axId val="-456339248"/>
        <c:scaling>
          <c:orientation val="minMax"/>
          <c:max val="11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6337072"/>
        <c:crosses val="autoZero"/>
        <c:crossBetween val="midCat"/>
      </c:valAx>
      <c:valAx>
        <c:axId val="-456337072"/>
        <c:scaling>
          <c:orientation val="minMax"/>
          <c:max val="50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456339248"/>
        <c:crosses val="autoZero"/>
        <c:crossBetween val="midCat"/>
      </c:valAx>
      <c:spPr>
        <a:noFill/>
        <a:ln>
          <a:noFill/>
        </a:ln>
        <a:effectLst/>
      </c:spPr>
    </c:plotArea>
    <c:legend>
      <c:legendPos val="b"/>
      <c:layout>
        <c:manualLayout>
          <c:xMode val="edge"/>
          <c:yMode val="edge"/>
          <c:x val="7.941884287138512E-2"/>
          <c:y val="0.90672918986136863"/>
          <c:w val="0.81440527059024459"/>
          <c:h val="7.4482573223402071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chêne rouge</a:t>
            </a:r>
            <a:endParaRPr lang="fr-FR" b="1" baseline="0"/>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388089708803429"/>
          <c:h val="0.69068242934228063"/>
        </c:manualLayout>
      </c:layout>
      <c:scatterChart>
        <c:scatterStyle val="smoothMarker"/>
        <c:varyColors val="0"/>
        <c:ser>
          <c:idx val="0"/>
          <c:order val="0"/>
          <c:tx>
            <c:strRef>
              <c:f>'[3]Quantification C'!$J$1</c:f>
              <c:strCache>
                <c:ptCount val="1"/>
                <c:pt idx="0">
                  <c:v>Biomasse totale chêne rouge
(tCO₂/ha)</c:v>
                </c:pt>
              </c:strCache>
            </c:strRef>
          </c:tx>
          <c:spPr>
            <a:ln w="19050" cap="rnd">
              <a:solidFill>
                <a:srgbClr val="92D050"/>
              </a:solidFill>
              <a:round/>
            </a:ln>
            <a:effectLst/>
          </c:spPr>
          <c:marker>
            <c:symbol val="none"/>
          </c:marker>
          <c:xVal>
            <c:numRef>
              <c:f>'[3]Quantification C'!$F$2:$F$166</c:f>
              <c:numCache>
                <c:formatCode>General</c:formatCode>
                <c:ptCount val="165"/>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20</c:v>
                </c:pt>
                <c:pt idx="22">
                  <c:v>21</c:v>
                </c:pt>
                <c:pt idx="23">
                  <c:v>22</c:v>
                </c:pt>
                <c:pt idx="24">
                  <c:v>23</c:v>
                </c:pt>
                <c:pt idx="25">
                  <c:v>24</c:v>
                </c:pt>
                <c:pt idx="26">
                  <c:v>25</c:v>
                </c:pt>
                <c:pt idx="27">
                  <c:v>26</c:v>
                </c:pt>
                <c:pt idx="28">
                  <c:v>27</c:v>
                </c:pt>
                <c:pt idx="29">
                  <c:v>28</c:v>
                </c:pt>
                <c:pt idx="30">
                  <c:v>29</c:v>
                </c:pt>
                <c:pt idx="31">
                  <c:v>30</c:v>
                </c:pt>
                <c:pt idx="32">
                  <c:v>30</c:v>
                </c:pt>
                <c:pt idx="33">
                  <c:v>31</c:v>
                </c:pt>
                <c:pt idx="34">
                  <c:v>32</c:v>
                </c:pt>
                <c:pt idx="35">
                  <c:v>33</c:v>
                </c:pt>
                <c:pt idx="36">
                  <c:v>34</c:v>
                </c:pt>
                <c:pt idx="37">
                  <c:v>35</c:v>
                </c:pt>
                <c:pt idx="38">
                  <c:v>36</c:v>
                </c:pt>
                <c:pt idx="39">
                  <c:v>37</c:v>
                </c:pt>
                <c:pt idx="40">
                  <c:v>38</c:v>
                </c:pt>
                <c:pt idx="41">
                  <c:v>39</c:v>
                </c:pt>
                <c:pt idx="42">
                  <c:v>40</c:v>
                </c:pt>
                <c:pt idx="43">
                  <c:v>40</c:v>
                </c:pt>
                <c:pt idx="44">
                  <c:v>41</c:v>
                </c:pt>
                <c:pt idx="45">
                  <c:v>42</c:v>
                </c:pt>
                <c:pt idx="46">
                  <c:v>43</c:v>
                </c:pt>
                <c:pt idx="47">
                  <c:v>44</c:v>
                </c:pt>
                <c:pt idx="48">
                  <c:v>45</c:v>
                </c:pt>
                <c:pt idx="49">
                  <c:v>46</c:v>
                </c:pt>
                <c:pt idx="50">
                  <c:v>47</c:v>
                </c:pt>
                <c:pt idx="51">
                  <c:v>48</c:v>
                </c:pt>
                <c:pt idx="52">
                  <c:v>49</c:v>
                </c:pt>
                <c:pt idx="53">
                  <c:v>50</c:v>
                </c:pt>
                <c:pt idx="54">
                  <c:v>50</c:v>
                </c:pt>
                <c:pt idx="55">
                  <c:v>51</c:v>
                </c:pt>
                <c:pt idx="56">
                  <c:v>52</c:v>
                </c:pt>
                <c:pt idx="57">
                  <c:v>53</c:v>
                </c:pt>
                <c:pt idx="58">
                  <c:v>54</c:v>
                </c:pt>
                <c:pt idx="59">
                  <c:v>55</c:v>
                </c:pt>
                <c:pt idx="60">
                  <c:v>56</c:v>
                </c:pt>
                <c:pt idx="61">
                  <c:v>57</c:v>
                </c:pt>
                <c:pt idx="62">
                  <c:v>58</c:v>
                </c:pt>
                <c:pt idx="63">
                  <c:v>59</c:v>
                </c:pt>
                <c:pt idx="64">
                  <c:v>60</c:v>
                </c:pt>
                <c:pt idx="65">
                  <c:v>60</c:v>
                </c:pt>
                <c:pt idx="66">
                  <c:v>61</c:v>
                </c:pt>
                <c:pt idx="67">
                  <c:v>62</c:v>
                </c:pt>
                <c:pt idx="68">
                  <c:v>63</c:v>
                </c:pt>
                <c:pt idx="69">
                  <c:v>64</c:v>
                </c:pt>
                <c:pt idx="70">
                  <c:v>65</c:v>
                </c:pt>
                <c:pt idx="71">
                  <c:v>66</c:v>
                </c:pt>
                <c:pt idx="72">
                  <c:v>67</c:v>
                </c:pt>
                <c:pt idx="73">
                  <c:v>68</c:v>
                </c:pt>
                <c:pt idx="74">
                  <c:v>69</c:v>
                </c:pt>
                <c:pt idx="75">
                  <c:v>70</c:v>
                </c:pt>
                <c:pt idx="76">
                  <c:v>70</c:v>
                </c:pt>
              </c:numCache>
            </c:numRef>
          </c:xVal>
          <c:yVal>
            <c:numRef>
              <c:f>'[3]Quantification C'!$J$2:$J$166</c:f>
              <c:numCache>
                <c:formatCode>General</c:formatCode>
                <c:ptCount val="165"/>
                <c:pt idx="0">
                  <c:v>0</c:v>
                </c:pt>
                <c:pt idx="1">
                  <c:v>1.4561904473698064</c:v>
                </c:pt>
                <c:pt idx="2">
                  <c:v>2.837835241238285</c:v>
                </c:pt>
                <c:pt idx="3">
                  <c:v>4.1954055309835594</c:v>
                </c:pt>
                <c:pt idx="4">
                  <c:v>5.5381357362353691</c:v>
                </c:pt>
                <c:pt idx="5">
                  <c:v>8.1940194120089327</c:v>
                </c:pt>
                <c:pt idx="6">
                  <c:v>12.129079468420692</c:v>
                </c:pt>
                <c:pt idx="7">
                  <c:v>17.316966482955831</c:v>
                </c:pt>
                <c:pt idx="8">
                  <c:v>23.738652410648342</c:v>
                </c:pt>
                <c:pt idx="9">
                  <c:v>31.380062571853042</c:v>
                </c:pt>
                <c:pt idx="10">
                  <c:v>40.230343455354699</c:v>
                </c:pt>
                <c:pt idx="11">
                  <c:v>50.28079936587767</c:v>
                </c:pt>
                <c:pt idx="12">
                  <c:v>61.524243221977486</c:v>
                </c:pt>
                <c:pt idx="13">
                  <c:v>73.954586555286809</c:v>
                </c:pt>
                <c:pt idx="14">
                  <c:v>87.566569673096254</c:v>
                </c:pt>
                <c:pt idx="15">
                  <c:v>109.72969694198621</c:v>
                </c:pt>
                <c:pt idx="16">
                  <c:v>127.13482571082706</c:v>
                </c:pt>
                <c:pt idx="17">
                  <c:v>144.48215651976611</c:v>
                </c:pt>
                <c:pt idx="18">
                  <c:v>161.77961540626072</c:v>
                </c:pt>
                <c:pt idx="19">
                  <c:v>179.03328984797801</c:v>
                </c:pt>
                <c:pt idx="20">
                  <c:v>196.24799558904303</c:v>
                </c:pt>
                <c:pt idx="21">
                  <c:v>118.31750572588324</c:v>
                </c:pt>
                <c:pt idx="22">
                  <c:v>135.20432553963505</c:v>
                </c:pt>
                <c:pt idx="23">
                  <c:v>152.04030877911342</c:v>
                </c:pt>
                <c:pt idx="24">
                  <c:v>168.83188321450658</c:v>
                </c:pt>
                <c:pt idx="25">
                  <c:v>185.58409039382227</c:v>
                </c:pt>
                <c:pt idx="26">
                  <c:v>202.30098567963509</c:v>
                </c:pt>
                <c:pt idx="27">
                  <c:v>218.01947919404824</c:v>
                </c:pt>
                <c:pt idx="28">
                  <c:v>233.71192986094192</c:v>
                </c:pt>
                <c:pt idx="29">
                  <c:v>249.38033276546039</c:v>
                </c:pt>
                <c:pt idx="30">
                  <c:v>265.02641168010274</c:v>
                </c:pt>
                <c:pt idx="31">
                  <c:v>280.6516701430192</c:v>
                </c:pt>
                <c:pt idx="32">
                  <c:v>174.42010880774242</c:v>
                </c:pt>
                <c:pt idx="33">
                  <c:v>189.22107722501735</c:v>
                </c:pt>
                <c:pt idx="34">
                  <c:v>203.99506531146554</c:v>
                </c:pt>
                <c:pt idx="35">
                  <c:v>218.74430293221735</c:v>
                </c:pt>
                <c:pt idx="36">
                  <c:v>233.47069441931134</c:v>
                </c:pt>
                <c:pt idx="37">
                  <c:v>248.17588407773692</c:v>
                </c:pt>
                <c:pt idx="38">
                  <c:v>261.17705554472872</c:v>
                </c:pt>
                <c:pt idx="39">
                  <c:v>274.16361765690334</c:v>
                </c:pt>
                <c:pt idx="40">
                  <c:v>287.13636013322338</c:v>
                </c:pt>
                <c:pt idx="41">
                  <c:v>300.09599547754289</c:v>
                </c:pt>
                <c:pt idx="42">
                  <c:v>313.04316960794102</c:v>
                </c:pt>
                <c:pt idx="43">
                  <c:v>215.60299864573813</c:v>
                </c:pt>
                <c:pt idx="44">
                  <c:v>227.43794033454233</c:v>
                </c:pt>
                <c:pt idx="45">
                  <c:v>239.25878897679539</c:v>
                </c:pt>
                <c:pt idx="46">
                  <c:v>251.06633935220006</c:v>
                </c:pt>
                <c:pt idx="47">
                  <c:v>262.86130532679209</c:v>
                </c:pt>
                <c:pt idx="48">
                  <c:v>274.64433142982574</c:v>
                </c:pt>
                <c:pt idx="49">
                  <c:v>285.21531583652148</c:v>
                </c:pt>
                <c:pt idx="50">
                  <c:v>295.77753223914277</c:v>
                </c:pt>
                <c:pt idx="51">
                  <c:v>306.33133805905373</c:v>
                </c:pt>
                <c:pt idx="52">
                  <c:v>316.87706406452611</c:v>
                </c:pt>
                <c:pt idx="53">
                  <c:v>327.41501719828841</c:v>
                </c:pt>
                <c:pt idx="54">
                  <c:v>245.76658779902243</c:v>
                </c:pt>
                <c:pt idx="55">
                  <c:v>254.91910787155106</c:v>
                </c:pt>
                <c:pt idx="56">
                  <c:v>264.06419165614346</c:v>
                </c:pt>
                <c:pt idx="57">
                  <c:v>273.2021332283814</c:v>
                </c:pt>
                <c:pt idx="58">
                  <c:v>282.33320536766536</c:v>
                </c:pt>
                <c:pt idx="59">
                  <c:v>291.45766175336962</c:v>
                </c:pt>
                <c:pt idx="60">
                  <c:v>299.61623499670998</c:v>
                </c:pt>
                <c:pt idx="61">
                  <c:v>307.76986029720541</c:v>
                </c:pt>
                <c:pt idx="62">
                  <c:v>315.91868734548365</c:v>
                </c:pt>
                <c:pt idx="63">
                  <c:v>324.0628574727225</c:v>
                </c:pt>
                <c:pt idx="64">
                  <c:v>332.20250432045793</c:v>
                </c:pt>
                <c:pt idx="65">
                  <c:v>266.22907594974964</c:v>
                </c:pt>
                <c:pt idx="66">
                  <c:v>273.4425114577536</c:v>
                </c:pt>
                <c:pt idx="67">
                  <c:v>280.6516701430192</c:v>
                </c:pt>
                <c:pt idx="68">
                  <c:v>287.85667749117118</c:v>
                </c:pt>
                <c:pt idx="69">
                  <c:v>295.05765218605109</c:v>
                </c:pt>
                <c:pt idx="70">
                  <c:v>302.25470663909721</c:v>
                </c:pt>
                <c:pt idx="71">
                  <c:v>308.48906533934479</c:v>
                </c:pt>
                <c:pt idx="72">
                  <c:v>314.7206257919425</c:v>
                </c:pt>
                <c:pt idx="73">
                  <c:v>320.94945128744183</c:v>
                </c:pt>
                <c:pt idx="74">
                  <c:v>327.17560245636969</c:v>
                </c:pt>
                <c:pt idx="75">
                  <c:v>333.39913743065421</c:v>
                </c:pt>
                <c:pt idx="76">
                  <c:v>0</c:v>
                </c:pt>
              </c:numCache>
            </c:numRef>
          </c:yVal>
          <c:smooth val="1"/>
          <c:extLst>
            <c:ext xmlns:c16="http://schemas.microsoft.com/office/drawing/2014/chart" uri="{C3380CC4-5D6E-409C-BE32-E72D297353CC}">
              <c16:uniqueId val="{00000000-A3D5-4AD2-928A-4D3375F2A5CA}"/>
            </c:ext>
          </c:extLst>
        </c:ser>
        <c:ser>
          <c:idx val="2"/>
          <c:order val="1"/>
          <c:tx>
            <c:strRef>
              <c:f>'[3]Quantification C'!$E$1</c:f>
              <c:strCache>
                <c:ptCount val="1"/>
                <c:pt idx="0">
                  <c:v>Biomasse 
totale accrus (tCO₂/ha)</c:v>
                </c:pt>
              </c:strCache>
            </c:strRef>
          </c:tx>
          <c:spPr>
            <a:ln w="19050" cap="rnd">
              <a:solidFill>
                <a:srgbClr val="00B0F0"/>
              </a:solidFill>
              <a:round/>
            </a:ln>
            <a:effectLst/>
          </c:spPr>
          <c:marker>
            <c:symbol val="none"/>
          </c:marker>
          <c:xVal>
            <c:numRef>
              <c:f>'[3]Quantification C'!$A$2:$A$78</c:f>
              <c:numCache>
                <c:formatCode>General</c:formatCode>
                <c:ptCount val="7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numCache>
            </c:numRef>
          </c:xVal>
          <c:yVal>
            <c:numRef>
              <c:f>'[3]Quantification C'!$E$2:$E$78</c:f>
              <c:numCache>
                <c:formatCode>General</c:formatCode>
                <c:ptCount val="77"/>
                <c:pt idx="0">
                  <c:v>0</c:v>
                </c:pt>
                <c:pt idx="1">
                  <c:v>2.2722141346836602</c:v>
                </c:pt>
                <c:pt idx="2">
                  <c:v>4.4322627676630342</c:v>
                </c:pt>
                <c:pt idx="3">
                  <c:v>6.5560875739478979</c:v>
                </c:pt>
                <c:pt idx="4">
                  <c:v>8.6575831706227913</c:v>
                </c:pt>
                <c:pt idx="5">
                  <c:v>10.743047053646096</c:v>
                </c:pt>
                <c:pt idx="6">
                  <c:v>12.816071577640278</c:v>
                </c:pt>
                <c:pt idx="7">
                  <c:v>14.87897259473001</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35.172319671970541</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pt idx="26">
                  <c:v>53.140235489167587</c:v>
                </c:pt>
                <c:pt idx="27">
                  <c:v>55.125487819385427</c:v>
                </c:pt>
                <c:pt idx="28">
                  <c:v>57.10886167834105</c:v>
                </c:pt>
                <c:pt idx="29">
                  <c:v>59.090431840228007</c:v>
                </c:pt>
                <c:pt idx="30">
                  <c:v>61.07026762991989</c:v>
                </c:pt>
                <c:pt idx="31">
                  <c:v>63.048433488376901</c:v>
                </c:pt>
                <c:pt idx="32">
                  <c:v>65.024989463047447</c:v>
                </c:pt>
                <c:pt idx="33">
                  <c:v>66.999991635247355</c:v>
                </c:pt>
                <c:pt idx="34">
                  <c:v>68.97349249428018</c:v>
                </c:pt>
                <c:pt idx="35">
                  <c:v>70.945541266306407</c:v>
                </c:pt>
                <c:pt idx="36">
                  <c:v>72.916184204571309</c:v>
                </c:pt>
                <c:pt idx="37">
                  <c:v>74.885464846478598</c:v>
                </c:pt>
                <c:pt idx="38">
                  <c:v>76.853424242090853</c:v>
                </c:pt>
                <c:pt idx="39">
                  <c:v>78.820101157900638</c:v>
                </c:pt>
                <c:pt idx="40">
                  <c:v>80.785532259113808</c:v>
                </c:pt>
                <c:pt idx="41">
                  <c:v>82.749752273191604</c:v>
                </c:pt>
                <c:pt idx="42">
                  <c:v>84.712794136987995</c:v>
                </c:pt>
                <c:pt idx="43">
                  <c:v>86.674689129479319</c:v>
                </c:pt>
                <c:pt idx="44">
                  <c:v>88.635466991799021</c:v>
                </c:pt>
                <c:pt idx="45">
                  <c:v>90.595156036052515</c:v>
                </c:pt>
                <c:pt idx="46">
                  <c:v>92.553783244187045</c:v>
                </c:pt>
                <c:pt idx="47">
                  <c:v>94.511374358021442</c:v>
                </c:pt>
                <c:pt idx="48">
                  <c:v>96.467953961397711</c:v>
                </c:pt>
                <c:pt idx="49">
                  <c:v>98.423545555293359</c:v>
                </c:pt>
                <c:pt idx="50">
                  <c:v>100.37817162662895</c:v>
                </c:pt>
                <c:pt idx="51">
                  <c:v>102.33185371141566</c:v>
                </c:pt>
                <c:pt idx="52">
                  <c:v>104.28461245280987</c:v>
                </c:pt>
                <c:pt idx="53">
                  <c:v>106.23646765457613</c:v>
                </c:pt>
                <c:pt idx="54">
                  <c:v>108.18743833040095</c:v>
                </c:pt>
                <c:pt idx="55">
                  <c:v>110.13754274945018</c:v>
                </c:pt>
                <c:pt idx="56">
                  <c:v>112.08679847851977</c:v>
                </c:pt>
                <c:pt idx="57">
                  <c:v>114.03522242109018</c:v>
                </c:pt>
                <c:pt idx="58">
                  <c:v>115.98283085356282</c:v>
                </c:pt>
                <c:pt idx="59">
                  <c:v>117.92963945892645</c:v>
                </c:pt>
                <c:pt idx="60">
                  <c:v>119.87566335807644</c:v>
                </c:pt>
                <c:pt idx="61">
                  <c:v>121.82091713898713</c:v>
                </c:pt>
                <c:pt idx="62">
                  <c:v>123.7654148839167</c:v>
                </c:pt>
                <c:pt idx="63">
                  <c:v>125.70917019480748</c:v>
                </c:pt>
                <c:pt idx="64">
                  <c:v>127.65219621702742</c:v>
                </c:pt>
                <c:pt idx="65">
                  <c:v>129.59450566158586</c:v>
                </c:pt>
                <c:pt idx="66">
                  <c:v>131.53611082594338</c:v>
                </c:pt>
                <c:pt idx="67">
                  <c:v>133.47702361352444</c:v>
                </c:pt>
                <c:pt idx="68">
                  <c:v>135.41725555203229</c:v>
                </c:pt>
                <c:pt idx="69">
                  <c:v>137.35681781065566</c:v>
                </c:pt>
                <c:pt idx="70">
                  <c:v>139.29572121624977</c:v>
                </c:pt>
              </c:numCache>
            </c:numRef>
          </c:yVal>
          <c:smooth val="1"/>
          <c:extLst>
            <c:ext xmlns:c16="http://schemas.microsoft.com/office/drawing/2014/chart" uri="{C3380CC4-5D6E-409C-BE32-E72D297353CC}">
              <c16:uniqueId val="{00000001-A3D5-4AD2-928A-4D3375F2A5CA}"/>
            </c:ext>
          </c:extLst>
        </c:ser>
        <c:dLbls>
          <c:showLegendKey val="0"/>
          <c:showVal val="0"/>
          <c:showCatName val="0"/>
          <c:showSerName val="0"/>
          <c:showPercent val="0"/>
          <c:showBubbleSize val="0"/>
        </c:dLbls>
        <c:axId val="-1480911312"/>
        <c:axId val="-1480910768"/>
      </c:scatterChart>
      <c:valAx>
        <c:axId val="-1480911312"/>
        <c:scaling>
          <c:orientation val="minMax"/>
          <c:max val="71"/>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84330820384911742"/>
              <c:y val="0.8793385188021855"/>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910768"/>
        <c:crosses val="autoZero"/>
        <c:crossBetween val="midCat"/>
      </c:valAx>
      <c:valAx>
        <c:axId val="-1480910768"/>
        <c:scaling>
          <c:orientation val="minMax"/>
          <c:max val="35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48091131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fr-FR" b="1"/>
              <a:t>Itinéraire sylvicole du peuplier Koster</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fr-FR"/>
        </a:p>
      </c:txPr>
    </c:title>
    <c:autoTitleDeleted val="0"/>
    <c:plotArea>
      <c:layout>
        <c:manualLayout>
          <c:layoutTarget val="inner"/>
          <c:xMode val="edge"/>
          <c:yMode val="edge"/>
          <c:x val="7.992139510071973E-2"/>
          <c:y val="0.12370711991756"/>
          <c:w val="0.89425214904420502"/>
          <c:h val="0.63662829603069404"/>
        </c:manualLayout>
      </c:layout>
      <c:scatterChart>
        <c:scatterStyle val="smoothMarker"/>
        <c:varyColors val="0"/>
        <c:ser>
          <c:idx val="0"/>
          <c:order val="0"/>
          <c:tx>
            <c:strRef>
              <c:f>'[4]Quantification C'!$K$1</c:f>
              <c:strCache>
                <c:ptCount val="1"/>
                <c:pt idx="0">
                  <c:v>Biomasse totale peuplier
(tCO₂/ha)</c:v>
                </c:pt>
              </c:strCache>
            </c:strRef>
          </c:tx>
          <c:spPr>
            <a:ln w="19050" cap="rnd">
              <a:solidFill>
                <a:srgbClr val="00B050"/>
              </a:solidFill>
              <a:round/>
            </a:ln>
            <a:effectLst/>
          </c:spPr>
          <c:marker>
            <c:symbol val="none"/>
          </c:marker>
          <c:xVal>
            <c:numRef>
              <c:f>'[4]Quantification C'!$G$2:$G$28</c:f>
              <c:numCache>
                <c:formatCode>General</c:formatCode>
                <c:ptCount val="2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25</c:v>
                </c:pt>
              </c:numCache>
            </c:numRef>
          </c:xVal>
          <c:yVal>
            <c:numRef>
              <c:f>'[4]Quantification C'!$K$2:$K$28</c:f>
              <c:numCache>
                <c:formatCode>General</c:formatCode>
                <c:ptCount val="27"/>
                <c:pt idx="0">
                  <c:v>0</c:v>
                </c:pt>
                <c:pt idx="1">
                  <c:v>0.47684596418035402</c:v>
                </c:pt>
                <c:pt idx="2">
                  <c:v>0.92701893201423669</c:v>
                </c:pt>
                <c:pt idx="3">
                  <c:v>1.368577860928869</c:v>
                </c:pt>
                <c:pt idx="4">
                  <c:v>1.8048268958271001</c:v>
                </c:pt>
                <c:pt idx="5">
                  <c:v>2.6667421871469945</c:v>
                </c:pt>
                <c:pt idx="6">
                  <c:v>3.5188608653605269</c:v>
                </c:pt>
                <c:pt idx="7">
                  <c:v>5.2035732772208965</c:v>
                </c:pt>
                <c:pt idx="8">
                  <c:v>6.7320927153074983</c:v>
                </c:pt>
                <c:pt idx="9">
                  <c:v>23.677266169664545</c:v>
                </c:pt>
                <c:pt idx="10">
                  <c:v>42.295698771109151</c:v>
                </c:pt>
                <c:pt idx="11">
                  <c:v>60.686723341593456</c:v>
                </c:pt>
                <c:pt idx="12">
                  <c:v>80.950986488725434</c:v>
                </c:pt>
                <c:pt idx="13">
                  <c:v>99.077304204986476</c:v>
                </c:pt>
                <c:pt idx="14">
                  <c:v>117.12106124808359</c:v>
                </c:pt>
                <c:pt idx="15">
                  <c:v>135.09681026687412</c:v>
                </c:pt>
                <c:pt idx="16">
                  <c:v>151.02658441288187</c:v>
                </c:pt>
                <c:pt idx="17">
                  <c:v>164.93212907851941</c:v>
                </c:pt>
                <c:pt idx="18">
                  <c:v>178.80997960509694</c:v>
                </c:pt>
                <c:pt idx="19">
                  <c:v>190.68510840623094</c:v>
                </c:pt>
                <c:pt idx="20">
                  <c:v>200.56784414619597</c:v>
                </c:pt>
                <c:pt idx="21">
                  <c:v>210.4392971238349</c:v>
                </c:pt>
                <c:pt idx="22">
                  <c:v>216.35700713789331</c:v>
                </c:pt>
                <c:pt idx="23">
                  <c:v>224.24151561847327</c:v>
                </c:pt>
                <c:pt idx="24">
                  <c:v>230.15071367444057</c:v>
                </c:pt>
                <c:pt idx="25">
                  <c:v>234.08824579764129</c:v>
                </c:pt>
                <c:pt idx="26">
                  <c:v>0</c:v>
                </c:pt>
              </c:numCache>
            </c:numRef>
          </c:yVal>
          <c:smooth val="1"/>
          <c:extLst>
            <c:ext xmlns:c16="http://schemas.microsoft.com/office/drawing/2014/chart" uri="{C3380CC4-5D6E-409C-BE32-E72D297353CC}">
              <c16:uniqueId val="{00000000-5167-4315-861E-4FEC2F7856FB}"/>
            </c:ext>
          </c:extLst>
        </c:ser>
        <c:ser>
          <c:idx val="2"/>
          <c:order val="1"/>
          <c:tx>
            <c:strRef>
              <c:f>'[4]Quantification C'!$E$1</c:f>
              <c:strCache>
                <c:ptCount val="1"/>
                <c:pt idx="0">
                  <c:v>Biomasse 
totale accrus (tCO₂/ha)</c:v>
                </c:pt>
              </c:strCache>
            </c:strRef>
          </c:tx>
          <c:spPr>
            <a:ln w="19050" cap="rnd">
              <a:solidFill>
                <a:srgbClr val="00B0F0"/>
              </a:solidFill>
              <a:round/>
            </a:ln>
            <a:effectLst/>
          </c:spPr>
          <c:marker>
            <c:symbol val="none"/>
          </c:marker>
          <c:xVal>
            <c:numRef>
              <c:f>'[4]Quantification C'!$A$2:$A$28</c:f>
              <c:numCache>
                <c:formatCode>General</c:formatCode>
                <c:ptCount val="2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C'!$E$2:$E$28</c:f>
              <c:numCache>
                <c:formatCode>General</c:formatCode>
                <c:ptCount val="27"/>
                <c:pt idx="0">
                  <c:v>0</c:v>
                </c:pt>
                <c:pt idx="1">
                  <c:v>2.2722141346836602</c:v>
                </c:pt>
                <c:pt idx="2">
                  <c:v>4.4322627676630342</c:v>
                </c:pt>
                <c:pt idx="3">
                  <c:v>6.5560875739478979</c:v>
                </c:pt>
                <c:pt idx="4">
                  <c:v>8.6575831706227913</c:v>
                </c:pt>
                <c:pt idx="5">
                  <c:v>10.743047053646096</c:v>
                </c:pt>
                <c:pt idx="6">
                  <c:v>12.816071577640272</c:v>
                </c:pt>
                <c:pt idx="7">
                  <c:v>14.878972594730007</c:v>
                </c:pt>
                <c:pt idx="8">
                  <c:v>16.933363187349929</c:v>
                </c:pt>
                <c:pt idx="9">
                  <c:v>18.980428991609543</c:v>
                </c:pt>
                <c:pt idx="10">
                  <c:v>21.021076712150265</c:v>
                </c:pt>
                <c:pt idx="11">
                  <c:v>23.056021218970372</c:v>
                </c:pt>
                <c:pt idx="12">
                  <c:v>25.085839950688193</c:v>
                </c:pt>
                <c:pt idx="13">
                  <c:v>27.111008618154589</c:v>
                </c:pt>
                <c:pt idx="14">
                  <c:v>29.131925588483782</c:v>
                </c:pt>
                <c:pt idx="15">
                  <c:v>31.148929094436621</c:v>
                </c:pt>
                <c:pt idx="16">
                  <c:v>33.162309719687322</c:v>
                </c:pt>
                <c:pt idx="17">
                  <c:v>35.172319671970534</c:v>
                </c:pt>
                <c:pt idx="18">
                  <c:v>37.179179811358189</c:v>
                </c:pt>
                <c:pt idx="19">
                  <c:v>39.183085071920395</c:v>
                </c:pt>
                <c:pt idx="20">
                  <c:v>41.184208709422556</c:v>
                </c:pt>
                <c:pt idx="21">
                  <c:v>43.182705675340429</c:v>
                </c:pt>
                <c:pt idx="22">
                  <c:v>45.178715329996784</c:v>
                </c:pt>
                <c:pt idx="23">
                  <c:v>47.172363648455985</c:v>
                </c:pt>
                <c:pt idx="24">
                  <c:v>49.163765031959791</c:v>
                </c:pt>
                <c:pt idx="25">
                  <c:v>51.153023808950088</c:v>
                </c:pt>
              </c:numCache>
            </c:numRef>
          </c:yVal>
          <c:smooth val="1"/>
          <c:extLst>
            <c:ext xmlns:c16="http://schemas.microsoft.com/office/drawing/2014/chart" uri="{C3380CC4-5D6E-409C-BE32-E72D297353CC}">
              <c16:uniqueId val="{00000001-5167-4315-861E-4FEC2F7856FB}"/>
            </c:ext>
          </c:extLst>
        </c:ser>
        <c:ser>
          <c:idx val="1"/>
          <c:order val="2"/>
          <c:tx>
            <c:strRef>
              <c:f>'[4]Quantification C'!$L$1</c:f>
              <c:strCache>
                <c:ptCount val="1"/>
                <c:pt idx="0">
                  <c:v>Carbone moyen (tCO₂/ha)</c:v>
                </c:pt>
              </c:strCache>
            </c:strRef>
          </c:tx>
          <c:spPr>
            <a:ln w="19050" cap="rnd">
              <a:solidFill>
                <a:srgbClr val="00B050"/>
              </a:solidFill>
              <a:prstDash val="dash"/>
              <a:round/>
            </a:ln>
            <a:effectLst/>
          </c:spPr>
          <c:marker>
            <c:symbol val="none"/>
          </c:marker>
          <c:xVal>
            <c:numRef>
              <c:f>'[4]Quantification C'!$G$2:$G$27</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C'!$L$2:$L$27</c:f>
              <c:numCache>
                <c:formatCode>General</c:formatCode>
                <c:ptCount val="26"/>
                <c:pt idx="0">
                  <c:v>99.342415930393528</c:v>
                </c:pt>
                <c:pt idx="1">
                  <c:v>99.342415930393528</c:v>
                </c:pt>
                <c:pt idx="2">
                  <c:v>99.342415930393528</c:v>
                </c:pt>
                <c:pt idx="3">
                  <c:v>99.342415930393528</c:v>
                </c:pt>
                <c:pt idx="4">
                  <c:v>99.342415930393528</c:v>
                </c:pt>
                <c:pt idx="5">
                  <c:v>99.342415930393528</c:v>
                </c:pt>
                <c:pt idx="6">
                  <c:v>99.342415930393528</c:v>
                </c:pt>
                <c:pt idx="7">
                  <c:v>99.342415930393528</c:v>
                </c:pt>
                <c:pt idx="8">
                  <c:v>99.342415930393528</c:v>
                </c:pt>
                <c:pt idx="9">
                  <c:v>99.342415930393528</c:v>
                </c:pt>
                <c:pt idx="10">
                  <c:v>99.342415930393528</c:v>
                </c:pt>
                <c:pt idx="11">
                  <c:v>99.342415930393528</c:v>
                </c:pt>
                <c:pt idx="12">
                  <c:v>99.342415930393528</c:v>
                </c:pt>
                <c:pt idx="13">
                  <c:v>99.342415930393528</c:v>
                </c:pt>
                <c:pt idx="14">
                  <c:v>99.342415930393528</c:v>
                </c:pt>
                <c:pt idx="15">
                  <c:v>99.342415930393528</c:v>
                </c:pt>
                <c:pt idx="16">
                  <c:v>99.342415930393528</c:v>
                </c:pt>
                <c:pt idx="17">
                  <c:v>99.342415930393528</c:v>
                </c:pt>
                <c:pt idx="18">
                  <c:v>99.342415930393528</c:v>
                </c:pt>
                <c:pt idx="19">
                  <c:v>99.342415930393528</c:v>
                </c:pt>
                <c:pt idx="20">
                  <c:v>99.342415930393528</c:v>
                </c:pt>
                <c:pt idx="21">
                  <c:v>99.342415930393528</c:v>
                </c:pt>
                <c:pt idx="22">
                  <c:v>99.342415930393528</c:v>
                </c:pt>
                <c:pt idx="23">
                  <c:v>99.342415930393528</c:v>
                </c:pt>
                <c:pt idx="24">
                  <c:v>99.342415930393528</c:v>
                </c:pt>
                <c:pt idx="25">
                  <c:v>99.342415930393528</c:v>
                </c:pt>
              </c:numCache>
            </c:numRef>
          </c:yVal>
          <c:smooth val="1"/>
          <c:extLst>
            <c:ext xmlns:c16="http://schemas.microsoft.com/office/drawing/2014/chart" uri="{C3380CC4-5D6E-409C-BE32-E72D297353CC}">
              <c16:uniqueId val="{00000002-5167-4315-861E-4FEC2F7856FB}"/>
            </c:ext>
          </c:extLst>
        </c:ser>
        <c:ser>
          <c:idx val="3"/>
          <c:order val="3"/>
          <c:tx>
            <c:strRef>
              <c:f>'[4]Quantification C'!$F$1</c:f>
              <c:strCache>
                <c:ptCount val="1"/>
                <c:pt idx="0">
                  <c:v>Carbone moyen (tCO₂/ha)</c:v>
                </c:pt>
              </c:strCache>
            </c:strRef>
          </c:tx>
          <c:spPr>
            <a:ln w="19050" cap="rnd">
              <a:solidFill>
                <a:srgbClr val="00B0F0"/>
              </a:solidFill>
              <a:prstDash val="dash"/>
              <a:round/>
            </a:ln>
            <a:effectLst/>
          </c:spPr>
          <c:marker>
            <c:symbol val="none"/>
          </c:marker>
          <c:xVal>
            <c:numRef>
              <c:f>'[4]Quantification C'!$A$2:$A$27</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'[4]Quantification C'!$F$2:$F$27</c:f>
              <c:numCache>
                <c:formatCode>General</c:formatCode>
                <c:ptCount val="26"/>
                <c:pt idx="0">
                  <c:v>25.944481104378426</c:v>
                </c:pt>
                <c:pt idx="1">
                  <c:v>25.944481104378426</c:v>
                </c:pt>
                <c:pt idx="2">
                  <c:v>25.944481104378426</c:v>
                </c:pt>
                <c:pt idx="3">
                  <c:v>25.944481104378426</c:v>
                </c:pt>
                <c:pt idx="4">
                  <c:v>25.944481104378426</c:v>
                </c:pt>
                <c:pt idx="5">
                  <c:v>25.944481104378426</c:v>
                </c:pt>
                <c:pt idx="6">
                  <c:v>25.944481104378426</c:v>
                </c:pt>
                <c:pt idx="7">
                  <c:v>25.944481104378426</c:v>
                </c:pt>
                <c:pt idx="8">
                  <c:v>25.944481104378426</c:v>
                </c:pt>
                <c:pt idx="9">
                  <c:v>25.944481104378426</c:v>
                </c:pt>
                <c:pt idx="10">
                  <c:v>25.944481104378426</c:v>
                </c:pt>
                <c:pt idx="11">
                  <c:v>25.944481104378426</c:v>
                </c:pt>
                <c:pt idx="12">
                  <c:v>25.944481104378426</c:v>
                </c:pt>
                <c:pt idx="13">
                  <c:v>25.944481104378426</c:v>
                </c:pt>
                <c:pt idx="14">
                  <c:v>25.944481104378426</c:v>
                </c:pt>
                <c:pt idx="15">
                  <c:v>25.944481104378426</c:v>
                </c:pt>
                <c:pt idx="16">
                  <c:v>25.944481104378426</c:v>
                </c:pt>
                <c:pt idx="17">
                  <c:v>25.944481104378426</c:v>
                </c:pt>
                <c:pt idx="18">
                  <c:v>25.944481104378426</c:v>
                </c:pt>
                <c:pt idx="19">
                  <c:v>25.944481104378426</c:v>
                </c:pt>
                <c:pt idx="20">
                  <c:v>25.944481104378426</c:v>
                </c:pt>
                <c:pt idx="21">
                  <c:v>25.944481104378426</c:v>
                </c:pt>
                <c:pt idx="22">
                  <c:v>25.944481104378426</c:v>
                </c:pt>
                <c:pt idx="23">
                  <c:v>25.944481104378426</c:v>
                </c:pt>
                <c:pt idx="24">
                  <c:v>25.944481104378426</c:v>
                </c:pt>
                <c:pt idx="25">
                  <c:v>25.944481104378426</c:v>
                </c:pt>
              </c:numCache>
            </c:numRef>
          </c:yVal>
          <c:smooth val="1"/>
          <c:extLst>
            <c:ext xmlns:c16="http://schemas.microsoft.com/office/drawing/2014/chart" uri="{C3380CC4-5D6E-409C-BE32-E72D297353CC}">
              <c16:uniqueId val="{00000003-5167-4315-861E-4FEC2F7856FB}"/>
            </c:ext>
          </c:extLst>
        </c:ser>
        <c:dLbls>
          <c:showLegendKey val="0"/>
          <c:showVal val="0"/>
          <c:showCatName val="0"/>
          <c:showSerName val="0"/>
          <c:showPercent val="0"/>
          <c:showBubbleSize val="0"/>
        </c:dLbls>
        <c:axId val="-1918924256"/>
        <c:axId val="-1918913376"/>
      </c:scatterChart>
      <c:valAx>
        <c:axId val="-1918924256"/>
        <c:scaling>
          <c:orientation val="minMax"/>
          <c:max val="26"/>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fr-FR" sz="1200" b="1"/>
                  <a:t>Années</a:t>
                </a:r>
              </a:p>
            </c:rich>
          </c:tx>
          <c:layout>
            <c:manualLayout>
              <c:xMode val="edge"/>
              <c:yMode val="edge"/>
              <c:x val="0.90512445549485132"/>
              <c:y val="0.82828742366582786"/>
            </c:manualLayout>
          </c:layout>
          <c:overlay val="0"/>
          <c:spPr>
            <a:noFill/>
            <a:ln>
              <a:noFill/>
            </a:ln>
            <a:effectLst/>
          </c:spPr>
          <c:txPr>
            <a:bodyPr rot="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918913376"/>
        <c:crosses val="autoZero"/>
        <c:crossBetween val="midCat"/>
      </c:valAx>
      <c:valAx>
        <c:axId val="-1918913376"/>
        <c:scaling>
          <c:orientation val="minMax"/>
          <c:max val="250"/>
          <c:min val="0"/>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r>
                  <a:rPr lang="fr-FR" sz="1200" b="1"/>
                  <a:t>tCO₂/ha</a:t>
                </a:r>
              </a:p>
            </c:rich>
          </c:tx>
          <c:layout>
            <c:manualLayout>
              <c:xMode val="edge"/>
              <c:yMode val="edge"/>
              <c:x val="2.1405522568640235E-2"/>
              <c:y val="4.3353698175955961E-2"/>
            </c:manualLayout>
          </c:layout>
          <c:overlay val="0"/>
          <c:spPr>
            <a:noFill/>
            <a:ln>
              <a:noFill/>
            </a:ln>
            <a:effectLst/>
          </c:spPr>
          <c:txPr>
            <a:bodyPr rot="0" spcFirstLastPara="1" vertOverflow="ellipsis" wrap="square" anchor="ctr" anchorCtr="1"/>
            <a:lstStyle/>
            <a:p>
              <a:pPr>
                <a:defRPr sz="1200" b="1" i="0" u="none" strike="noStrike" kern="1200" baseline="0">
                  <a:solidFill>
                    <a:sysClr val="windowText" lastClr="000000"/>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1918924256"/>
        <c:crosses val="autoZero"/>
        <c:crossBetween val="midCat"/>
      </c:valAx>
      <c:spPr>
        <a:noFill/>
        <a:ln>
          <a:noFill/>
        </a:ln>
        <a:effectLst/>
      </c:spPr>
    </c:plotArea>
    <c:legend>
      <c:legendPos val="b"/>
      <c:layout>
        <c:manualLayout>
          <c:xMode val="edge"/>
          <c:yMode val="edge"/>
          <c:x val="3.3056660782152615E-2"/>
          <c:y val="0.83465709741689842"/>
          <c:w val="0.88001417029112361"/>
          <c:h val="0.16534290258310155"/>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19</xdr:col>
      <xdr:colOff>255106</xdr:colOff>
      <xdr:row>20</xdr:row>
      <xdr:rowOff>76286</xdr:rowOff>
    </xdr:from>
    <xdr:to>
      <xdr:col>25</xdr:col>
      <xdr:colOff>612014</xdr:colOff>
      <xdr:row>45</xdr:row>
      <xdr:rowOff>45470</xdr:rowOff>
    </xdr:to>
    <xdr:graphicFrame macro="">
      <xdr:nvGraphicFramePr>
        <xdr:cNvPr id="2" name="Graphique 1">
          <a:extLst>
            <a:ext uri="{FF2B5EF4-FFF2-40B4-BE49-F238E27FC236}">
              <a16:creationId xmlns:a16="http://schemas.microsoft.com/office/drawing/2014/main" id="{AAC4D19D-D4CE-407D-8FA7-8B5E3DECB6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236056</xdr:colOff>
      <xdr:row>17</xdr:row>
      <xdr:rowOff>28574</xdr:rowOff>
    </xdr:from>
    <xdr:to>
      <xdr:col>24</xdr:col>
      <xdr:colOff>704850</xdr:colOff>
      <xdr:row>41</xdr:row>
      <xdr:rowOff>180975</xdr:rowOff>
    </xdr:to>
    <xdr:graphicFrame macro="">
      <xdr:nvGraphicFramePr>
        <xdr:cNvPr id="2" name="Graphique 1">
          <a:extLst>
            <a:ext uri="{FF2B5EF4-FFF2-40B4-BE49-F238E27FC236}">
              <a16:creationId xmlns:a16="http://schemas.microsoft.com/office/drawing/2014/main" id="{67290CF8-20A3-4120-9EE7-0E48DBC13F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150762</xdr:colOff>
      <xdr:row>43</xdr:row>
      <xdr:rowOff>94214</xdr:rowOff>
    </xdr:to>
    <xdr:pic>
      <xdr:nvPicPr>
        <xdr:cNvPr id="2" name="Image 1">
          <a:extLst>
            <a:ext uri="{FF2B5EF4-FFF2-40B4-BE49-F238E27FC236}">
              <a16:creationId xmlns:a16="http://schemas.microsoft.com/office/drawing/2014/main" id="{84C0BB0C-2D1F-4990-80A3-57172B71F03A}"/>
            </a:ext>
          </a:extLst>
        </xdr:cNvPr>
        <xdr:cNvPicPr>
          <a:picLocks noChangeAspect="1"/>
        </xdr:cNvPicPr>
      </xdr:nvPicPr>
      <xdr:blipFill>
        <a:blip xmlns:r="http://schemas.openxmlformats.org/officeDocument/2006/relationships" r:embed="rId1"/>
        <a:stretch>
          <a:fillRect/>
        </a:stretch>
      </xdr:blipFill>
      <xdr:spPr>
        <a:xfrm>
          <a:off x="0" y="0"/>
          <a:ext cx="13104762" cy="80126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255106</xdr:colOff>
      <xdr:row>20</xdr:row>
      <xdr:rowOff>76286</xdr:rowOff>
    </xdr:from>
    <xdr:to>
      <xdr:col>25</xdr:col>
      <xdr:colOff>612014</xdr:colOff>
      <xdr:row>45</xdr:row>
      <xdr:rowOff>45470</xdr:rowOff>
    </xdr:to>
    <xdr:graphicFrame macro="">
      <xdr:nvGraphicFramePr>
        <xdr:cNvPr id="2" name="Graphique 1">
          <a:extLst>
            <a:ext uri="{FF2B5EF4-FFF2-40B4-BE49-F238E27FC236}">
              <a16:creationId xmlns:a16="http://schemas.microsoft.com/office/drawing/2014/main" id="{4A910CBA-F77F-411E-96F8-FCD5884F10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684952</xdr:colOff>
      <xdr:row>40</xdr:row>
      <xdr:rowOff>37144</xdr:rowOff>
    </xdr:to>
    <xdr:pic>
      <xdr:nvPicPr>
        <xdr:cNvPr id="2" name="Image 1">
          <a:extLst>
            <a:ext uri="{FF2B5EF4-FFF2-40B4-BE49-F238E27FC236}">
              <a16:creationId xmlns:a16="http://schemas.microsoft.com/office/drawing/2014/main" id="{C50D096F-51CF-4C64-A4CC-E5087F817063}"/>
            </a:ext>
          </a:extLst>
        </xdr:cNvPr>
        <xdr:cNvPicPr>
          <a:picLocks noChangeAspect="1"/>
        </xdr:cNvPicPr>
      </xdr:nvPicPr>
      <xdr:blipFill>
        <a:blip xmlns:r="http://schemas.openxmlformats.org/officeDocument/2006/relationships" r:embed="rId1"/>
        <a:stretch>
          <a:fillRect/>
        </a:stretch>
      </xdr:blipFill>
      <xdr:spPr>
        <a:xfrm>
          <a:off x="0" y="0"/>
          <a:ext cx="6780952" cy="74031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21</xdr:col>
      <xdr:colOff>217007</xdr:colOff>
      <xdr:row>16</xdr:row>
      <xdr:rowOff>190498</xdr:rowOff>
    </xdr:from>
    <xdr:to>
      <xdr:col>25</xdr:col>
      <xdr:colOff>1419225</xdr:colOff>
      <xdr:row>39</xdr:row>
      <xdr:rowOff>38100</xdr:rowOff>
    </xdr:to>
    <xdr:graphicFrame macro="">
      <xdr:nvGraphicFramePr>
        <xdr:cNvPr id="2" name="Graphique 1">
          <a:extLst>
            <a:ext uri="{FF2B5EF4-FFF2-40B4-BE49-F238E27FC236}">
              <a16:creationId xmlns:a16="http://schemas.microsoft.com/office/drawing/2014/main" id="{AC3A600B-6270-4E64-A456-76DB498857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ch&#234;ne%20sessi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tilleu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ch&#234;ne%20rouge.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Bureau/PARTAGE/Solutions_Forets/CNPF/Bois%20Boudran/Quantification%20peuplier%20Kos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chêne sessile
(tCO₂/ha)</v>
          </cell>
        </row>
        <row r="2">
          <cell r="A2">
            <v>0</v>
          </cell>
          <cell r="E2">
            <v>0</v>
          </cell>
          <cell r="F2">
            <v>0</v>
          </cell>
          <cell r="J2">
            <v>0</v>
          </cell>
        </row>
        <row r="3">
          <cell r="A3">
            <v>1</v>
          </cell>
          <cell r="E3">
            <v>2.2722141346836602</v>
          </cell>
          <cell r="F3">
            <v>1</v>
          </cell>
          <cell r="J3">
            <v>1.1861626566213483</v>
          </cell>
        </row>
        <row r="4">
          <cell r="A4">
            <v>2</v>
          </cell>
          <cell r="E4">
            <v>4.4322627676630342</v>
          </cell>
          <cell r="F4">
            <v>2</v>
          </cell>
          <cell r="J4">
            <v>2.3105886501740986</v>
          </cell>
        </row>
        <row r="5">
          <cell r="A5">
            <v>3</v>
          </cell>
          <cell r="E5">
            <v>6.5560875739478979</v>
          </cell>
          <cell r="F5">
            <v>3</v>
          </cell>
          <cell r="J5">
            <v>3.4150768005423173</v>
          </cell>
        </row>
        <row r="6">
          <cell r="A6">
            <v>4</v>
          </cell>
          <cell r="E6">
            <v>8.6575831706227913</v>
          </cell>
          <cell r="F6">
            <v>4</v>
          </cell>
          <cell r="J6">
            <v>4.5072748004691539</v>
          </cell>
        </row>
        <row r="7">
          <cell r="A7">
            <v>5</v>
          </cell>
          <cell r="E7">
            <v>10.743047053646096</v>
          </cell>
          <cell r="F7">
            <v>5</v>
          </cell>
          <cell r="J7">
            <v>5.5906488350137495</v>
          </cell>
        </row>
        <row r="8">
          <cell r="A8">
            <v>6</v>
          </cell>
          <cell r="E8">
            <v>12.816071577640278</v>
          </cell>
          <cell r="F8">
            <v>6</v>
          </cell>
          <cell r="J8">
            <v>6.6671761608511035</v>
          </cell>
        </row>
        <row r="9">
          <cell r="A9">
            <v>7</v>
          </cell>
          <cell r="E9">
            <v>14.87897259473001</v>
          </cell>
          <cell r="F9">
            <v>7</v>
          </cell>
          <cell r="J9">
            <v>8.8044025208429719</v>
          </cell>
        </row>
        <row r="10">
          <cell r="A10">
            <v>8</v>
          </cell>
          <cell r="E10">
            <v>16.933363187349929</v>
          </cell>
          <cell r="F10">
            <v>8</v>
          </cell>
          <cell r="J10">
            <v>10.925348899606076</v>
          </cell>
        </row>
        <row r="11">
          <cell r="A11">
            <v>9</v>
          </cell>
          <cell r="E11">
            <v>18.980428991609543</v>
          </cell>
          <cell r="F11">
            <v>9</v>
          </cell>
          <cell r="J11">
            <v>13.033663283069531</v>
          </cell>
        </row>
        <row r="12">
          <cell r="A12">
            <v>10</v>
          </cell>
          <cell r="E12">
            <v>21.021076712150265</v>
          </cell>
          <cell r="F12">
            <v>10</v>
          </cell>
          <cell r="J12">
            <v>15.131697386710426</v>
          </cell>
        </row>
        <row r="13">
          <cell r="A13">
            <v>11</v>
          </cell>
          <cell r="E13">
            <v>23.056021218970372</v>
          </cell>
          <cell r="F13">
            <v>11</v>
          </cell>
          <cell r="J13">
            <v>17.221089273204196</v>
          </cell>
        </row>
        <row r="14">
          <cell r="A14">
            <v>12</v>
          </cell>
          <cell r="E14">
            <v>25.085839950688193</v>
          </cell>
          <cell r="F14">
            <v>12</v>
          </cell>
          <cell r="J14">
            <v>19.303042939455146</v>
          </cell>
        </row>
        <row r="15">
          <cell r="A15">
            <v>13</v>
          </cell>
          <cell r="E15">
            <v>27.111008618154589</v>
          </cell>
          <cell r="F15">
            <v>13</v>
          </cell>
          <cell r="J15">
            <v>21.378479131358745</v>
          </cell>
        </row>
        <row r="16">
          <cell r="A16">
            <v>14</v>
          </cell>
          <cell r="E16">
            <v>29.131925588483782</v>
          </cell>
          <cell r="F16">
            <v>14</v>
          </cell>
          <cell r="J16">
            <v>25.512563294459923</v>
          </cell>
        </row>
        <row r="17">
          <cell r="A17">
            <v>15</v>
          </cell>
          <cell r="E17">
            <v>31.148929094436621</v>
          </cell>
          <cell r="F17">
            <v>15</v>
          </cell>
          <cell r="J17">
            <v>31.679106437289079</v>
          </cell>
        </row>
        <row r="18">
          <cell r="A18">
            <v>16</v>
          </cell>
          <cell r="E18">
            <v>33.162309719687322</v>
          </cell>
          <cell r="F18">
            <v>16</v>
          </cell>
          <cell r="J18">
            <v>39.850427353608758</v>
          </cell>
        </row>
        <row r="19">
          <cell r="A19">
            <v>17</v>
          </cell>
          <cell r="E19">
            <v>35.172319671970541</v>
          </cell>
          <cell r="F19">
            <v>17</v>
          </cell>
          <cell r="J19">
            <v>50.00160312094232</v>
          </cell>
        </row>
        <row r="20">
          <cell r="A20">
            <v>18</v>
          </cell>
          <cell r="E20">
            <v>37.179179811358189</v>
          </cell>
          <cell r="F20">
            <v>18</v>
          </cell>
          <cell r="J20">
            <v>62.111611813038422</v>
          </cell>
        </row>
        <row r="21">
          <cell r="A21">
            <v>19</v>
          </cell>
          <cell r="E21">
            <v>39.183085071920395</v>
          </cell>
          <cell r="F21">
            <v>19</v>
          </cell>
          <cell r="J21">
            <v>76.163060165576709</v>
          </cell>
        </row>
        <row r="22">
          <cell r="A22">
            <v>20</v>
          </cell>
          <cell r="E22">
            <v>41.184208709422556</v>
          </cell>
          <cell r="F22">
            <v>20</v>
          </cell>
          <cell r="J22">
            <v>86.158510470515964</v>
          </cell>
        </row>
        <row r="23">
          <cell r="A23">
            <v>21</v>
          </cell>
          <cell r="E23">
            <v>43.182705675340429</v>
          </cell>
          <cell r="F23">
            <v>21</v>
          </cell>
          <cell r="J23">
            <v>97.318927922969621</v>
          </cell>
        </row>
        <row r="24">
          <cell r="A24">
            <v>22</v>
          </cell>
          <cell r="E24">
            <v>45.178715329996784</v>
          </cell>
          <cell r="F24">
            <v>22</v>
          </cell>
          <cell r="J24">
            <v>108.4475019129206</v>
          </cell>
        </row>
        <row r="25">
          <cell r="A25">
            <v>23</v>
          </cell>
          <cell r="E25">
            <v>47.172363648455985</v>
          </cell>
          <cell r="F25">
            <v>23</v>
          </cell>
          <cell r="J25">
            <v>119.54796628555846</v>
          </cell>
        </row>
        <row r="26">
          <cell r="A26">
            <v>24</v>
          </cell>
          <cell r="E26">
            <v>49.163765031959791</v>
          </cell>
          <cell r="F26">
            <v>24</v>
          </cell>
          <cell r="J26">
            <v>130.62330272297189</v>
          </cell>
        </row>
        <row r="27">
          <cell r="A27">
            <v>25</v>
          </cell>
          <cell r="E27">
            <v>51.153023808950088</v>
          </cell>
          <cell r="F27">
            <v>25</v>
          </cell>
          <cell r="J27">
            <v>141.67594470663133</v>
          </cell>
        </row>
        <row r="28">
          <cell r="A28">
            <v>26</v>
          </cell>
          <cell r="E28">
            <v>53.140235489167587</v>
          </cell>
          <cell r="F28">
            <v>25</v>
          </cell>
          <cell r="J28">
            <v>125.87964006712114</v>
          </cell>
        </row>
        <row r="29">
          <cell r="A29">
            <v>27</v>
          </cell>
          <cell r="E29">
            <v>55.125487819385427</v>
          </cell>
          <cell r="F29">
            <v>26</v>
          </cell>
          <cell r="J29">
            <v>139.70382844505221</v>
          </cell>
        </row>
        <row r="30">
          <cell r="A30">
            <v>28</v>
          </cell>
          <cell r="E30">
            <v>57.10886167834105</v>
          </cell>
          <cell r="F30">
            <v>27</v>
          </cell>
          <cell r="J30">
            <v>153.49516770691636</v>
          </cell>
        </row>
        <row r="31">
          <cell r="A31">
            <v>29</v>
          </cell>
          <cell r="E31">
            <v>59.090431840228007</v>
          </cell>
          <cell r="F31">
            <v>28</v>
          </cell>
          <cell r="J31">
            <v>167.25702755094338</v>
          </cell>
        </row>
        <row r="32">
          <cell r="A32">
            <v>30</v>
          </cell>
          <cell r="E32">
            <v>61.07026762991989</v>
          </cell>
          <cell r="F32">
            <v>29</v>
          </cell>
          <cell r="J32">
            <v>180.99217685858619</v>
          </cell>
        </row>
        <row r="33">
          <cell r="A33">
            <v>31</v>
          </cell>
          <cell r="E33">
            <v>63.048433488376901</v>
          </cell>
          <cell r="F33">
            <v>30</v>
          </cell>
          <cell r="J33">
            <v>194.70292931794017</v>
          </cell>
        </row>
        <row r="34">
          <cell r="A34">
            <v>32</v>
          </cell>
          <cell r="E34">
            <v>65.024989463047447</v>
          </cell>
          <cell r="F34">
            <v>31</v>
          </cell>
          <cell r="J34">
            <v>210.34498910896306</v>
          </cell>
        </row>
        <row r="35">
          <cell r="A35">
            <v>33</v>
          </cell>
          <cell r="E35">
            <v>66.999991635247355</v>
          </cell>
          <cell r="F35">
            <v>32</v>
          </cell>
          <cell r="J35">
            <v>225.96022281826015</v>
          </cell>
        </row>
        <row r="36">
          <cell r="A36">
            <v>34</v>
          </cell>
          <cell r="E36">
            <v>68.97349249428018</v>
          </cell>
          <cell r="F36">
            <v>33</v>
          </cell>
          <cell r="J36">
            <v>241.5507456503326</v>
          </cell>
        </row>
        <row r="37">
          <cell r="A37">
            <v>35</v>
          </cell>
          <cell r="E37">
            <v>70.945541266306407</v>
          </cell>
          <cell r="F37">
            <v>34</v>
          </cell>
          <cell r="J37">
            <v>257.11837729187425</v>
          </cell>
        </row>
        <row r="38">
          <cell r="A38">
            <v>36</v>
          </cell>
          <cell r="E38">
            <v>72.916184204571309</v>
          </cell>
          <cell r="F38">
            <v>35</v>
          </cell>
          <cell r="J38">
            <v>272.6646989766358</v>
          </cell>
        </row>
        <row r="39">
          <cell r="A39">
            <v>37</v>
          </cell>
          <cell r="E39">
            <v>74.885464846478598</v>
          </cell>
          <cell r="F39">
            <v>35</v>
          </cell>
          <cell r="J39">
            <v>190.78794083960554</v>
          </cell>
        </row>
        <row r="40">
          <cell r="A40">
            <v>38</v>
          </cell>
          <cell r="E40">
            <v>76.853424242090853</v>
          </cell>
          <cell r="F40">
            <v>36</v>
          </cell>
          <cell r="J40">
            <v>207.21879690654114</v>
          </cell>
        </row>
        <row r="41">
          <cell r="A41">
            <v>39</v>
          </cell>
          <cell r="E41">
            <v>78.820101157900638</v>
          </cell>
          <cell r="F41">
            <v>37</v>
          </cell>
          <cell r="J41">
            <v>223.61956111075634</v>
          </cell>
        </row>
        <row r="42">
          <cell r="A42">
            <v>40</v>
          </cell>
          <cell r="E42">
            <v>80.785532259113808</v>
          </cell>
          <cell r="F42">
            <v>38</v>
          </cell>
          <cell r="J42">
            <v>239.99275146392384</v>
          </cell>
        </row>
        <row r="43">
          <cell r="A43">
            <v>41</v>
          </cell>
          <cell r="E43">
            <v>82.749752273191604</v>
          </cell>
          <cell r="F43">
            <v>39</v>
          </cell>
          <cell r="J43">
            <v>256.34051411178768</v>
          </cell>
        </row>
        <row r="44">
          <cell r="A44">
            <v>42</v>
          </cell>
          <cell r="E44">
            <v>84.712794136987995</v>
          </cell>
          <cell r="F44">
            <v>40</v>
          </cell>
          <cell r="J44">
            <v>272.6646989766358</v>
          </cell>
        </row>
        <row r="45">
          <cell r="A45">
            <v>43</v>
          </cell>
          <cell r="E45">
            <v>86.674689129479319</v>
          </cell>
          <cell r="F45">
            <v>41</v>
          </cell>
          <cell r="J45">
            <v>288.96691630985214</v>
          </cell>
        </row>
        <row r="46">
          <cell r="A46">
            <v>44</v>
          </cell>
          <cell r="E46">
            <v>88.635466991799021</v>
          </cell>
          <cell r="F46">
            <v>42</v>
          </cell>
          <cell r="J46">
            <v>305.24857979967942</v>
          </cell>
        </row>
        <row r="47">
          <cell r="A47">
            <v>45</v>
          </cell>
          <cell r="E47">
            <v>90.595156036052515</v>
          </cell>
          <cell r="F47">
            <v>43</v>
          </cell>
          <cell r="J47">
            <v>321.51093999187793</v>
          </cell>
        </row>
        <row r="48">
          <cell r="A48">
            <v>46</v>
          </cell>
          <cell r="E48">
            <v>92.553783244187045</v>
          </cell>
          <cell r="F48">
            <v>44</v>
          </cell>
          <cell r="J48">
            <v>337.75511058999291</v>
          </cell>
        </row>
        <row r="49">
          <cell r="A49">
            <v>47</v>
          </cell>
          <cell r="E49">
            <v>94.511374358021442</v>
          </cell>
          <cell r="F49">
            <v>45</v>
          </cell>
          <cell r="J49">
            <v>353.98208942867717</v>
          </cell>
        </row>
        <row r="50">
          <cell r="A50">
            <v>48</v>
          </cell>
          <cell r="E50">
            <v>96.467953961397711</v>
          </cell>
          <cell r="F50">
            <v>45</v>
          </cell>
          <cell r="J50">
            <v>272.6646989766358</v>
          </cell>
        </row>
        <row r="51">
          <cell r="A51">
            <v>49</v>
          </cell>
          <cell r="E51">
            <v>98.423545555293359</v>
          </cell>
          <cell r="F51">
            <v>46</v>
          </cell>
          <cell r="J51">
            <v>288.57901240448899</v>
          </cell>
        </row>
        <row r="52">
          <cell r="A52">
            <v>50</v>
          </cell>
          <cell r="E52">
            <v>100.37817162662895</v>
          </cell>
          <cell r="F52">
            <v>47</v>
          </cell>
          <cell r="J52">
            <v>304.47370954373423</v>
          </cell>
        </row>
        <row r="53">
          <cell r="A53">
            <v>51</v>
          </cell>
          <cell r="E53">
            <v>102.33185371141566</v>
          </cell>
          <cell r="F53">
            <v>48</v>
          </cell>
          <cell r="J53">
            <v>320.34995854628932</v>
          </cell>
        </row>
        <row r="54">
          <cell r="A54">
            <v>52</v>
          </cell>
          <cell r="E54">
            <v>104.28461245280987</v>
          </cell>
          <cell r="F54">
            <v>49</v>
          </cell>
          <cell r="J54">
            <v>336.20880231759617</v>
          </cell>
        </row>
        <row r="55">
          <cell r="A55">
            <v>53</v>
          </cell>
          <cell r="E55">
            <v>106.23646765457613</v>
          </cell>
          <cell r="F55">
            <v>50</v>
          </cell>
          <cell r="J55">
            <v>352.05117734371055</v>
          </cell>
        </row>
        <row r="56">
          <cell r="A56">
            <v>54</v>
          </cell>
          <cell r="E56">
            <v>108.18743833040095</v>
          </cell>
          <cell r="F56">
            <v>51</v>
          </cell>
          <cell r="J56">
            <v>367.49209034996028</v>
          </cell>
        </row>
        <row r="57">
          <cell r="A57">
            <v>55</v>
          </cell>
          <cell r="E57">
            <v>110.13754274945018</v>
          </cell>
          <cell r="F57">
            <v>52</v>
          </cell>
          <cell r="J57">
            <v>382.9188457551441</v>
          </cell>
        </row>
        <row r="58">
          <cell r="A58">
            <v>56</v>
          </cell>
          <cell r="E58">
            <v>112.08679847851977</v>
          </cell>
          <cell r="F58">
            <v>53</v>
          </cell>
          <cell r="J58">
            <v>398.33209414857441</v>
          </cell>
        </row>
        <row r="59">
          <cell r="A59">
            <v>57</v>
          </cell>
          <cell r="E59">
            <v>114.03522242109018</v>
          </cell>
          <cell r="F59">
            <v>54</v>
          </cell>
          <cell r="J59">
            <v>413.73243167051174</v>
          </cell>
        </row>
        <row r="60">
          <cell r="A60">
            <v>58</v>
          </cell>
          <cell r="E60">
            <v>115.98283085356282</v>
          </cell>
          <cell r="F60">
            <v>55</v>
          </cell>
          <cell r="J60">
            <v>429.1204064684805</v>
          </cell>
        </row>
        <row r="61">
          <cell r="A61">
            <v>59</v>
          </cell>
          <cell r="E61">
            <v>117.92963945892645</v>
          </cell>
          <cell r="F61">
            <v>55</v>
          </cell>
          <cell r="J61">
            <v>348.18865493629556</v>
          </cell>
        </row>
        <row r="62">
          <cell r="A62">
            <v>60</v>
          </cell>
          <cell r="E62">
            <v>119.87566335807644</v>
          </cell>
          <cell r="F62">
            <v>56</v>
          </cell>
          <cell r="J62">
            <v>362.8613341480654</v>
          </cell>
        </row>
        <row r="63">
          <cell r="A63">
            <v>61</v>
          </cell>
          <cell r="E63">
            <v>121.82091713898713</v>
          </cell>
          <cell r="F63">
            <v>57</v>
          </cell>
          <cell r="J63">
            <v>377.52104986809326</v>
          </cell>
        </row>
        <row r="64">
          <cell r="A64">
            <v>62</v>
          </cell>
          <cell r="E64">
            <v>123.7654148839167</v>
          </cell>
          <cell r="F64">
            <v>58</v>
          </cell>
          <cell r="J64">
            <v>392.16837634017293</v>
          </cell>
        </row>
        <row r="65">
          <cell r="A65">
            <v>63</v>
          </cell>
          <cell r="E65">
            <v>125.70917019480748</v>
          </cell>
          <cell r="F65">
            <v>59</v>
          </cell>
          <cell r="J65">
            <v>406.80384141548689</v>
          </cell>
        </row>
        <row r="66">
          <cell r="A66">
            <v>64</v>
          </cell>
          <cell r="E66">
            <v>127.65219621702742</v>
          </cell>
          <cell r="F66">
            <v>60</v>
          </cell>
          <cell r="J66">
            <v>421.42793186976104</v>
          </cell>
        </row>
        <row r="67">
          <cell r="A67">
            <v>65</v>
          </cell>
          <cell r="E67">
            <v>129.59450566158586</v>
          </cell>
          <cell r="F67">
            <v>61</v>
          </cell>
          <cell r="J67">
            <v>435.27224940464242</v>
          </cell>
        </row>
        <row r="68">
          <cell r="A68">
            <v>66</v>
          </cell>
          <cell r="E68">
            <v>131.53611082594338</v>
          </cell>
          <cell r="F68">
            <v>62</v>
          </cell>
          <cell r="J68">
            <v>449.10711821530077</v>
          </cell>
        </row>
        <row r="69">
          <cell r="A69">
            <v>67</v>
          </cell>
          <cell r="E69">
            <v>133.47702361352444</v>
          </cell>
          <cell r="F69">
            <v>63</v>
          </cell>
          <cell r="J69">
            <v>462.93287033289994</v>
          </cell>
        </row>
        <row r="70">
          <cell r="A70">
            <v>68</v>
          </cell>
          <cell r="E70">
            <v>135.41725555203229</v>
          </cell>
          <cell r="F70">
            <v>64</v>
          </cell>
          <cell r="J70">
            <v>476.74981634160116</v>
          </cell>
        </row>
        <row r="71">
          <cell r="A71">
            <v>69</v>
          </cell>
          <cell r="E71">
            <v>137.35681781065566</v>
          </cell>
          <cell r="F71">
            <v>65</v>
          </cell>
          <cell r="J71">
            <v>490.55824735832425</v>
          </cell>
        </row>
        <row r="72">
          <cell r="A72">
            <v>70</v>
          </cell>
          <cell r="E72">
            <v>139.29572121624977</v>
          </cell>
          <cell r="F72">
            <v>65</v>
          </cell>
          <cell r="J72">
            <v>409.88352694182043</v>
          </cell>
        </row>
        <row r="73">
          <cell r="A73">
            <v>71</v>
          </cell>
          <cell r="E73">
            <v>141.23397626856661</v>
          </cell>
          <cell r="F73">
            <v>66</v>
          </cell>
          <cell r="J73">
            <v>422.96666682108599</v>
          </cell>
        </row>
        <row r="74">
          <cell r="A74">
            <v>72</v>
          </cell>
          <cell r="E74">
            <v>143.17159315460216</v>
          </cell>
          <cell r="F74">
            <v>67</v>
          </cell>
          <cell r="J74">
            <v>436.04109794385869</v>
          </cell>
        </row>
        <row r="75">
          <cell r="A75">
            <v>73</v>
          </cell>
          <cell r="E75">
            <v>145.10858176212471</v>
          </cell>
          <cell r="F75">
            <v>68</v>
          </cell>
          <cell r="J75">
            <v>449.10711821530077</v>
          </cell>
        </row>
        <row r="76">
          <cell r="A76">
            <v>74</v>
          </cell>
          <cell r="E76">
            <v>147.04495169244021</v>
          </cell>
          <cell r="F76">
            <v>69</v>
          </cell>
          <cell r="J76">
            <v>462.16500679362116</v>
          </cell>
        </row>
        <row r="77">
          <cell r="A77">
            <v>75</v>
          </cell>
          <cell r="E77">
            <v>148.98071227244827</v>
          </cell>
          <cell r="F77">
            <v>70</v>
          </cell>
          <cell r="J77">
            <v>475.21502577729046</v>
          </cell>
        </row>
        <row r="78">
          <cell r="A78">
            <v>76</v>
          </cell>
          <cell r="E78">
            <v>150.91587256603665</v>
          </cell>
          <cell r="F78">
            <v>71</v>
          </cell>
          <cell r="J78">
            <v>487.10692264565654</v>
          </cell>
        </row>
        <row r="79">
          <cell r="A79">
            <v>77</v>
          </cell>
          <cell r="E79">
            <v>152.85044138485929</v>
          </cell>
          <cell r="F79">
            <v>72</v>
          </cell>
          <cell r="J79">
            <v>498.99265901764267</v>
          </cell>
        </row>
        <row r="80">
          <cell r="A80">
            <v>78</v>
          </cell>
          <cell r="E80">
            <v>154.78442729853825</v>
          </cell>
          <cell r="F80">
            <v>73</v>
          </cell>
          <cell r="J80">
            <v>510.87240230317917</v>
          </cell>
        </row>
        <row r="81">
          <cell r="A81">
            <v>79</v>
          </cell>
          <cell r="E81">
            <v>156.7178386443274</v>
          </cell>
          <cell r="F81">
            <v>74</v>
          </cell>
          <cell r="J81">
            <v>522.74631149207426</v>
          </cell>
        </row>
        <row r="82">
          <cell r="A82">
            <v>80</v>
          </cell>
          <cell r="E82">
            <v>158.65068353627368</v>
          </cell>
          <cell r="F82">
            <v>75</v>
          </cell>
          <cell r="J82">
            <v>534.61453776319547</v>
          </cell>
        </row>
        <row r="83">
          <cell r="A83">
            <v>81</v>
          </cell>
          <cell r="E83">
            <v>160.58296987390614</v>
          </cell>
          <cell r="F83">
            <v>75</v>
          </cell>
          <cell r="J83">
            <v>454.10078588624373</v>
          </cell>
        </row>
        <row r="84">
          <cell r="A84">
            <v>82</v>
          </cell>
          <cell r="E84">
            <v>162.51470535048455</v>
          </cell>
          <cell r="F84">
            <v>76</v>
          </cell>
          <cell r="J84">
            <v>465.62017905920681</v>
          </cell>
        </row>
        <row r="85">
          <cell r="A85">
            <v>83</v>
          </cell>
          <cell r="E85">
            <v>164.44589746083363</v>
          </cell>
          <cell r="F85">
            <v>77</v>
          </cell>
          <cell r="J85">
            <v>477.13349754486762</v>
          </cell>
        </row>
        <row r="86">
          <cell r="A86">
            <v>84</v>
          </cell>
          <cell r="E86">
            <v>166.37655350878956</v>
          </cell>
          <cell r="F86">
            <v>78</v>
          </cell>
          <cell r="J86">
            <v>488.64090858857702</v>
          </cell>
        </row>
        <row r="87">
          <cell r="A87">
            <v>85</v>
          </cell>
          <cell r="E87">
            <v>168.30668061428082</v>
          </cell>
          <cell r="F87">
            <v>79</v>
          </cell>
          <cell r="J87">
            <v>500.14257091604287</v>
          </cell>
        </row>
        <row r="88">
          <cell r="A88">
            <v>86</v>
          </cell>
          <cell r="E88">
            <v>170.23628572006746</v>
          </cell>
          <cell r="F88">
            <v>80</v>
          </cell>
          <cell r="J88">
            <v>511.63863535742718</v>
          </cell>
        </row>
        <row r="89">
          <cell r="A89">
            <v>87</v>
          </cell>
          <cell r="E89">
            <v>172.165375598157</v>
          </cell>
          <cell r="F89">
            <v>81</v>
          </cell>
          <cell r="J89">
            <v>522.74631149207426</v>
          </cell>
        </row>
        <row r="90">
          <cell r="A90">
            <v>88</v>
          </cell>
          <cell r="E90">
            <v>174.09395685591764</v>
          </cell>
          <cell r="F90">
            <v>82</v>
          </cell>
          <cell r="J90">
            <v>533.84901440052897</v>
          </cell>
        </row>
        <row r="91">
          <cell r="A91">
            <v>89</v>
          </cell>
          <cell r="E91">
            <v>176.02203594190519</v>
          </cell>
          <cell r="F91">
            <v>83</v>
          </cell>
          <cell r="J91">
            <v>544.94686208460519</v>
          </cell>
        </row>
        <row r="92">
          <cell r="A92">
            <v>90</v>
          </cell>
          <cell r="E92">
            <v>177.94961915142096</v>
          </cell>
          <cell r="F92">
            <v>84</v>
          </cell>
          <cell r="J92">
            <v>556.03996734839518</v>
          </cell>
        </row>
        <row r="93">
          <cell r="A93">
            <v>91</v>
          </cell>
          <cell r="E93">
            <v>179.87671263181528</v>
          </cell>
          <cell r="F93">
            <v>85</v>
          </cell>
          <cell r="J93">
            <v>567.12843812854373</v>
          </cell>
        </row>
        <row r="94">
          <cell r="A94">
            <v>92</v>
          </cell>
          <cell r="E94">
            <v>181.80332238755173</v>
          </cell>
          <cell r="F94">
            <v>85</v>
          </cell>
          <cell r="J94">
            <v>486.72341015001916</v>
          </cell>
        </row>
        <row r="95">
          <cell r="A95">
            <v>93</v>
          </cell>
          <cell r="E95">
            <v>183.72945428504417</v>
          </cell>
          <cell r="F95">
            <v>86</v>
          </cell>
          <cell r="J95">
            <v>497.07601440225955</v>
          </cell>
        </row>
        <row r="96">
          <cell r="A96">
            <v>94</v>
          </cell>
          <cell r="E96">
            <v>185.65511405728049</v>
          </cell>
          <cell r="F96">
            <v>87</v>
          </cell>
          <cell r="J96">
            <v>507.42405248193251</v>
          </cell>
        </row>
        <row r="97">
          <cell r="A97">
            <v>95</v>
          </cell>
          <cell r="E97">
            <v>187.5803073082437</v>
          </cell>
          <cell r="F97">
            <v>88</v>
          </cell>
          <cell r="J97">
            <v>517.76763064124975</v>
          </cell>
        </row>
        <row r="98">
          <cell r="A98">
            <v>96</v>
          </cell>
          <cell r="E98">
            <v>189.50503951714131</v>
          </cell>
          <cell r="F98">
            <v>89</v>
          </cell>
          <cell r="J98">
            <v>528.10685054075066</v>
          </cell>
        </row>
        <row r="99">
          <cell r="A99">
            <v>97</v>
          </cell>
          <cell r="E99">
            <v>191.42931604245396</v>
          </cell>
          <cell r="F99">
            <v>90</v>
          </cell>
          <cell r="J99">
            <v>538.44180953565854</v>
          </cell>
        </row>
        <row r="100">
          <cell r="A100">
            <v>98</v>
          </cell>
          <cell r="E100">
            <v>193.35314212581196</v>
          </cell>
          <cell r="F100">
            <v>91</v>
          </cell>
          <cell r="J100">
            <v>548.00749806060492</v>
          </cell>
        </row>
        <row r="101">
          <cell r="A101">
            <v>99</v>
          </cell>
          <cell r="E101">
            <v>195.27652289570918</v>
          </cell>
          <cell r="F101">
            <v>92</v>
          </cell>
          <cell r="J101">
            <v>557.56968475025803</v>
          </cell>
        </row>
        <row r="102">
          <cell r="A102">
            <v>100</v>
          </cell>
          <cell r="E102">
            <v>197.19946337106239</v>
          </cell>
          <cell r="F102">
            <v>93</v>
          </cell>
          <cell r="J102">
            <v>567.12843812854373</v>
          </cell>
        </row>
        <row r="103">
          <cell r="A103">
            <v>101</v>
          </cell>
          <cell r="E103">
            <v>199.12196846462484</v>
          </cell>
          <cell r="F103">
            <v>94</v>
          </cell>
          <cell r="J103">
            <v>576.68382422111188</v>
          </cell>
        </row>
        <row r="104">
          <cell r="A104">
            <v>102</v>
          </cell>
          <cell r="E104">
            <v>201.04404298625983</v>
          </cell>
          <cell r="F104">
            <v>95</v>
          </cell>
          <cell r="J104">
            <v>586.23590668718828</v>
          </cell>
        </row>
        <row r="105">
          <cell r="A105">
            <v>103</v>
          </cell>
          <cell r="E105">
            <v>202.96569164608289</v>
          </cell>
          <cell r="F105">
            <v>95</v>
          </cell>
          <cell r="J105">
            <v>505.89129373820583</v>
          </cell>
        </row>
        <row r="106">
          <cell r="A106">
            <v>104</v>
          </cell>
          <cell r="E106">
            <v>204.88691905747837</v>
          </cell>
          <cell r="F106">
            <v>96</v>
          </cell>
          <cell r="J106">
            <v>515.08638473795327</v>
          </cell>
        </row>
        <row r="107">
          <cell r="A107">
            <v>105</v>
          </cell>
          <cell r="E107">
            <v>206.80772973999626</v>
          </cell>
          <cell r="F107">
            <v>97</v>
          </cell>
          <cell r="J107">
            <v>524.27801174542878</v>
          </cell>
        </row>
        <row r="108">
          <cell r="A108">
            <v>106</v>
          </cell>
          <cell r="E108">
            <v>208.72812812213627</v>
          </cell>
          <cell r="F108">
            <v>98</v>
          </cell>
          <cell r="J108">
            <v>533.46624406259446</v>
          </cell>
        </row>
        <row r="109">
          <cell r="A109">
            <v>107</v>
          </cell>
          <cell r="E109">
            <v>210.64811854402308</v>
          </cell>
          <cell r="F109">
            <v>99</v>
          </cell>
          <cell r="J109">
            <v>542.65114840915601</v>
          </cell>
        </row>
        <row r="110">
          <cell r="A110">
            <v>108</v>
          </cell>
          <cell r="E110">
            <v>212.56770525997899</v>
          </cell>
          <cell r="F110">
            <v>100</v>
          </cell>
          <cell r="J110">
            <v>551.83278906179714</v>
          </cell>
        </row>
        <row r="111">
          <cell r="A111">
            <v>109</v>
          </cell>
          <cell r="E111">
            <v>214.48689244099899</v>
          </cell>
          <cell r="F111">
            <v>101</v>
          </cell>
          <cell r="J111">
            <v>560.62885616584492</v>
          </cell>
        </row>
        <row r="112">
          <cell r="A112">
            <v>110</v>
          </cell>
          <cell r="E112">
            <v>216.40568417713132</v>
          </cell>
          <cell r="F112">
            <v>102</v>
          </cell>
          <cell r="J112">
            <v>569.42203544921153</v>
          </cell>
        </row>
        <row r="113">
          <cell r="A113">
            <v>111</v>
          </cell>
          <cell r="E113">
            <v>218.32408447977059</v>
          </cell>
          <cell r="F113">
            <v>103</v>
          </cell>
          <cell r="J113">
            <v>578.21237779735463</v>
          </cell>
        </row>
        <row r="114">
          <cell r="A114">
            <v>112</v>
          </cell>
          <cell r="E114">
            <v>220.24209728386407</v>
          </cell>
          <cell r="F114">
            <v>104</v>
          </cell>
          <cell r="J114">
            <v>586.99993242228993</v>
          </cell>
        </row>
        <row r="115">
          <cell r="A115">
            <v>113</v>
          </cell>
          <cell r="E115">
            <v>222.15972645003862</v>
          </cell>
          <cell r="F115">
            <v>105</v>
          </cell>
          <cell r="J115">
            <v>595.7847469423931</v>
          </cell>
        </row>
        <row r="116">
          <cell r="A116">
            <v>114</v>
          </cell>
          <cell r="E116">
            <v>224.0769757666487</v>
          </cell>
          <cell r="F116">
            <v>105</v>
          </cell>
          <cell r="J116">
            <v>517.38461348648968</v>
          </cell>
        </row>
        <row r="117">
          <cell r="A117">
            <v>115</v>
          </cell>
          <cell r="E117">
            <v>225.99384895175194</v>
          </cell>
          <cell r="F117">
            <v>106</v>
          </cell>
          <cell r="J117">
            <v>525.42672503969118</v>
          </cell>
        </row>
        <row r="118">
          <cell r="A118">
            <v>116</v>
          </cell>
          <cell r="E118">
            <v>227.91034965501251</v>
          </cell>
          <cell r="F118">
            <v>107</v>
          </cell>
          <cell r="J118">
            <v>533.46624406259446</v>
          </cell>
        </row>
        <row r="119">
          <cell r="A119">
            <v>117</v>
          </cell>
          <cell r="E119">
            <v>229.8264814595382</v>
          </cell>
          <cell r="F119">
            <v>108</v>
          </cell>
          <cell r="J119">
            <v>541.50321514452025</v>
          </cell>
        </row>
        <row r="120">
          <cell r="A120">
            <v>118</v>
          </cell>
          <cell r="E120">
            <v>231.7422478836522</v>
          </cell>
          <cell r="F120">
            <v>109</v>
          </cell>
          <cell r="J120">
            <v>549.53768144295771</v>
          </cell>
        </row>
        <row r="121">
          <cell r="A121">
            <v>119</v>
          </cell>
          <cell r="E121">
            <v>233.65765238260346</v>
          </cell>
          <cell r="F121">
            <v>110</v>
          </cell>
          <cell r="J121">
            <v>557.56968475025803</v>
          </cell>
        </row>
        <row r="122">
          <cell r="A122">
            <v>120</v>
          </cell>
          <cell r="E122">
            <v>235.57269835021734</v>
          </cell>
          <cell r="F122">
            <v>111</v>
          </cell>
          <cell r="J122">
            <v>564.83464686291802</v>
          </cell>
        </row>
        <row r="123">
          <cell r="A123">
            <v>121</v>
          </cell>
          <cell r="E123">
            <v>237.48738912049089</v>
          </cell>
          <cell r="F123">
            <v>112</v>
          </cell>
          <cell r="J123">
            <v>572.09765505476253</v>
          </cell>
        </row>
        <row r="124">
          <cell r="A124">
            <v>122</v>
          </cell>
          <cell r="E124">
            <v>239.40172796913217</v>
          </cell>
          <cell r="F124">
            <v>113</v>
          </cell>
          <cell r="J124">
            <v>579.35873763530469</v>
          </cell>
        </row>
        <row r="125">
          <cell r="A125">
            <v>123</v>
          </cell>
          <cell r="E125">
            <v>241.31571811504921</v>
          </cell>
          <cell r="F125">
            <v>114</v>
          </cell>
          <cell r="J125">
            <v>586.61792214643719</v>
          </cell>
        </row>
        <row r="126">
          <cell r="A126">
            <v>124</v>
          </cell>
          <cell r="E126">
            <v>243.22936272178819</v>
          </cell>
          <cell r="F126">
            <v>115</v>
          </cell>
          <cell r="J126">
            <v>593.87523539269284</v>
          </cell>
        </row>
        <row r="127">
          <cell r="A127">
            <v>125</v>
          </cell>
          <cell r="E127">
            <v>245.14266489892438</v>
          </cell>
          <cell r="F127">
            <v>115</v>
          </cell>
          <cell r="J127">
            <v>523.12924541243819</v>
          </cell>
        </row>
        <row r="128">
          <cell r="A128">
            <v>126</v>
          </cell>
          <cell r="E128">
            <v>247.05562770340683</v>
          </cell>
          <cell r="F128">
            <v>116</v>
          </cell>
          <cell r="J128">
            <v>530.02105046908662</v>
          </cell>
        </row>
        <row r="129">
          <cell r="A129">
            <v>127</v>
          </cell>
          <cell r="E129">
            <v>248.96825414086001</v>
          </cell>
          <cell r="F129">
            <v>117</v>
          </cell>
          <cell r="J129">
            <v>536.91096968482668</v>
          </cell>
        </row>
        <row r="130">
          <cell r="A130">
            <v>128</v>
          </cell>
          <cell r="E130">
            <v>250.88054716684209</v>
          </cell>
          <cell r="F130">
            <v>118</v>
          </cell>
          <cell r="J130">
            <v>543.79903068153806</v>
          </cell>
        </row>
        <row r="131">
          <cell r="A131">
            <v>129</v>
          </cell>
          <cell r="E131">
            <v>252.79250968806375</v>
          </cell>
          <cell r="F131">
            <v>119</v>
          </cell>
          <cell r="J131">
            <v>550.68526032404009</v>
          </cell>
        </row>
        <row r="132">
          <cell r="A132">
            <v>130</v>
          </cell>
          <cell r="E132">
            <v>254.70414456356775</v>
          </cell>
          <cell r="F132">
            <v>120</v>
          </cell>
          <cell r="J132">
            <v>557.56968475025803</v>
          </cell>
        </row>
        <row r="133">
          <cell r="A133">
            <v>131</v>
          </cell>
          <cell r="E133">
            <v>256.61545460587098</v>
          </cell>
          <cell r="F133">
            <v>121</v>
          </cell>
          <cell r="J133">
            <v>563.68767821983909</v>
          </cell>
        </row>
        <row r="134">
          <cell r="A134">
            <v>132</v>
          </cell>
          <cell r="E134">
            <v>258.52644258207124</v>
          </cell>
          <cell r="F134">
            <v>122</v>
          </cell>
          <cell r="J134">
            <v>569.80428287631264</v>
          </cell>
        </row>
        <row r="135">
          <cell r="A135">
            <v>133</v>
          </cell>
          <cell r="E135">
            <v>260.43711121491833</v>
          </cell>
          <cell r="F135">
            <v>123</v>
          </cell>
          <cell r="J135">
            <v>575.91951573593758</v>
          </cell>
        </row>
        <row r="136">
          <cell r="A136">
            <v>134</v>
          </cell>
          <cell r="E136">
            <v>262.34746318385379</v>
          </cell>
          <cell r="F136">
            <v>124</v>
          </cell>
          <cell r="J136">
            <v>582.03339342401421</v>
          </cell>
        </row>
        <row r="137">
          <cell r="A137">
            <v>135</v>
          </cell>
          <cell r="E137">
            <v>264.25750112601685</v>
          </cell>
          <cell r="F137">
            <v>125</v>
          </cell>
          <cell r="J137">
            <v>588.14593218796983</v>
          </cell>
        </row>
        <row r="138">
          <cell r="A138">
            <v>136</v>
          </cell>
          <cell r="E138">
            <v>266.16722763722106</v>
          </cell>
          <cell r="F138">
            <v>125</v>
          </cell>
          <cell r="J138">
            <v>525.04382649327351</v>
          </cell>
        </row>
        <row r="139">
          <cell r="A139">
            <v>137</v>
          </cell>
          <cell r="E139">
            <v>268.07664527290075</v>
          </cell>
          <cell r="F139">
            <v>126</v>
          </cell>
          <cell r="J139">
            <v>531.1695005439999</v>
          </cell>
        </row>
        <row r="140">
          <cell r="A140">
            <v>138</v>
          </cell>
          <cell r="E140">
            <v>269.98575654902891</v>
          </cell>
          <cell r="F140">
            <v>127</v>
          </cell>
          <cell r="J140">
            <v>537.29368823845232</v>
          </cell>
        </row>
        <row r="141">
          <cell r="A141">
            <v>139</v>
          </cell>
          <cell r="E141">
            <v>271.89456394300873</v>
          </cell>
          <cell r="F141">
            <v>128</v>
          </cell>
          <cell r="J141">
            <v>543.4164089156161</v>
          </cell>
        </row>
        <row r="142">
          <cell r="A142">
            <v>140</v>
          </cell>
          <cell r="E142">
            <v>273.80306989453715</v>
          </cell>
          <cell r="F142">
            <v>129</v>
          </cell>
          <cell r="J142">
            <v>549.53768144295771</v>
          </cell>
        </row>
        <row r="143">
          <cell r="A143">
            <v>141</v>
          </cell>
          <cell r="E143">
            <v>275.71127680644446</v>
          </cell>
          <cell r="F143">
            <v>130</v>
          </cell>
          <cell r="J143">
            <v>555.65752423315951</v>
          </cell>
        </row>
        <row r="144">
          <cell r="A144">
            <v>142</v>
          </cell>
          <cell r="E144">
            <v>277.6191870455084</v>
          </cell>
          <cell r="F144">
            <v>131</v>
          </cell>
          <cell r="J144">
            <v>561.01122798366885</v>
          </cell>
        </row>
        <row r="145">
          <cell r="A145">
            <v>143</v>
          </cell>
          <cell r="E145">
            <v>279.52680294324551</v>
          </cell>
          <cell r="F145">
            <v>132</v>
          </cell>
          <cell r="J145">
            <v>566.36386263371833</v>
          </cell>
        </row>
        <row r="146">
          <cell r="A146">
            <v>144</v>
          </cell>
          <cell r="E146">
            <v>281.43412679667932</v>
          </cell>
          <cell r="F146">
            <v>133</v>
          </cell>
          <cell r="J146">
            <v>571.71543971696565</v>
          </cell>
        </row>
        <row r="147">
          <cell r="A147">
            <v>145</v>
          </cell>
          <cell r="E147">
            <v>283.34116086908551</v>
          </cell>
          <cell r="F147">
            <v>134</v>
          </cell>
          <cell r="J147">
            <v>577.06597053344126</v>
          </cell>
        </row>
        <row r="148">
          <cell r="A148">
            <v>146</v>
          </cell>
          <cell r="E148">
            <v>285.24790739071892</v>
          </cell>
          <cell r="F148">
            <v>135</v>
          </cell>
          <cell r="J148">
            <v>582.4154661564512</v>
          </cell>
        </row>
        <row r="149">
          <cell r="A149">
            <v>147</v>
          </cell>
          <cell r="E149">
            <v>287.15436855951606</v>
          </cell>
          <cell r="F149">
            <v>135</v>
          </cell>
          <cell r="J149">
            <v>526.95826048952063</v>
          </cell>
        </row>
        <row r="150">
          <cell r="A150">
            <v>148</v>
          </cell>
          <cell r="E150">
            <v>289.06054654178126</v>
          </cell>
          <cell r="F150">
            <v>136</v>
          </cell>
          <cell r="J150">
            <v>531.93510488968684</v>
          </cell>
        </row>
        <row r="151">
          <cell r="A151">
            <v>149</v>
          </cell>
          <cell r="E151">
            <v>290.9664434728524</v>
          </cell>
          <cell r="F151">
            <v>137</v>
          </cell>
          <cell r="J151">
            <v>536.91096968482668</v>
          </cell>
        </row>
        <row r="152">
          <cell r="A152">
            <v>150</v>
          </cell>
          <cell r="E152">
            <v>292.8720614577478</v>
          </cell>
          <cell r="F152">
            <v>138</v>
          </cell>
          <cell r="J152">
            <v>541.88586523948345</v>
          </cell>
        </row>
        <row r="153">
          <cell r="F153">
            <v>139</v>
          </cell>
          <cell r="J153">
            <v>546.8598017122614</v>
          </cell>
        </row>
        <row r="154">
          <cell r="F154">
            <v>140</v>
          </cell>
          <cell r="J154">
            <v>551.83278906179714</v>
          </cell>
        </row>
        <row r="155">
          <cell r="F155">
            <v>141</v>
          </cell>
          <cell r="J155">
            <v>556.80483705250049</v>
          </cell>
        </row>
        <row r="156">
          <cell r="F156">
            <v>142</v>
          </cell>
          <cell r="J156">
            <v>561.7759552600827</v>
          </cell>
        </row>
        <row r="157">
          <cell r="F157">
            <v>143</v>
          </cell>
          <cell r="J157">
            <v>566.7461530768777</v>
          </cell>
        </row>
        <row r="158">
          <cell r="F158">
            <v>144</v>
          </cell>
          <cell r="J158">
            <v>571.71543971696565</v>
          </cell>
        </row>
        <row r="159">
          <cell r="F159">
            <v>145</v>
          </cell>
          <cell r="J159">
            <v>576.68382422111188</v>
          </cell>
        </row>
        <row r="160">
          <cell r="F160">
            <v>146</v>
          </cell>
          <cell r="J160">
            <v>580.88714383067781</v>
          </cell>
        </row>
        <row r="161">
          <cell r="F161">
            <v>147</v>
          </cell>
          <cell r="J161">
            <v>585.08982917045773</v>
          </cell>
        </row>
        <row r="162">
          <cell r="F162">
            <v>148</v>
          </cell>
          <cell r="J162">
            <v>589.29188544145154</v>
          </cell>
        </row>
        <row r="163">
          <cell r="F163">
            <v>149</v>
          </cell>
          <cell r="J163">
            <v>593.49331776439851</v>
          </cell>
        </row>
        <row r="164">
          <cell r="F164">
            <v>150</v>
          </cell>
          <cell r="J164">
            <v>597.6941311815882</v>
          </cell>
        </row>
        <row r="165">
          <cell r="F165">
            <v>150</v>
          </cell>
          <cell r="J165">
            <v>0</v>
          </cell>
        </row>
        <row r="166">
          <cell r="F166"/>
          <cell r="J166"/>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tilleul
(tCO₂/ha)</v>
          </cell>
        </row>
        <row r="2">
          <cell r="A2">
            <v>0</v>
          </cell>
          <cell r="E2">
            <v>0</v>
          </cell>
          <cell r="F2">
            <v>0</v>
          </cell>
          <cell r="J2">
            <v>0</v>
          </cell>
        </row>
        <row r="3">
          <cell r="A3">
            <v>1</v>
          </cell>
          <cell r="E3">
            <v>2.2722141346836602</v>
          </cell>
          <cell r="F3">
            <v>1</v>
          </cell>
          <cell r="J3">
            <v>1.1296753639631136</v>
          </cell>
        </row>
        <row r="4">
          <cell r="A4">
            <v>2</v>
          </cell>
          <cell r="E4">
            <v>4.4322627676630342</v>
          </cell>
          <cell r="F4">
            <v>2</v>
          </cell>
          <cell r="J4">
            <v>2.2003229937246598</v>
          </cell>
        </row>
        <row r="5">
          <cell r="A5">
            <v>3</v>
          </cell>
          <cell r="E5">
            <v>6.5560875739478979</v>
          </cell>
          <cell r="F5">
            <v>3</v>
          </cell>
          <cell r="J5">
            <v>3.2519076283460024</v>
          </cell>
        </row>
        <row r="6">
          <cell r="A6">
            <v>4</v>
          </cell>
          <cell r="E6">
            <v>8.6575831706227913</v>
          </cell>
          <cell r="F6">
            <v>4</v>
          </cell>
          <cell r="J6">
            <v>4.2917413892159546</v>
          </cell>
        </row>
        <row r="7">
          <cell r="A7">
            <v>5</v>
          </cell>
          <cell r="E7">
            <v>10.743047053646096</v>
          </cell>
          <cell r="F7">
            <v>5</v>
          </cell>
          <cell r="J7">
            <v>6.3479890661467318</v>
          </cell>
        </row>
        <row r="8">
          <cell r="A8">
            <v>6</v>
          </cell>
          <cell r="E8">
            <v>12.816071577640272</v>
          </cell>
          <cell r="F8">
            <v>6</v>
          </cell>
          <cell r="J8">
            <v>9.3937464663867924</v>
          </cell>
        </row>
        <row r="9">
          <cell r="A9">
            <v>7</v>
          </cell>
          <cell r="E9">
            <v>14.878972594730007</v>
          </cell>
          <cell r="F9">
            <v>7</v>
          </cell>
          <cell r="J9">
            <v>13.408149238555248</v>
          </cell>
        </row>
        <row r="10">
          <cell r="A10">
            <v>8</v>
          </cell>
          <cell r="E10">
            <v>16.933363187349929</v>
          </cell>
          <cell r="F10">
            <v>8</v>
          </cell>
          <cell r="J10">
            <v>18.376130342149079</v>
          </cell>
        </row>
        <row r="11">
          <cell r="A11">
            <v>9</v>
          </cell>
          <cell r="E11">
            <v>18.980428991609543</v>
          </cell>
          <cell r="F11">
            <v>9</v>
          </cell>
          <cell r="J11">
            <v>24.286544976498547</v>
          </cell>
        </row>
        <row r="12">
          <cell r="A12">
            <v>10</v>
          </cell>
          <cell r="E12">
            <v>21.021076712150265</v>
          </cell>
          <cell r="F12">
            <v>10</v>
          </cell>
          <cell r="J12">
            <v>31.130798969508078</v>
          </cell>
        </row>
        <row r="13">
          <cell r="A13">
            <v>11</v>
          </cell>
          <cell r="E13">
            <v>23.056021218970372</v>
          </cell>
          <cell r="F13">
            <v>11</v>
          </cell>
          <cell r="J13">
            <v>38.902006779696443</v>
          </cell>
        </row>
        <row r="14">
          <cell r="A14">
            <v>12</v>
          </cell>
          <cell r="E14">
            <v>25.085839950688193</v>
          </cell>
          <cell r="F14">
            <v>12</v>
          </cell>
          <cell r="J14">
            <v>47.594477436319387</v>
          </cell>
        </row>
        <row r="15">
          <cell r="A15">
            <v>13</v>
          </cell>
          <cell r="E15">
            <v>27.111008618154589</v>
          </cell>
          <cell r="F15">
            <v>13</v>
          </cell>
          <cell r="J15">
            <v>57.203389887100847</v>
          </cell>
        </row>
        <row r="16">
          <cell r="A16">
            <v>14</v>
          </cell>
          <cell r="E16">
            <v>29.131925588483782</v>
          </cell>
          <cell r="F16">
            <v>14</v>
          </cell>
          <cell r="J16">
            <v>67.724579331966666</v>
          </cell>
        </row>
        <row r="17">
          <cell r="A17">
            <v>15</v>
          </cell>
          <cell r="E17">
            <v>31.148929094436621</v>
          </cell>
          <cell r="F17">
            <v>15</v>
          </cell>
          <cell r="J17">
            <v>76.301145689172856</v>
          </cell>
        </row>
        <row r="18">
          <cell r="A18">
            <v>16</v>
          </cell>
          <cell r="E18">
            <v>33.162309719687322</v>
          </cell>
          <cell r="F18">
            <v>16</v>
          </cell>
          <cell r="J18">
            <v>88.457340034120918</v>
          </cell>
        </row>
        <row r="19">
          <cell r="A19">
            <v>17</v>
          </cell>
          <cell r="E19">
            <v>35.172319671970534</v>
          </cell>
          <cell r="F19">
            <v>17</v>
          </cell>
          <cell r="J19">
            <v>100.57156022593183</v>
          </cell>
        </row>
        <row r="20">
          <cell r="A20">
            <v>18</v>
          </cell>
          <cell r="E20">
            <v>37.179179811358189</v>
          </cell>
          <cell r="F20">
            <v>18</v>
          </cell>
          <cell r="J20">
            <v>112.64958590196655</v>
          </cell>
        </row>
        <row r="21">
          <cell r="A21">
            <v>19</v>
          </cell>
          <cell r="E21">
            <v>39.183085071920395</v>
          </cell>
          <cell r="F21">
            <v>19</v>
          </cell>
          <cell r="J21">
            <v>124.69585112217389</v>
          </cell>
        </row>
        <row r="22">
          <cell r="A22">
            <v>20</v>
          </cell>
          <cell r="E22">
            <v>41.184208709422556</v>
          </cell>
          <cell r="F22">
            <v>20</v>
          </cell>
          <cell r="J22">
            <v>136.71386058122562</v>
          </cell>
        </row>
        <row r="23">
          <cell r="A23">
            <v>21</v>
          </cell>
          <cell r="E23">
            <v>43.182705675340429</v>
          </cell>
          <cell r="F23">
            <v>21</v>
          </cell>
          <cell r="J23">
            <v>149.0808364262418</v>
          </cell>
        </row>
        <row r="24">
          <cell r="A24">
            <v>22</v>
          </cell>
          <cell r="E24">
            <v>45.178715329996784</v>
          </cell>
          <cell r="F24">
            <v>22</v>
          </cell>
          <cell r="J24">
            <v>161.42333771015896</v>
          </cell>
        </row>
        <row r="25">
          <cell r="A25">
            <v>23</v>
          </cell>
          <cell r="E25">
            <v>47.172363648455985</v>
          </cell>
          <cell r="F25">
            <v>23</v>
          </cell>
          <cell r="J25">
            <v>173.7435009812958</v>
          </cell>
        </row>
        <row r="26">
          <cell r="A26">
            <v>24</v>
          </cell>
          <cell r="E26">
            <v>49.163765031959791</v>
          </cell>
          <cell r="F26">
            <v>24</v>
          </cell>
          <cell r="J26">
            <v>186.04313457943746</v>
          </cell>
        </row>
        <row r="27">
          <cell r="A27">
            <v>25</v>
          </cell>
          <cell r="E27">
            <v>51.153023808950088</v>
          </cell>
          <cell r="F27">
            <v>25</v>
          </cell>
          <cell r="J27">
            <v>198.32378790230177</v>
          </cell>
        </row>
        <row r="28">
          <cell r="A28">
            <v>26</v>
          </cell>
          <cell r="E28">
            <v>53.140235489167587</v>
          </cell>
          <cell r="F28">
            <v>25</v>
          </cell>
          <cell r="J28">
            <v>139.52681109706691</v>
          </cell>
        </row>
        <row r="29">
          <cell r="A29">
            <v>27</v>
          </cell>
          <cell r="E29">
            <v>55.125487819385434</v>
          </cell>
          <cell r="F29">
            <v>26</v>
          </cell>
          <cell r="J29">
            <v>151.32668038460233</v>
          </cell>
        </row>
        <row r="30">
          <cell r="A30">
            <v>28</v>
          </cell>
          <cell r="E30">
            <v>57.10886167834105</v>
          </cell>
          <cell r="F30">
            <v>27</v>
          </cell>
          <cell r="J30">
            <v>163.10463194167394</v>
          </cell>
        </row>
        <row r="31">
          <cell r="A31">
            <v>29</v>
          </cell>
          <cell r="E31">
            <v>59.090431840228007</v>
          </cell>
          <cell r="F31">
            <v>28</v>
          </cell>
          <cell r="J31">
            <v>174.86247286052662</v>
          </cell>
        </row>
        <row r="32">
          <cell r="A32">
            <v>30</v>
          </cell>
          <cell r="E32">
            <v>61.07026762991989</v>
          </cell>
          <cell r="F32">
            <v>29</v>
          </cell>
          <cell r="J32">
            <v>186.60174701218963</v>
          </cell>
        </row>
        <row r="33">
          <cell r="A33">
            <v>31</v>
          </cell>
          <cell r="E33">
            <v>63.048433488376901</v>
          </cell>
          <cell r="F33">
            <v>30</v>
          </cell>
          <cell r="J33">
            <v>198.32378790230177</v>
          </cell>
        </row>
        <row r="34">
          <cell r="A34">
            <v>32</v>
          </cell>
          <cell r="E34">
            <v>65.024989463047447</v>
          </cell>
          <cell r="F34">
            <v>31</v>
          </cell>
          <cell r="J34">
            <v>209.47268002053463</v>
          </cell>
        </row>
        <row r="35">
          <cell r="A35">
            <v>33</v>
          </cell>
          <cell r="E35">
            <v>66.999991635247355</v>
          </cell>
          <cell r="F35">
            <v>32</v>
          </cell>
          <cell r="J35">
            <v>220.60788240530164</v>
          </cell>
        </row>
        <row r="36">
          <cell r="A36">
            <v>34</v>
          </cell>
          <cell r="E36">
            <v>68.97349249428018</v>
          </cell>
          <cell r="F36">
            <v>33</v>
          </cell>
          <cell r="J36">
            <v>231.73018391404946</v>
          </cell>
        </row>
        <row r="37">
          <cell r="A37">
            <v>35</v>
          </cell>
          <cell r="E37">
            <v>70.945541266306407</v>
          </cell>
          <cell r="F37">
            <v>34</v>
          </cell>
          <cell r="J37">
            <v>242.84029142815555</v>
          </cell>
        </row>
        <row r="38">
          <cell r="A38">
            <v>36</v>
          </cell>
          <cell r="E38">
            <v>72.916184204571309</v>
          </cell>
          <cell r="F38">
            <v>35</v>
          </cell>
          <cell r="J38">
            <v>253.93884181380471</v>
          </cell>
        </row>
        <row r="39">
          <cell r="A39">
            <v>37</v>
          </cell>
          <cell r="E39">
            <v>74.885464846478598</v>
          </cell>
          <cell r="F39">
            <v>35</v>
          </cell>
          <cell r="J39">
            <v>204.82902043085244</v>
          </cell>
        </row>
        <row r="40">
          <cell r="A40">
            <v>38</v>
          </cell>
          <cell r="E40">
            <v>76.853424242090881</v>
          </cell>
          <cell r="F40">
            <v>36</v>
          </cell>
          <cell r="J40">
            <v>215.22752536323196</v>
          </cell>
        </row>
        <row r="41">
          <cell r="A41">
            <v>39</v>
          </cell>
          <cell r="E41">
            <v>78.820101157900652</v>
          </cell>
          <cell r="F41">
            <v>37</v>
          </cell>
          <cell r="J41">
            <v>225.61447053517372</v>
          </cell>
        </row>
        <row r="42">
          <cell r="A42">
            <v>40</v>
          </cell>
          <cell r="E42">
            <v>80.785532259113808</v>
          </cell>
          <cell r="F42">
            <v>38</v>
          </cell>
          <cell r="J42">
            <v>235.99046358292776</v>
          </cell>
        </row>
        <row r="43">
          <cell r="A43">
            <v>41</v>
          </cell>
          <cell r="E43">
            <v>82.749752273191604</v>
          </cell>
          <cell r="F43">
            <v>39</v>
          </cell>
          <cell r="J43">
            <v>246.3560542968282</v>
          </cell>
        </row>
        <row r="44">
          <cell r="A44">
            <v>42</v>
          </cell>
          <cell r="E44">
            <v>84.712794136987995</v>
          </cell>
          <cell r="F44">
            <v>40</v>
          </cell>
          <cell r="J44">
            <v>256.71174238331622</v>
          </cell>
        </row>
        <row r="45">
          <cell r="A45">
            <v>43</v>
          </cell>
          <cell r="E45">
            <v>86.674689129479319</v>
          </cell>
          <cell r="F45">
            <v>41</v>
          </cell>
          <cell r="J45">
            <v>266.50395342082282</v>
          </cell>
        </row>
        <row r="46">
          <cell r="A46">
            <v>44</v>
          </cell>
          <cell r="E46">
            <v>88.635466991799021</v>
          </cell>
          <cell r="F46">
            <v>42</v>
          </cell>
          <cell r="J46">
            <v>276.28805817875144</v>
          </cell>
        </row>
        <row r="47">
          <cell r="A47">
            <v>45</v>
          </cell>
          <cell r="E47">
            <v>90.595156036052515</v>
          </cell>
          <cell r="F47">
            <v>43</v>
          </cell>
          <cell r="J47">
            <v>286.06438440827787</v>
          </cell>
        </row>
        <row r="48">
          <cell r="A48">
            <v>46</v>
          </cell>
          <cell r="E48">
            <v>92.553783244187045</v>
          </cell>
          <cell r="F48">
            <v>44</v>
          </cell>
          <cell r="J48">
            <v>295.83323561247488</v>
          </cell>
        </row>
        <row r="49">
          <cell r="A49">
            <v>47</v>
          </cell>
          <cell r="E49">
            <v>94.511374358021442</v>
          </cell>
          <cell r="F49">
            <v>45</v>
          </cell>
          <cell r="J49">
            <v>305.59489359914369</v>
          </cell>
        </row>
        <row r="50">
          <cell r="A50">
            <v>48</v>
          </cell>
          <cell r="E50">
            <v>96.467953961397697</v>
          </cell>
          <cell r="F50">
            <v>45</v>
          </cell>
          <cell r="J50">
            <v>256.71174238331622</v>
          </cell>
        </row>
        <row r="51">
          <cell r="A51">
            <v>49</v>
          </cell>
          <cell r="E51">
            <v>98.423545555293359</v>
          </cell>
          <cell r="F51">
            <v>46</v>
          </cell>
          <cell r="J51">
            <v>265.76520570407024</v>
          </cell>
        </row>
        <row r="52">
          <cell r="A52">
            <v>50</v>
          </cell>
          <cell r="E52">
            <v>100.37817162662895</v>
          </cell>
          <cell r="F52">
            <v>47</v>
          </cell>
          <cell r="J52">
            <v>274.81171839209094</v>
          </cell>
        </row>
        <row r="53">
          <cell r="A53">
            <v>51</v>
          </cell>
          <cell r="E53">
            <v>102.33185371141566</v>
          </cell>
          <cell r="F53">
            <v>48</v>
          </cell>
          <cell r="J53">
            <v>283.85154171752504</v>
          </cell>
        </row>
        <row r="54">
          <cell r="A54">
            <v>52</v>
          </cell>
          <cell r="E54">
            <v>104.28461245280987</v>
          </cell>
          <cell r="F54">
            <v>49</v>
          </cell>
          <cell r="J54">
            <v>292.88491893596603</v>
          </cell>
        </row>
        <row r="55">
          <cell r="A55">
            <v>53</v>
          </cell>
          <cell r="E55">
            <v>106.23646765457615</v>
          </cell>
          <cell r="F55">
            <v>50</v>
          </cell>
          <cell r="J55">
            <v>301.91207706001939</v>
          </cell>
        </row>
        <row r="56">
          <cell r="A56">
            <v>54</v>
          </cell>
          <cell r="E56">
            <v>108.18743833040098</v>
          </cell>
          <cell r="F56">
            <v>51</v>
          </cell>
          <cell r="J56">
            <v>310.19702819862079</v>
          </cell>
        </row>
        <row r="57">
          <cell r="A57">
            <v>55</v>
          </cell>
          <cell r="E57">
            <v>110.13754274945018</v>
          </cell>
          <cell r="F57">
            <v>52</v>
          </cell>
          <cell r="J57">
            <v>318.47706788363638</v>
          </cell>
        </row>
        <row r="58">
          <cell r="A58">
            <v>56</v>
          </cell>
          <cell r="E58">
            <v>112.08679847851975</v>
          </cell>
          <cell r="F58">
            <v>53</v>
          </cell>
          <cell r="J58">
            <v>326.75234192487522</v>
          </cell>
        </row>
        <row r="59">
          <cell r="A59">
            <v>57</v>
          </cell>
          <cell r="E59">
            <v>114.03522242109018</v>
          </cell>
          <cell r="F59">
            <v>54</v>
          </cell>
          <cell r="J59">
            <v>335.02298813768715</v>
          </cell>
        </row>
        <row r="60">
          <cell r="A60">
            <v>58</v>
          </cell>
          <cell r="E60">
            <v>115.98283085356285</v>
          </cell>
          <cell r="F60">
            <v>55</v>
          </cell>
          <cell r="J60">
            <v>343.28913697215444</v>
          </cell>
        </row>
        <row r="61">
          <cell r="A61">
            <v>59</v>
          </cell>
          <cell r="E61">
            <v>117.92963945892645</v>
          </cell>
          <cell r="F61">
            <v>55</v>
          </cell>
          <cell r="J61">
            <v>298.22825996252726</v>
          </cell>
        </row>
        <row r="62">
          <cell r="A62">
            <v>60</v>
          </cell>
          <cell r="E62">
            <v>119.87566335807644</v>
          </cell>
          <cell r="F62">
            <v>56</v>
          </cell>
          <cell r="J62">
            <v>305.96312075604669</v>
          </cell>
        </row>
        <row r="63">
          <cell r="A63">
            <v>61</v>
          </cell>
          <cell r="E63">
            <v>121.82091713898711</v>
          </cell>
          <cell r="F63">
            <v>57</v>
          </cell>
          <cell r="J63">
            <v>313.69363540885178</v>
          </cell>
        </row>
        <row r="64">
          <cell r="A64">
            <v>62</v>
          </cell>
          <cell r="E64">
            <v>123.7654148839167</v>
          </cell>
          <cell r="F64">
            <v>58</v>
          </cell>
          <cell r="J64">
            <v>321.41992623463267</v>
          </cell>
        </row>
        <row r="65">
          <cell r="A65">
            <v>63</v>
          </cell>
          <cell r="E65">
            <v>125.70917019480748</v>
          </cell>
          <cell r="F65">
            <v>59</v>
          </cell>
          <cell r="J65">
            <v>329.14210918127696</v>
          </cell>
        </row>
        <row r="66">
          <cell r="A66">
            <v>64</v>
          </cell>
          <cell r="E66">
            <v>127.65219621702742</v>
          </cell>
          <cell r="F66">
            <v>60</v>
          </cell>
          <cell r="J66">
            <v>336.86029430705378</v>
          </cell>
        </row>
        <row r="67">
          <cell r="A67">
            <v>65</v>
          </cell>
          <cell r="E67">
            <v>129.59450566158588</v>
          </cell>
          <cell r="F67">
            <v>61</v>
          </cell>
          <cell r="J67">
            <v>344.20732577147555</v>
          </cell>
        </row>
        <row r="68">
          <cell r="A68">
            <v>66</v>
          </cell>
          <cell r="E68">
            <v>131.53611082594338</v>
          </cell>
          <cell r="F68">
            <v>62</v>
          </cell>
          <cell r="J68">
            <v>351.5509120784784</v>
          </cell>
        </row>
        <row r="69">
          <cell r="A69">
            <v>67</v>
          </cell>
          <cell r="E69">
            <v>133.47702361352444</v>
          </cell>
          <cell r="F69">
            <v>63</v>
          </cell>
          <cell r="J69">
            <v>358.89113540947892</v>
          </cell>
        </row>
        <row r="70">
          <cell r="A70">
            <v>68</v>
          </cell>
          <cell r="E70">
            <v>135.41725555203226</v>
          </cell>
          <cell r="F70">
            <v>64</v>
          </cell>
          <cell r="J70">
            <v>366.22807430704466</v>
          </cell>
        </row>
        <row r="71">
          <cell r="A71">
            <v>69</v>
          </cell>
          <cell r="E71">
            <v>137.35681781065566</v>
          </cell>
          <cell r="F71">
            <v>65</v>
          </cell>
          <cell r="J71">
            <v>373.56180390729855</v>
          </cell>
        </row>
        <row r="72">
          <cell r="A72">
            <v>70</v>
          </cell>
          <cell r="E72">
            <v>139.29572121624977</v>
          </cell>
          <cell r="F72">
            <v>65</v>
          </cell>
          <cell r="J72">
            <v>333.18545990213522</v>
          </cell>
        </row>
        <row r="73">
          <cell r="A73">
            <v>71</v>
          </cell>
          <cell r="E73">
            <v>141.23397626856661</v>
          </cell>
          <cell r="F73">
            <v>66</v>
          </cell>
          <cell r="J73">
            <v>340.3505691822013</v>
          </cell>
        </row>
        <row r="74">
          <cell r="A74">
            <v>72</v>
          </cell>
          <cell r="E74">
            <v>143.17159315460216</v>
          </cell>
          <cell r="F74">
            <v>67</v>
          </cell>
          <cell r="J74">
            <v>347.51236094515139</v>
          </cell>
        </row>
        <row r="75">
          <cell r="A75">
            <v>73</v>
          </cell>
          <cell r="E75">
            <v>145.10858176212469</v>
          </cell>
          <cell r="F75">
            <v>68</v>
          </cell>
          <cell r="J75">
            <v>354.67091326876107</v>
          </cell>
        </row>
        <row r="76">
          <cell r="A76">
            <v>74</v>
          </cell>
          <cell r="E76">
            <v>147.04495169244021</v>
          </cell>
          <cell r="F76">
            <v>69</v>
          </cell>
          <cell r="J76">
            <v>361.82630081896735</v>
          </cell>
        </row>
        <row r="77">
          <cell r="A77">
            <v>75</v>
          </cell>
          <cell r="E77">
            <v>148.98071227244827</v>
          </cell>
          <cell r="F77">
            <v>70</v>
          </cell>
          <cell r="J77">
            <v>368.97859506497747</v>
          </cell>
        </row>
        <row r="78">
          <cell r="A78">
            <v>76</v>
          </cell>
          <cell r="E78">
            <v>150.91587256603668</v>
          </cell>
          <cell r="F78">
            <v>71</v>
          </cell>
          <cell r="J78">
            <v>375.57802655568094</v>
          </cell>
        </row>
        <row r="79">
          <cell r="A79">
            <v>77</v>
          </cell>
          <cell r="E79">
            <v>152.85044138485935</v>
          </cell>
          <cell r="F79">
            <v>72</v>
          </cell>
          <cell r="J79">
            <v>382.17493242028701</v>
          </cell>
        </row>
        <row r="80">
          <cell r="A80">
            <v>78</v>
          </cell>
          <cell r="E80">
            <v>154.78442729853825</v>
          </cell>
          <cell r="F80">
            <v>73</v>
          </cell>
          <cell r="J80">
            <v>388.76936244388736</v>
          </cell>
        </row>
        <row r="81">
          <cell r="A81">
            <v>79</v>
          </cell>
          <cell r="E81">
            <v>156.7178386443274</v>
          </cell>
          <cell r="F81">
            <v>74</v>
          </cell>
          <cell r="J81">
            <v>395.36136458336074</v>
          </cell>
        </row>
        <row r="82">
          <cell r="A82">
            <v>80</v>
          </cell>
          <cell r="E82">
            <v>158.65068353627368</v>
          </cell>
          <cell r="F82">
            <v>75</v>
          </cell>
          <cell r="J82">
            <v>401.95098506454968</v>
          </cell>
        </row>
        <row r="83">
          <cell r="A83">
            <v>81</v>
          </cell>
          <cell r="E83">
            <v>160.58296987390614</v>
          </cell>
          <cell r="F83">
            <v>75</v>
          </cell>
          <cell r="J83">
            <v>362.56001063918211</v>
          </cell>
        </row>
        <row r="84">
          <cell r="A84">
            <v>82</v>
          </cell>
          <cell r="E84">
            <v>162.51470535048455</v>
          </cell>
          <cell r="F84">
            <v>76</v>
          </cell>
          <cell r="J84">
            <v>368.61188489876855</v>
          </cell>
        </row>
        <row r="85">
          <cell r="A85">
            <v>83</v>
          </cell>
          <cell r="E85">
            <v>164.44589746083366</v>
          </cell>
          <cell r="F85">
            <v>77</v>
          </cell>
          <cell r="J85">
            <v>374.66159103269348</v>
          </cell>
        </row>
        <row r="86">
          <cell r="A86">
            <v>84</v>
          </cell>
          <cell r="E86">
            <v>166.37655350878956</v>
          </cell>
          <cell r="F86">
            <v>78</v>
          </cell>
          <cell r="J86">
            <v>380.70916902435761</v>
          </cell>
        </row>
        <row r="87">
          <cell r="A87">
            <v>85</v>
          </cell>
          <cell r="E87">
            <v>168.30668061428082</v>
          </cell>
          <cell r="F87">
            <v>79</v>
          </cell>
          <cell r="J87">
            <v>386.75465748199395</v>
          </cell>
        </row>
        <row r="88">
          <cell r="A88">
            <v>86</v>
          </cell>
          <cell r="E88">
            <v>170.23628572006746</v>
          </cell>
          <cell r="F88">
            <v>80</v>
          </cell>
          <cell r="J88">
            <v>392.79809370720182</v>
          </cell>
        </row>
        <row r="89">
          <cell r="A89">
            <v>87</v>
          </cell>
          <cell r="E89">
            <v>172.165375598157</v>
          </cell>
          <cell r="F89">
            <v>81</v>
          </cell>
          <cell r="J89">
            <v>398.65646970722736</v>
          </cell>
        </row>
        <row r="90">
          <cell r="A90">
            <v>88</v>
          </cell>
          <cell r="E90">
            <v>174.09395685591764</v>
          </cell>
          <cell r="F90">
            <v>82</v>
          </cell>
          <cell r="J90">
            <v>404.51298169693905</v>
          </cell>
        </row>
        <row r="91">
          <cell r="A91">
            <v>89</v>
          </cell>
          <cell r="E91">
            <v>176.02203594190516</v>
          </cell>
          <cell r="F91">
            <v>83</v>
          </cell>
          <cell r="J91">
            <v>410.36766049564739</v>
          </cell>
        </row>
        <row r="92">
          <cell r="A92">
            <v>90</v>
          </cell>
          <cell r="E92">
            <v>177.94961915142096</v>
          </cell>
          <cell r="F92">
            <v>84</v>
          </cell>
          <cell r="J92">
            <v>416.2205359707321</v>
          </cell>
        </row>
        <row r="93">
          <cell r="A93">
            <v>91</v>
          </cell>
          <cell r="E93">
            <v>179.87671263181528</v>
          </cell>
          <cell r="F93">
            <v>85</v>
          </cell>
          <cell r="J93">
            <v>422.07163708031629</v>
          </cell>
        </row>
        <row r="94">
          <cell r="A94">
            <v>92</v>
          </cell>
          <cell r="E94">
            <v>181.80332238755173</v>
          </cell>
          <cell r="F94">
            <v>85</v>
          </cell>
          <cell r="J94">
            <v>386.38832303118897</v>
          </cell>
        </row>
        <row r="95">
          <cell r="A95">
            <v>93</v>
          </cell>
          <cell r="E95">
            <v>183.72945428504417</v>
          </cell>
          <cell r="F95">
            <v>86</v>
          </cell>
          <cell r="J95">
            <v>391.88255202569809</v>
          </cell>
        </row>
        <row r="96">
          <cell r="A96">
            <v>94</v>
          </cell>
          <cell r="E96">
            <v>185.65511405728049</v>
          </cell>
          <cell r="F96">
            <v>87</v>
          </cell>
          <cell r="J96">
            <v>397.375110324182</v>
          </cell>
        </row>
        <row r="97">
          <cell r="A97">
            <v>95</v>
          </cell>
          <cell r="E97">
            <v>187.5803073082437</v>
          </cell>
          <cell r="F97">
            <v>88</v>
          </cell>
          <cell r="J97">
            <v>402.86602430053182</v>
          </cell>
        </row>
        <row r="98">
          <cell r="A98">
            <v>96</v>
          </cell>
          <cell r="E98">
            <v>189.50503951714128</v>
          </cell>
          <cell r="F98">
            <v>89</v>
          </cell>
          <cell r="J98">
            <v>408.35531955034372</v>
          </cell>
        </row>
        <row r="99">
          <cell r="A99">
            <v>97</v>
          </cell>
          <cell r="E99">
            <v>191.42931604245396</v>
          </cell>
          <cell r="F99">
            <v>90</v>
          </cell>
          <cell r="J99">
            <v>413.84302092427464</v>
          </cell>
        </row>
        <row r="100">
          <cell r="A100">
            <v>98</v>
          </cell>
          <cell r="E100">
            <v>193.35314212581196</v>
          </cell>
          <cell r="F100">
            <v>91</v>
          </cell>
          <cell r="J100">
            <v>419.14630654573187</v>
          </cell>
        </row>
        <row r="101">
          <cell r="A101">
            <v>99</v>
          </cell>
          <cell r="E101">
            <v>195.27652289570918</v>
          </cell>
          <cell r="F101">
            <v>92</v>
          </cell>
          <cell r="J101">
            <v>424.44814653245061</v>
          </cell>
        </row>
        <row r="102">
          <cell r="A102">
            <v>100</v>
          </cell>
          <cell r="E102">
            <v>197.19946337106239</v>
          </cell>
          <cell r="F102">
            <v>93</v>
          </cell>
          <cell r="J102">
            <v>429.74856150658383</v>
          </cell>
        </row>
        <row r="103">
          <cell r="A103">
            <v>101</v>
          </cell>
          <cell r="E103">
            <v>199.12196846462484</v>
          </cell>
          <cell r="F103">
            <v>94</v>
          </cell>
          <cell r="J103">
            <v>435.04757153962379</v>
          </cell>
        </row>
        <row r="104">
          <cell r="A104">
            <v>102</v>
          </cell>
          <cell r="E104">
            <v>201.04404298625983</v>
          </cell>
          <cell r="F104">
            <v>95</v>
          </cell>
          <cell r="J104">
            <v>440.34519617378447</v>
          </cell>
        </row>
        <row r="105">
          <cell r="A105">
            <v>103</v>
          </cell>
          <cell r="E105">
            <v>202.96569164608289</v>
          </cell>
          <cell r="F105">
            <v>95</v>
          </cell>
          <cell r="J105">
            <v>406.52573277661151</v>
          </cell>
        </row>
        <row r="106">
          <cell r="A106">
            <v>104</v>
          </cell>
          <cell r="E106">
            <v>204.88691905747837</v>
          </cell>
          <cell r="F106">
            <v>96</v>
          </cell>
          <cell r="J106">
            <v>411.64813007939983</v>
          </cell>
        </row>
        <row r="107">
          <cell r="A107">
            <v>105</v>
          </cell>
          <cell r="E107">
            <v>206.80772973999626</v>
          </cell>
          <cell r="F107">
            <v>97</v>
          </cell>
          <cell r="J107">
            <v>416.76915163430567</v>
          </cell>
        </row>
        <row r="108">
          <cell r="A108">
            <v>106</v>
          </cell>
          <cell r="E108">
            <v>208.72812812213633</v>
          </cell>
          <cell r="F108">
            <v>98</v>
          </cell>
          <cell r="J108">
            <v>421.88881674752457</v>
          </cell>
        </row>
        <row r="109">
          <cell r="A109">
            <v>107</v>
          </cell>
          <cell r="E109">
            <v>210.64811854402308</v>
          </cell>
          <cell r="F109">
            <v>99</v>
          </cell>
          <cell r="J109">
            <v>427.00714421800609</v>
          </cell>
        </row>
        <row r="110">
          <cell r="A110">
            <v>108</v>
          </cell>
          <cell r="E110">
            <v>212.56770525997908</v>
          </cell>
          <cell r="F110">
            <v>100</v>
          </cell>
          <cell r="J110">
            <v>432.12415235683949</v>
          </cell>
        </row>
        <row r="111">
          <cell r="A111">
            <v>109</v>
          </cell>
          <cell r="E111">
            <v>214.48689244099896</v>
          </cell>
          <cell r="F111">
            <v>101</v>
          </cell>
          <cell r="J111">
            <v>436.69180930289576</v>
          </cell>
        </row>
        <row r="112">
          <cell r="A112">
            <v>110</v>
          </cell>
          <cell r="E112">
            <v>216.40568417713132</v>
          </cell>
          <cell r="F112">
            <v>102</v>
          </cell>
          <cell r="J112">
            <v>441.2584411094569</v>
          </cell>
        </row>
        <row r="113">
          <cell r="F113">
            <v>103</v>
          </cell>
          <cell r="J113">
            <v>445.82405989308478</v>
          </cell>
        </row>
        <row r="114">
          <cell r="F114">
            <v>104</v>
          </cell>
          <cell r="J114">
            <v>450.38867750169055</v>
          </cell>
        </row>
        <row r="115">
          <cell r="F115">
            <v>105</v>
          </cell>
          <cell r="J115">
            <v>454.95230552321544</v>
          </cell>
        </row>
        <row r="116">
          <cell r="F116">
            <v>106</v>
          </cell>
          <cell r="J116">
            <v>459.69744109486123</v>
          </cell>
        </row>
        <row r="117">
          <cell r="F117">
            <v>107</v>
          </cell>
          <cell r="J117">
            <v>464.44153106100697</v>
          </cell>
        </row>
        <row r="118">
          <cell r="F118">
            <v>108</v>
          </cell>
          <cell r="J118">
            <v>469.18458761820074</v>
          </cell>
        </row>
        <row r="119">
          <cell r="F119">
            <v>109</v>
          </cell>
          <cell r="J119">
            <v>473.92662269607291</v>
          </cell>
        </row>
        <row r="120">
          <cell r="F120">
            <v>110</v>
          </cell>
          <cell r="J120">
            <v>478.66764796584999</v>
          </cell>
        </row>
        <row r="121">
          <cell r="F121">
            <v>110</v>
          </cell>
          <cell r="J121">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J1" t="str">
            <v>Biomasse totale chêne rouge
(tCO₂/ha)</v>
          </cell>
        </row>
        <row r="2">
          <cell r="A2">
            <v>0</v>
          </cell>
          <cell r="E2">
            <v>0</v>
          </cell>
          <cell r="F2">
            <v>0</v>
          </cell>
          <cell r="J2">
            <v>0</v>
          </cell>
        </row>
        <row r="3">
          <cell r="A3">
            <v>1</v>
          </cell>
          <cell r="E3">
            <v>2.2722141346836602</v>
          </cell>
          <cell r="F3">
            <v>1</v>
          </cell>
          <cell r="J3">
            <v>1.4561904473698064</v>
          </cell>
        </row>
        <row r="4">
          <cell r="A4">
            <v>2</v>
          </cell>
          <cell r="E4">
            <v>4.4322627676630342</v>
          </cell>
          <cell r="F4">
            <v>2</v>
          </cell>
          <cell r="J4">
            <v>2.837835241238285</v>
          </cell>
        </row>
        <row r="5">
          <cell r="A5">
            <v>3</v>
          </cell>
          <cell r="E5">
            <v>6.5560875739478979</v>
          </cell>
          <cell r="F5">
            <v>3</v>
          </cell>
          <cell r="J5">
            <v>4.1954055309835594</v>
          </cell>
        </row>
        <row r="6">
          <cell r="A6">
            <v>4</v>
          </cell>
          <cell r="E6">
            <v>8.6575831706227913</v>
          </cell>
          <cell r="F6">
            <v>4</v>
          </cell>
          <cell r="J6">
            <v>5.5381357362353691</v>
          </cell>
        </row>
        <row r="7">
          <cell r="A7">
            <v>5</v>
          </cell>
          <cell r="E7">
            <v>10.743047053646096</v>
          </cell>
          <cell r="F7">
            <v>5</v>
          </cell>
          <cell r="J7">
            <v>8.1940194120089327</v>
          </cell>
        </row>
        <row r="8">
          <cell r="A8">
            <v>6</v>
          </cell>
          <cell r="E8">
            <v>12.816071577640278</v>
          </cell>
          <cell r="F8">
            <v>6</v>
          </cell>
          <cell r="J8">
            <v>12.129079468420692</v>
          </cell>
        </row>
        <row r="9">
          <cell r="A9">
            <v>7</v>
          </cell>
          <cell r="E9">
            <v>14.87897259473001</v>
          </cell>
          <cell r="F9">
            <v>7</v>
          </cell>
          <cell r="J9">
            <v>17.316966482955831</v>
          </cell>
        </row>
        <row r="10">
          <cell r="A10">
            <v>8</v>
          </cell>
          <cell r="E10">
            <v>16.933363187349929</v>
          </cell>
          <cell r="F10">
            <v>8</v>
          </cell>
          <cell r="J10">
            <v>23.738652410648342</v>
          </cell>
        </row>
        <row r="11">
          <cell r="A11">
            <v>9</v>
          </cell>
          <cell r="E11">
            <v>18.980428991609543</v>
          </cell>
          <cell r="F11">
            <v>9</v>
          </cell>
          <cell r="J11">
            <v>31.380062571853042</v>
          </cell>
        </row>
        <row r="12">
          <cell r="A12">
            <v>10</v>
          </cell>
          <cell r="E12">
            <v>21.021076712150265</v>
          </cell>
          <cell r="F12">
            <v>10</v>
          </cell>
          <cell r="J12">
            <v>40.230343455354699</v>
          </cell>
        </row>
        <row r="13">
          <cell r="A13">
            <v>11</v>
          </cell>
          <cell r="E13">
            <v>23.056021218970372</v>
          </cell>
          <cell r="F13">
            <v>11</v>
          </cell>
          <cell r="J13">
            <v>50.28079936587767</v>
          </cell>
        </row>
        <row r="14">
          <cell r="A14">
            <v>12</v>
          </cell>
          <cell r="E14">
            <v>25.085839950688193</v>
          </cell>
          <cell r="F14">
            <v>12</v>
          </cell>
          <cell r="J14">
            <v>61.524243221977486</v>
          </cell>
        </row>
        <row r="15">
          <cell r="A15">
            <v>13</v>
          </cell>
          <cell r="E15">
            <v>27.111008618154589</v>
          </cell>
          <cell r="F15">
            <v>13</v>
          </cell>
          <cell r="J15">
            <v>73.954586555286809</v>
          </cell>
        </row>
        <row r="16">
          <cell r="A16">
            <v>14</v>
          </cell>
          <cell r="E16">
            <v>29.131925588483782</v>
          </cell>
          <cell r="F16">
            <v>14</v>
          </cell>
          <cell r="J16">
            <v>87.566569673096254</v>
          </cell>
        </row>
        <row r="17">
          <cell r="A17">
            <v>15</v>
          </cell>
          <cell r="E17">
            <v>31.148929094436621</v>
          </cell>
          <cell r="F17">
            <v>15</v>
          </cell>
          <cell r="J17">
            <v>109.72969694198621</v>
          </cell>
        </row>
        <row r="18">
          <cell r="A18">
            <v>16</v>
          </cell>
          <cell r="E18">
            <v>33.162309719687322</v>
          </cell>
          <cell r="F18">
            <v>16</v>
          </cell>
          <cell r="J18">
            <v>127.13482571082706</v>
          </cell>
        </row>
        <row r="19">
          <cell r="A19">
            <v>17</v>
          </cell>
          <cell r="E19">
            <v>35.172319671970541</v>
          </cell>
          <cell r="F19">
            <v>17</v>
          </cell>
          <cell r="J19">
            <v>144.48215651976611</v>
          </cell>
        </row>
        <row r="20">
          <cell r="A20">
            <v>18</v>
          </cell>
          <cell r="E20">
            <v>37.179179811358189</v>
          </cell>
          <cell r="F20">
            <v>18</v>
          </cell>
          <cell r="J20">
            <v>161.77961540626072</v>
          </cell>
        </row>
        <row r="21">
          <cell r="A21">
            <v>19</v>
          </cell>
          <cell r="E21">
            <v>39.183085071920395</v>
          </cell>
          <cell r="F21">
            <v>19</v>
          </cell>
          <cell r="J21">
            <v>179.03328984797801</v>
          </cell>
        </row>
        <row r="22">
          <cell r="A22">
            <v>20</v>
          </cell>
          <cell r="E22">
            <v>41.184208709422556</v>
          </cell>
          <cell r="F22">
            <v>20</v>
          </cell>
          <cell r="J22">
            <v>196.24799558904303</v>
          </cell>
        </row>
        <row r="23">
          <cell r="A23">
            <v>21</v>
          </cell>
          <cell r="E23">
            <v>43.182705675340429</v>
          </cell>
          <cell r="F23">
            <v>20</v>
          </cell>
          <cell r="J23">
            <v>118.31750572588324</v>
          </cell>
        </row>
        <row r="24">
          <cell r="A24">
            <v>22</v>
          </cell>
          <cell r="E24">
            <v>45.178715329996784</v>
          </cell>
          <cell r="F24">
            <v>21</v>
          </cell>
          <cell r="J24">
            <v>135.20432553963505</v>
          </cell>
        </row>
        <row r="25">
          <cell r="A25">
            <v>23</v>
          </cell>
          <cell r="E25">
            <v>47.172363648455985</v>
          </cell>
          <cell r="F25">
            <v>22</v>
          </cell>
          <cell r="J25">
            <v>152.04030877911342</v>
          </cell>
        </row>
        <row r="26">
          <cell r="A26">
            <v>24</v>
          </cell>
          <cell r="E26">
            <v>49.163765031959791</v>
          </cell>
          <cell r="F26">
            <v>23</v>
          </cell>
          <cell r="J26">
            <v>168.83188321450658</v>
          </cell>
        </row>
        <row r="27">
          <cell r="A27">
            <v>25</v>
          </cell>
          <cell r="E27">
            <v>51.153023808950088</v>
          </cell>
          <cell r="F27">
            <v>24</v>
          </cell>
          <cell r="J27">
            <v>185.58409039382227</v>
          </cell>
        </row>
        <row r="28">
          <cell r="A28">
            <v>26</v>
          </cell>
          <cell r="E28">
            <v>53.140235489167587</v>
          </cell>
          <cell r="F28">
            <v>25</v>
          </cell>
          <cell r="J28">
            <v>202.30098567963509</v>
          </cell>
        </row>
        <row r="29">
          <cell r="A29">
            <v>27</v>
          </cell>
          <cell r="E29">
            <v>55.125487819385427</v>
          </cell>
          <cell r="F29">
            <v>26</v>
          </cell>
          <cell r="J29">
            <v>218.01947919404824</v>
          </cell>
        </row>
        <row r="30">
          <cell r="A30">
            <v>28</v>
          </cell>
          <cell r="E30">
            <v>57.10886167834105</v>
          </cell>
          <cell r="F30">
            <v>27</v>
          </cell>
          <cell r="J30">
            <v>233.71192986094192</v>
          </cell>
        </row>
        <row r="31">
          <cell r="A31">
            <v>29</v>
          </cell>
          <cell r="E31">
            <v>59.090431840228007</v>
          </cell>
          <cell r="F31">
            <v>28</v>
          </cell>
          <cell r="J31">
            <v>249.38033276546039</v>
          </cell>
        </row>
        <row r="32">
          <cell r="A32">
            <v>30</v>
          </cell>
          <cell r="E32">
            <v>61.07026762991989</v>
          </cell>
          <cell r="F32">
            <v>29</v>
          </cell>
          <cell r="J32">
            <v>265.02641168010274</v>
          </cell>
        </row>
        <row r="33">
          <cell r="A33">
            <v>31</v>
          </cell>
          <cell r="E33">
            <v>63.048433488376901</v>
          </cell>
          <cell r="F33">
            <v>30</v>
          </cell>
          <cell r="J33">
            <v>280.6516701430192</v>
          </cell>
        </row>
        <row r="34">
          <cell r="A34">
            <v>32</v>
          </cell>
          <cell r="E34">
            <v>65.024989463047447</v>
          </cell>
          <cell r="F34">
            <v>30</v>
          </cell>
          <cell r="J34">
            <v>174.42010880774242</v>
          </cell>
        </row>
        <row r="35">
          <cell r="A35">
            <v>33</v>
          </cell>
          <cell r="E35">
            <v>66.999991635247355</v>
          </cell>
          <cell r="F35">
            <v>31</v>
          </cell>
          <cell r="J35">
            <v>189.22107722501735</v>
          </cell>
        </row>
        <row r="36">
          <cell r="A36">
            <v>34</v>
          </cell>
          <cell r="E36">
            <v>68.97349249428018</v>
          </cell>
          <cell r="F36">
            <v>32</v>
          </cell>
          <cell r="J36">
            <v>203.99506531146554</v>
          </cell>
        </row>
        <row r="37">
          <cell r="A37">
            <v>35</v>
          </cell>
          <cell r="E37">
            <v>70.945541266306407</v>
          </cell>
          <cell r="F37">
            <v>33</v>
          </cell>
          <cell r="J37">
            <v>218.74430293221735</v>
          </cell>
        </row>
        <row r="38">
          <cell r="A38">
            <v>36</v>
          </cell>
          <cell r="E38">
            <v>72.916184204571309</v>
          </cell>
          <cell r="F38">
            <v>34</v>
          </cell>
          <cell r="J38">
            <v>233.47069441931134</v>
          </cell>
        </row>
        <row r="39">
          <cell r="A39">
            <v>37</v>
          </cell>
          <cell r="E39">
            <v>74.885464846478598</v>
          </cell>
          <cell r="F39">
            <v>35</v>
          </cell>
          <cell r="J39">
            <v>248.17588407773692</v>
          </cell>
        </row>
        <row r="40">
          <cell r="A40">
            <v>38</v>
          </cell>
          <cell r="E40">
            <v>76.853424242090853</v>
          </cell>
          <cell r="F40">
            <v>36</v>
          </cell>
          <cell r="J40">
            <v>261.17705554472872</v>
          </cell>
        </row>
        <row r="41">
          <cell r="A41">
            <v>39</v>
          </cell>
          <cell r="E41">
            <v>78.820101157900638</v>
          </cell>
          <cell r="F41">
            <v>37</v>
          </cell>
          <cell r="J41">
            <v>274.16361765690334</v>
          </cell>
        </row>
        <row r="42">
          <cell r="A42">
            <v>40</v>
          </cell>
          <cell r="E42">
            <v>80.785532259113808</v>
          </cell>
          <cell r="F42">
            <v>38</v>
          </cell>
          <cell r="J42">
            <v>287.13636013322338</v>
          </cell>
        </row>
        <row r="43">
          <cell r="A43">
            <v>41</v>
          </cell>
          <cell r="E43">
            <v>82.749752273191604</v>
          </cell>
          <cell r="F43">
            <v>39</v>
          </cell>
          <cell r="J43">
            <v>300.09599547754289</v>
          </cell>
        </row>
        <row r="44">
          <cell r="A44">
            <v>42</v>
          </cell>
          <cell r="E44">
            <v>84.712794136987995</v>
          </cell>
          <cell r="F44">
            <v>40</v>
          </cell>
          <cell r="J44">
            <v>313.04316960794102</v>
          </cell>
        </row>
        <row r="45">
          <cell r="A45">
            <v>43</v>
          </cell>
          <cell r="E45">
            <v>86.674689129479319</v>
          </cell>
          <cell r="F45">
            <v>40</v>
          </cell>
          <cell r="J45">
            <v>215.60299864573813</v>
          </cell>
        </row>
        <row r="46">
          <cell r="A46">
            <v>44</v>
          </cell>
          <cell r="E46">
            <v>88.635466991799021</v>
          </cell>
          <cell r="F46">
            <v>41</v>
          </cell>
          <cell r="J46">
            <v>227.43794033454233</v>
          </cell>
        </row>
        <row r="47">
          <cell r="A47">
            <v>45</v>
          </cell>
          <cell r="E47">
            <v>90.595156036052515</v>
          </cell>
          <cell r="F47">
            <v>42</v>
          </cell>
          <cell r="J47">
            <v>239.25878897679539</v>
          </cell>
        </row>
        <row r="48">
          <cell r="A48">
            <v>46</v>
          </cell>
          <cell r="E48">
            <v>92.553783244187045</v>
          </cell>
          <cell r="F48">
            <v>43</v>
          </cell>
          <cell r="J48">
            <v>251.06633935220006</v>
          </cell>
        </row>
        <row r="49">
          <cell r="A49">
            <v>47</v>
          </cell>
          <cell r="E49">
            <v>94.511374358021442</v>
          </cell>
          <cell r="F49">
            <v>44</v>
          </cell>
          <cell r="J49">
            <v>262.86130532679209</v>
          </cell>
        </row>
        <row r="50">
          <cell r="A50">
            <v>48</v>
          </cell>
          <cell r="E50">
            <v>96.467953961397711</v>
          </cell>
          <cell r="F50">
            <v>45</v>
          </cell>
          <cell r="J50">
            <v>274.64433142982574</v>
          </cell>
        </row>
        <row r="51">
          <cell r="A51">
            <v>49</v>
          </cell>
          <cell r="E51">
            <v>98.423545555293359</v>
          </cell>
          <cell r="F51">
            <v>46</v>
          </cell>
          <cell r="J51">
            <v>285.21531583652148</v>
          </cell>
        </row>
        <row r="52">
          <cell r="A52">
            <v>50</v>
          </cell>
          <cell r="E52">
            <v>100.37817162662895</v>
          </cell>
          <cell r="F52">
            <v>47</v>
          </cell>
          <cell r="J52">
            <v>295.77753223914277</v>
          </cell>
        </row>
        <row r="53">
          <cell r="A53">
            <v>51</v>
          </cell>
          <cell r="E53">
            <v>102.33185371141566</v>
          </cell>
          <cell r="F53">
            <v>48</v>
          </cell>
          <cell r="J53">
            <v>306.33133805905373</v>
          </cell>
        </row>
        <row r="54">
          <cell r="A54">
            <v>52</v>
          </cell>
          <cell r="E54">
            <v>104.28461245280987</v>
          </cell>
          <cell r="F54">
            <v>49</v>
          </cell>
          <cell r="J54">
            <v>316.87706406452611</v>
          </cell>
        </row>
        <row r="55">
          <cell r="A55">
            <v>53</v>
          </cell>
          <cell r="E55">
            <v>106.23646765457613</v>
          </cell>
          <cell r="F55">
            <v>50</v>
          </cell>
          <cell r="J55">
            <v>327.41501719828841</v>
          </cell>
        </row>
        <row r="56">
          <cell r="A56">
            <v>54</v>
          </cell>
          <cell r="E56">
            <v>108.18743833040095</v>
          </cell>
          <cell r="F56">
            <v>50</v>
          </cell>
          <cell r="J56">
            <v>245.76658779902243</v>
          </cell>
        </row>
        <row r="57">
          <cell r="A57">
            <v>55</v>
          </cell>
          <cell r="E57">
            <v>110.13754274945018</v>
          </cell>
          <cell r="F57">
            <v>51</v>
          </cell>
          <cell r="J57">
            <v>254.91910787155106</v>
          </cell>
        </row>
        <row r="58">
          <cell r="A58">
            <v>56</v>
          </cell>
          <cell r="E58">
            <v>112.08679847851977</v>
          </cell>
          <cell r="F58">
            <v>52</v>
          </cell>
          <cell r="J58">
            <v>264.06419165614346</v>
          </cell>
        </row>
        <row r="59">
          <cell r="A59">
            <v>57</v>
          </cell>
          <cell r="E59">
            <v>114.03522242109018</v>
          </cell>
          <cell r="F59">
            <v>53</v>
          </cell>
          <cell r="J59">
            <v>273.2021332283814</v>
          </cell>
        </row>
        <row r="60">
          <cell r="A60">
            <v>58</v>
          </cell>
          <cell r="E60">
            <v>115.98283085356282</v>
          </cell>
          <cell r="F60">
            <v>54</v>
          </cell>
          <cell r="J60">
            <v>282.33320536766536</v>
          </cell>
        </row>
        <row r="61">
          <cell r="A61">
            <v>59</v>
          </cell>
          <cell r="E61">
            <v>117.92963945892645</v>
          </cell>
          <cell r="F61">
            <v>55</v>
          </cell>
          <cell r="J61">
            <v>291.45766175336962</v>
          </cell>
        </row>
        <row r="62">
          <cell r="A62">
            <v>60</v>
          </cell>
          <cell r="E62">
            <v>119.87566335807644</v>
          </cell>
          <cell r="F62">
            <v>56</v>
          </cell>
          <cell r="J62">
            <v>299.61623499670998</v>
          </cell>
        </row>
        <row r="63">
          <cell r="A63">
            <v>61</v>
          </cell>
          <cell r="E63">
            <v>121.82091713898713</v>
          </cell>
          <cell r="F63">
            <v>57</v>
          </cell>
          <cell r="J63">
            <v>307.76986029720541</v>
          </cell>
        </row>
        <row r="64">
          <cell r="A64">
            <v>62</v>
          </cell>
          <cell r="E64">
            <v>123.7654148839167</v>
          </cell>
          <cell r="F64">
            <v>58</v>
          </cell>
          <cell r="J64">
            <v>315.91868734548365</v>
          </cell>
        </row>
        <row r="65">
          <cell r="A65">
            <v>63</v>
          </cell>
          <cell r="E65">
            <v>125.70917019480748</v>
          </cell>
          <cell r="F65">
            <v>59</v>
          </cell>
          <cell r="J65">
            <v>324.0628574727225</v>
          </cell>
        </row>
        <row r="66">
          <cell r="A66">
            <v>64</v>
          </cell>
          <cell r="E66">
            <v>127.65219621702742</v>
          </cell>
          <cell r="F66">
            <v>60</v>
          </cell>
          <cell r="J66">
            <v>332.20250432045793</v>
          </cell>
        </row>
        <row r="67">
          <cell r="A67">
            <v>65</v>
          </cell>
          <cell r="E67">
            <v>129.59450566158586</v>
          </cell>
          <cell r="F67">
            <v>60</v>
          </cell>
          <cell r="J67">
            <v>266.22907594974964</v>
          </cell>
        </row>
        <row r="68">
          <cell r="A68">
            <v>66</v>
          </cell>
          <cell r="E68">
            <v>131.53611082594338</v>
          </cell>
          <cell r="F68">
            <v>61</v>
          </cell>
          <cell r="J68">
            <v>273.4425114577536</v>
          </cell>
        </row>
        <row r="69">
          <cell r="A69">
            <v>67</v>
          </cell>
          <cell r="E69">
            <v>133.47702361352444</v>
          </cell>
          <cell r="F69">
            <v>62</v>
          </cell>
          <cell r="J69">
            <v>280.6516701430192</v>
          </cell>
        </row>
        <row r="70">
          <cell r="A70">
            <v>68</v>
          </cell>
          <cell r="E70">
            <v>135.41725555203229</v>
          </cell>
          <cell r="F70">
            <v>63</v>
          </cell>
          <cell r="J70">
            <v>287.85667749117118</v>
          </cell>
        </row>
        <row r="71">
          <cell r="A71">
            <v>69</v>
          </cell>
          <cell r="E71">
            <v>137.35681781065566</v>
          </cell>
          <cell r="F71">
            <v>64</v>
          </cell>
          <cell r="J71">
            <v>295.05765218605109</v>
          </cell>
        </row>
        <row r="72">
          <cell r="A72">
            <v>70</v>
          </cell>
          <cell r="E72">
            <v>139.29572121624977</v>
          </cell>
          <cell r="F72">
            <v>65</v>
          </cell>
          <cell r="J72">
            <v>302.25470663909721</v>
          </cell>
        </row>
        <row r="73">
          <cell r="A73"/>
          <cell r="E73"/>
          <cell r="F73">
            <v>66</v>
          </cell>
          <cell r="J73">
            <v>308.48906533934479</v>
          </cell>
        </row>
        <row r="74">
          <cell r="A74"/>
          <cell r="E74"/>
          <cell r="F74">
            <v>67</v>
          </cell>
          <cell r="J74">
            <v>314.7206257919425</v>
          </cell>
        </row>
        <row r="75">
          <cell r="A75"/>
          <cell r="E75"/>
          <cell r="F75">
            <v>68</v>
          </cell>
          <cell r="J75">
            <v>320.94945128744183</v>
          </cell>
        </row>
        <row r="76">
          <cell r="A76"/>
          <cell r="E76"/>
          <cell r="F76">
            <v>69</v>
          </cell>
          <cell r="J76">
            <v>327.17560245636969</v>
          </cell>
        </row>
        <row r="77">
          <cell r="A77"/>
          <cell r="E77"/>
          <cell r="F77">
            <v>70</v>
          </cell>
          <cell r="J77">
            <v>333.39913743065421</v>
          </cell>
        </row>
        <row r="78">
          <cell r="A78"/>
          <cell r="E78"/>
          <cell r="F78">
            <v>70</v>
          </cell>
          <cell r="J78">
            <v>0</v>
          </cell>
        </row>
        <row r="79">
          <cell r="F79"/>
        </row>
        <row r="80">
          <cell r="F80"/>
        </row>
        <row r="166">
          <cell r="F166"/>
          <cell r="J166"/>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Quantification C"/>
    </sheetNames>
    <sheetDataSet>
      <sheetData sheetId="0"/>
      <sheetData sheetId="1">
        <row r="1">
          <cell r="E1" t="str">
            <v>Biomasse 
totale accrus (tCO₂/ha)</v>
          </cell>
          <cell r="F1" t="str">
            <v>Carbone moyen (tCO₂/ha)</v>
          </cell>
          <cell r="K1" t="str">
            <v>Biomasse totale peuplier
(tCO₂/ha)</v>
          </cell>
          <cell r="L1" t="str">
            <v>Carbone moyen (tCO₂/ha)</v>
          </cell>
        </row>
        <row r="2">
          <cell r="A2">
            <v>0</v>
          </cell>
          <cell r="E2">
            <v>0</v>
          </cell>
          <cell r="F2">
            <v>25.944481104378426</v>
          </cell>
          <cell r="G2">
            <v>0</v>
          </cell>
          <cell r="K2">
            <v>0</v>
          </cell>
          <cell r="L2">
            <v>99.342415930393528</v>
          </cell>
        </row>
        <row r="3">
          <cell r="A3">
            <v>1</v>
          </cell>
          <cell r="E3">
            <v>2.2722141346836602</v>
          </cell>
          <cell r="F3">
            <v>25.944481104378426</v>
          </cell>
          <cell r="G3">
            <v>1</v>
          </cell>
          <cell r="K3">
            <v>0.47684596418035402</v>
          </cell>
          <cell r="L3">
            <v>99.342415930393528</v>
          </cell>
        </row>
        <row r="4">
          <cell r="A4">
            <v>2</v>
          </cell>
          <cell r="E4">
            <v>4.4322627676630342</v>
          </cell>
          <cell r="F4">
            <v>25.944481104378426</v>
          </cell>
          <cell r="G4">
            <v>2</v>
          </cell>
          <cell r="K4">
            <v>0.92701893201423669</v>
          </cell>
          <cell r="L4">
            <v>99.342415930393528</v>
          </cell>
        </row>
        <row r="5">
          <cell r="A5">
            <v>3</v>
          </cell>
          <cell r="E5">
            <v>6.5560875739478979</v>
          </cell>
          <cell r="F5">
            <v>25.944481104378426</v>
          </cell>
          <cell r="G5">
            <v>3</v>
          </cell>
          <cell r="K5">
            <v>1.368577860928869</v>
          </cell>
          <cell r="L5">
            <v>99.342415930393528</v>
          </cell>
        </row>
        <row r="6">
          <cell r="A6">
            <v>4</v>
          </cell>
          <cell r="E6">
            <v>8.6575831706227913</v>
          </cell>
          <cell r="F6">
            <v>25.944481104378426</v>
          </cell>
          <cell r="G6">
            <v>4</v>
          </cell>
          <cell r="K6">
            <v>1.8048268958271001</v>
          </cell>
          <cell r="L6">
            <v>99.342415930393528</v>
          </cell>
        </row>
        <row r="7">
          <cell r="A7">
            <v>5</v>
          </cell>
          <cell r="E7">
            <v>10.743047053646096</v>
          </cell>
          <cell r="F7">
            <v>25.944481104378426</v>
          </cell>
          <cell r="G7">
            <v>5</v>
          </cell>
          <cell r="K7">
            <v>2.6667421871469945</v>
          </cell>
          <cell r="L7">
            <v>99.342415930393528</v>
          </cell>
        </row>
        <row r="8">
          <cell r="A8">
            <v>6</v>
          </cell>
          <cell r="E8">
            <v>12.816071577640272</v>
          </cell>
          <cell r="F8">
            <v>25.944481104378426</v>
          </cell>
          <cell r="G8">
            <v>6</v>
          </cell>
          <cell r="K8">
            <v>3.5188608653605269</v>
          </cell>
          <cell r="L8">
            <v>99.342415930393528</v>
          </cell>
        </row>
        <row r="9">
          <cell r="A9">
            <v>7</v>
          </cell>
          <cell r="E9">
            <v>14.878972594730007</v>
          </cell>
          <cell r="F9">
            <v>25.944481104378426</v>
          </cell>
          <cell r="G9">
            <v>7</v>
          </cell>
          <cell r="K9">
            <v>5.2035732772208965</v>
          </cell>
          <cell r="L9">
            <v>99.342415930393528</v>
          </cell>
        </row>
        <row r="10">
          <cell r="A10">
            <v>8</v>
          </cell>
          <cell r="E10">
            <v>16.933363187349929</v>
          </cell>
          <cell r="F10">
            <v>25.944481104378426</v>
          </cell>
          <cell r="G10">
            <v>8</v>
          </cell>
          <cell r="K10">
            <v>6.7320927153074983</v>
          </cell>
          <cell r="L10">
            <v>99.342415930393528</v>
          </cell>
        </row>
        <row r="11">
          <cell r="A11">
            <v>9</v>
          </cell>
          <cell r="E11">
            <v>18.980428991609543</v>
          </cell>
          <cell r="F11">
            <v>25.944481104378426</v>
          </cell>
          <cell r="G11">
            <v>9</v>
          </cell>
          <cell r="K11">
            <v>23.677266169664545</v>
          </cell>
          <cell r="L11">
            <v>99.342415930393528</v>
          </cell>
        </row>
        <row r="12">
          <cell r="A12">
            <v>10</v>
          </cell>
          <cell r="E12">
            <v>21.021076712150265</v>
          </cell>
          <cell r="F12">
            <v>25.944481104378426</v>
          </cell>
          <cell r="G12">
            <v>10</v>
          </cell>
          <cell r="K12">
            <v>42.295698771109151</v>
          </cell>
          <cell r="L12">
            <v>99.342415930393528</v>
          </cell>
        </row>
        <row r="13">
          <cell r="A13">
            <v>11</v>
          </cell>
          <cell r="E13">
            <v>23.056021218970372</v>
          </cell>
          <cell r="F13">
            <v>25.944481104378426</v>
          </cell>
          <cell r="G13">
            <v>11</v>
          </cell>
          <cell r="K13">
            <v>60.686723341593456</v>
          </cell>
          <cell r="L13">
            <v>99.342415930393528</v>
          </cell>
        </row>
        <row r="14">
          <cell r="A14">
            <v>12</v>
          </cell>
          <cell r="E14">
            <v>25.085839950688193</v>
          </cell>
          <cell r="F14">
            <v>25.944481104378426</v>
          </cell>
          <cell r="G14">
            <v>12</v>
          </cell>
          <cell r="K14">
            <v>80.950986488725434</v>
          </cell>
          <cell r="L14">
            <v>99.342415930393528</v>
          </cell>
        </row>
        <row r="15">
          <cell r="A15">
            <v>13</v>
          </cell>
          <cell r="E15">
            <v>27.111008618154589</v>
          </cell>
          <cell r="F15">
            <v>25.944481104378426</v>
          </cell>
          <cell r="G15">
            <v>13</v>
          </cell>
          <cell r="K15">
            <v>99.077304204986476</v>
          </cell>
          <cell r="L15">
            <v>99.342415930393528</v>
          </cell>
        </row>
        <row r="16">
          <cell r="A16">
            <v>14</v>
          </cell>
          <cell r="E16">
            <v>29.131925588483782</v>
          </cell>
          <cell r="F16">
            <v>25.944481104378426</v>
          </cell>
          <cell r="G16">
            <v>14</v>
          </cell>
          <cell r="K16">
            <v>117.12106124808359</v>
          </cell>
          <cell r="L16">
            <v>99.342415930393528</v>
          </cell>
        </row>
        <row r="17">
          <cell r="A17">
            <v>15</v>
          </cell>
          <cell r="E17">
            <v>31.148929094436621</v>
          </cell>
          <cell r="F17">
            <v>25.944481104378426</v>
          </cell>
          <cell r="G17">
            <v>15</v>
          </cell>
          <cell r="K17">
            <v>135.09681026687412</v>
          </cell>
          <cell r="L17">
            <v>99.342415930393528</v>
          </cell>
        </row>
        <row r="18">
          <cell r="A18">
            <v>16</v>
          </cell>
          <cell r="E18">
            <v>33.162309719687322</v>
          </cell>
          <cell r="F18">
            <v>25.944481104378426</v>
          </cell>
          <cell r="G18">
            <v>16</v>
          </cell>
          <cell r="K18">
            <v>151.02658441288187</v>
          </cell>
          <cell r="L18">
            <v>99.342415930393528</v>
          </cell>
        </row>
        <row r="19">
          <cell r="A19">
            <v>17</v>
          </cell>
          <cell r="E19">
            <v>35.172319671970534</v>
          </cell>
          <cell r="F19">
            <v>25.944481104378426</v>
          </cell>
          <cell r="G19">
            <v>17</v>
          </cell>
          <cell r="K19">
            <v>164.93212907851941</v>
          </cell>
          <cell r="L19">
            <v>99.342415930393528</v>
          </cell>
        </row>
        <row r="20">
          <cell r="A20">
            <v>18</v>
          </cell>
          <cell r="E20">
            <v>37.179179811358189</v>
          </cell>
          <cell r="F20">
            <v>25.944481104378426</v>
          </cell>
          <cell r="G20">
            <v>18</v>
          </cell>
          <cell r="K20">
            <v>178.80997960509694</v>
          </cell>
          <cell r="L20">
            <v>99.342415930393528</v>
          </cell>
        </row>
        <row r="21">
          <cell r="A21">
            <v>19</v>
          </cell>
          <cell r="E21">
            <v>39.183085071920395</v>
          </cell>
          <cell r="F21">
            <v>25.944481104378426</v>
          </cell>
          <cell r="G21">
            <v>19</v>
          </cell>
          <cell r="K21">
            <v>190.68510840623094</v>
          </cell>
          <cell r="L21">
            <v>99.342415930393528</v>
          </cell>
        </row>
        <row r="22">
          <cell r="A22">
            <v>20</v>
          </cell>
          <cell r="E22">
            <v>41.184208709422556</v>
          </cell>
          <cell r="F22">
            <v>25.944481104378426</v>
          </cell>
          <cell r="G22">
            <v>20</v>
          </cell>
          <cell r="K22">
            <v>200.56784414619597</v>
          </cell>
          <cell r="L22">
            <v>99.342415930393528</v>
          </cell>
        </row>
        <row r="23">
          <cell r="A23">
            <v>21</v>
          </cell>
          <cell r="E23">
            <v>43.182705675340429</v>
          </cell>
          <cell r="F23">
            <v>25.944481104378426</v>
          </cell>
          <cell r="G23">
            <v>21</v>
          </cell>
          <cell r="K23">
            <v>210.4392971238349</v>
          </cell>
          <cell r="L23">
            <v>99.342415930393528</v>
          </cell>
        </row>
        <row r="24">
          <cell r="A24">
            <v>22</v>
          </cell>
          <cell r="E24">
            <v>45.178715329996784</v>
          </cell>
          <cell r="F24">
            <v>25.944481104378426</v>
          </cell>
          <cell r="G24">
            <v>22</v>
          </cell>
          <cell r="K24">
            <v>216.35700713789331</v>
          </cell>
          <cell r="L24">
            <v>99.342415930393528</v>
          </cell>
        </row>
        <row r="25">
          <cell r="A25">
            <v>23</v>
          </cell>
          <cell r="E25">
            <v>47.172363648455985</v>
          </cell>
          <cell r="F25">
            <v>25.944481104378426</v>
          </cell>
          <cell r="G25">
            <v>23</v>
          </cell>
          <cell r="K25">
            <v>224.24151561847327</v>
          </cell>
          <cell r="L25">
            <v>99.342415930393528</v>
          </cell>
        </row>
        <row r="26">
          <cell r="A26">
            <v>24</v>
          </cell>
          <cell r="E26">
            <v>49.163765031959791</v>
          </cell>
          <cell r="F26">
            <v>25.944481104378426</v>
          </cell>
          <cell r="G26">
            <v>24</v>
          </cell>
          <cell r="K26">
            <v>230.15071367444057</v>
          </cell>
          <cell r="L26">
            <v>99.342415930393528</v>
          </cell>
        </row>
        <row r="27">
          <cell r="A27">
            <v>25</v>
          </cell>
          <cell r="E27">
            <v>51.153023808950088</v>
          </cell>
          <cell r="F27">
            <v>25.944481104378426</v>
          </cell>
          <cell r="G27">
            <v>25</v>
          </cell>
          <cell r="K27">
            <v>234.08824579764129</v>
          </cell>
          <cell r="L27">
            <v>99.342415930393528</v>
          </cell>
        </row>
        <row r="28">
          <cell r="A28"/>
          <cell r="E28"/>
          <cell r="G28">
            <v>25</v>
          </cell>
          <cell r="K28">
            <v>0</v>
          </cell>
        </row>
      </sheetData>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87148-DE0F-4F25-8B71-E2732E7BA941}">
  <dimension ref="B1:O8"/>
  <sheetViews>
    <sheetView tabSelected="1" topLeftCell="D1" zoomScale="120" zoomScaleNormal="120" workbookViewId="0">
      <selection activeCell="M8" sqref="M8"/>
    </sheetView>
  </sheetViews>
  <sheetFormatPr baseColWidth="10" defaultRowHeight="14.5" x14ac:dyDescent="0.35"/>
  <cols>
    <col min="2" max="2" width="10.81640625" style="62"/>
    <col min="9" max="15" width="10.81640625" style="62"/>
  </cols>
  <sheetData>
    <row r="1" spans="2:15" ht="15" thickBot="1" x14ac:dyDescent="0.4"/>
    <row r="2" spans="2:15" ht="73" thickBot="1" x14ac:dyDescent="0.4">
      <c r="B2" s="111" t="s">
        <v>144</v>
      </c>
      <c r="C2" s="1" t="s">
        <v>0</v>
      </c>
      <c r="D2" s="2" t="s">
        <v>1</v>
      </c>
      <c r="E2" s="2" t="s">
        <v>2</v>
      </c>
      <c r="F2" s="2" t="s">
        <v>3</v>
      </c>
      <c r="G2" s="2" t="s">
        <v>4</v>
      </c>
      <c r="H2" s="2" t="s">
        <v>5</v>
      </c>
      <c r="I2" s="2" t="s">
        <v>141</v>
      </c>
      <c r="J2" s="2" t="s">
        <v>138</v>
      </c>
      <c r="K2" s="2" t="s">
        <v>142</v>
      </c>
      <c r="L2" s="2" t="s">
        <v>139</v>
      </c>
      <c r="M2" s="2" t="s">
        <v>143</v>
      </c>
      <c r="N2" s="2" t="s">
        <v>140</v>
      </c>
      <c r="O2" s="3" t="s">
        <v>145</v>
      </c>
    </row>
    <row r="3" spans="2:15" ht="29.5" thickBot="1" x14ac:dyDescent="0.4">
      <c r="B3" s="126">
        <v>0.1</v>
      </c>
      <c r="C3" s="120" t="s">
        <v>6</v>
      </c>
      <c r="D3" s="123" t="s">
        <v>7</v>
      </c>
      <c r="E3" s="123">
        <v>8</v>
      </c>
      <c r="F3" s="4" t="s">
        <v>8</v>
      </c>
      <c r="G3" s="4" t="s">
        <v>146</v>
      </c>
      <c r="H3" s="4">
        <v>1600</v>
      </c>
      <c r="I3" s="4">
        <v>134</v>
      </c>
      <c r="J3" s="116">
        <f>(I3*(H3/(H3+H4))*E3)*(1-B3)</f>
        <v>771.84</v>
      </c>
      <c r="K3" s="4">
        <v>0</v>
      </c>
      <c r="L3" s="4">
        <v>0</v>
      </c>
      <c r="M3" s="4">
        <v>2</v>
      </c>
      <c r="N3" s="116">
        <f>M3*(H3/(H3+H4))*E3*(1-B3)</f>
        <v>11.520000000000001</v>
      </c>
      <c r="O3" s="112">
        <f>J3+L3+N3</f>
        <v>783.36</v>
      </c>
    </row>
    <row r="4" spans="2:15" ht="29.5" thickBot="1" x14ac:dyDescent="0.4">
      <c r="B4" s="126"/>
      <c r="C4" s="121"/>
      <c r="D4" s="124"/>
      <c r="E4" s="125"/>
      <c r="F4" s="5" t="s">
        <v>9</v>
      </c>
      <c r="G4" s="5" t="s">
        <v>146</v>
      </c>
      <c r="H4" s="5">
        <v>400</v>
      </c>
      <c r="I4" s="5">
        <v>137</v>
      </c>
      <c r="J4" s="117">
        <f>(I4*(H4/(H4+H3))*E3)*(1-B3)</f>
        <v>197.28000000000003</v>
      </c>
      <c r="K4" s="5">
        <v>0</v>
      </c>
      <c r="L4" s="5">
        <v>0</v>
      </c>
      <c r="M4" s="5">
        <v>10</v>
      </c>
      <c r="N4" s="117">
        <f>M4*(H4/(H3+H4))*E3*(1-B3)</f>
        <v>14.4</v>
      </c>
      <c r="O4" s="113">
        <f>J4+L4+N4</f>
        <v>211.68000000000004</v>
      </c>
    </row>
    <row r="5" spans="2:15" ht="44" thickBot="1" x14ac:dyDescent="0.4">
      <c r="B5" s="126"/>
      <c r="C5" s="121"/>
      <c r="D5" s="124"/>
      <c r="E5" s="4">
        <v>4.2</v>
      </c>
      <c r="F5" s="4" t="s">
        <v>10</v>
      </c>
      <c r="G5" s="4" t="s">
        <v>146</v>
      </c>
      <c r="H5" s="4">
        <v>1600</v>
      </c>
      <c r="I5" s="4">
        <v>137</v>
      </c>
      <c r="J5" s="116">
        <f>(I5*E5)*(1-B3)</f>
        <v>517.86</v>
      </c>
      <c r="K5" s="4">
        <v>0</v>
      </c>
      <c r="L5" s="4">
        <v>0</v>
      </c>
      <c r="M5" s="4">
        <v>24</v>
      </c>
      <c r="N5" s="116">
        <f>M5*E5*(1-B3)</f>
        <v>90.720000000000013</v>
      </c>
      <c r="O5" s="112">
        <f>J5+L5+N5</f>
        <v>608.58000000000004</v>
      </c>
    </row>
    <row r="6" spans="2:15" ht="29.5" thickBot="1" x14ac:dyDescent="0.4">
      <c r="B6" s="126"/>
      <c r="C6" s="122"/>
      <c r="D6" s="125"/>
      <c r="E6" s="5">
        <v>4.0999999999999996</v>
      </c>
      <c r="F6" s="5" t="s">
        <v>11</v>
      </c>
      <c r="G6" s="5">
        <v>25</v>
      </c>
      <c r="H6" s="5">
        <v>200</v>
      </c>
      <c r="I6" s="5">
        <v>73</v>
      </c>
      <c r="J6" s="117">
        <f>I6*E6*(1-B3)</f>
        <v>269.36999999999995</v>
      </c>
      <c r="K6" s="5">
        <v>30</v>
      </c>
      <c r="L6" s="5">
        <f>K6*E6*(1-B3)</f>
        <v>110.69999999999999</v>
      </c>
      <c r="M6" s="5">
        <v>312</v>
      </c>
      <c r="N6" s="117">
        <f>M6*E6*(1-B3)</f>
        <v>1151.28</v>
      </c>
      <c r="O6" s="114">
        <f>J6+L6+N6</f>
        <v>1531.35</v>
      </c>
    </row>
    <row r="7" spans="2:15" ht="15.5" thickTop="1" thickBot="1" x14ac:dyDescent="0.4">
      <c r="I7" s="118">
        <f>J7/(1-$B$3)</f>
        <v>1951.4999999999998</v>
      </c>
      <c r="J7" s="118">
        <f>SUM(J3:J6)</f>
        <v>1756.35</v>
      </c>
      <c r="K7" s="118">
        <f>L7/(1-$B$3)</f>
        <v>122.99999999999999</v>
      </c>
      <c r="L7" s="118">
        <f>SUM(L3:L6)</f>
        <v>110.69999999999999</v>
      </c>
      <c r="M7" s="118">
        <f>N7/(1-$B$3)</f>
        <v>1408.8</v>
      </c>
      <c r="N7" s="119">
        <f>SUM(N3:N6)</f>
        <v>1267.92</v>
      </c>
      <c r="O7" s="115">
        <f>SUM(O3:O6)</f>
        <v>3134.9700000000003</v>
      </c>
    </row>
    <row r="8" spans="2:15" ht="15" thickTop="1" x14ac:dyDescent="0.35"/>
  </sheetData>
  <mergeCells count="4">
    <mergeCell ref="C3:C6"/>
    <mergeCell ref="D3:D6"/>
    <mergeCell ref="E3:E4"/>
    <mergeCell ref="B3: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A5D3F-CBBB-4D8A-AB26-7CA9FF302C7C}">
  <dimension ref="A1:Z243"/>
  <sheetViews>
    <sheetView workbookViewId="0">
      <selection activeCell="R11" sqref="R11"/>
    </sheetView>
  </sheetViews>
  <sheetFormatPr baseColWidth="10" defaultRowHeight="14.5" x14ac:dyDescent="0.35"/>
  <cols>
    <col min="1" max="1" width="6.81640625" bestFit="1" customWidth="1"/>
    <col min="2" max="2" width="9.54296875" bestFit="1" customWidth="1"/>
    <col min="3" max="3" width="10.26953125" customWidth="1"/>
    <col min="4" max="4" width="10.54296875" bestFit="1" customWidth="1"/>
    <col min="5" max="5" width="9.453125" bestFit="1" customWidth="1"/>
    <col min="6" max="6" width="6.81640625" bestFit="1" customWidth="1"/>
    <col min="7" max="7" width="9.54296875" bestFit="1" customWidth="1"/>
    <col min="8" max="9" width="9.453125" bestFit="1" customWidth="1"/>
    <col min="10" max="10" width="12.1796875" customWidth="1"/>
    <col min="11" max="11" width="6.81640625" bestFit="1" customWidth="1"/>
    <col min="12" max="12" width="9" bestFit="1" customWidth="1"/>
    <col min="13" max="13" width="9.453125" bestFit="1" customWidth="1"/>
    <col min="14" max="14" width="11.81640625" bestFit="1" customWidth="1"/>
    <col min="15" max="15" width="9.1796875" bestFit="1" customWidth="1"/>
    <col min="16" max="16" width="9.453125" bestFit="1" customWidth="1"/>
    <col min="17" max="17" width="9.7265625" bestFit="1" customWidth="1"/>
    <col min="18" max="18" width="11" bestFit="1" customWidth="1"/>
    <col min="19" max="19" width="13.7265625" customWidth="1"/>
    <col min="22" max="22" width="32.7265625" bestFit="1" customWidth="1"/>
    <col min="23" max="23" width="10.54296875" bestFit="1" customWidth="1"/>
    <col min="24" max="24" width="26.1796875" bestFit="1" customWidth="1"/>
    <col min="25" max="25" width="12.26953125" bestFit="1" customWidth="1"/>
    <col min="26" max="26" width="27.7265625" customWidth="1"/>
  </cols>
  <sheetData>
    <row r="1" spans="1:26" ht="58" x14ac:dyDescent="0.35">
      <c r="A1" s="6" t="s">
        <v>12</v>
      </c>
      <c r="B1" s="6" t="s">
        <v>13</v>
      </c>
      <c r="C1" s="7" t="s">
        <v>14</v>
      </c>
      <c r="D1" s="7" t="s">
        <v>15</v>
      </c>
      <c r="E1" s="7" t="s">
        <v>16</v>
      </c>
      <c r="F1" s="8" t="s">
        <v>12</v>
      </c>
      <c r="G1" s="9" t="s">
        <v>17</v>
      </c>
      <c r="H1" s="10" t="s">
        <v>14</v>
      </c>
      <c r="I1" s="10" t="s">
        <v>15</v>
      </c>
      <c r="J1" s="10" t="s">
        <v>18</v>
      </c>
      <c r="K1" s="11" t="s">
        <v>12</v>
      </c>
      <c r="L1" s="12" t="s">
        <v>19</v>
      </c>
      <c r="M1" s="13" t="s">
        <v>20</v>
      </c>
      <c r="N1" s="13" t="s">
        <v>21</v>
      </c>
      <c r="O1" s="12" t="s">
        <v>22</v>
      </c>
      <c r="P1" s="12" t="s">
        <v>23</v>
      </c>
      <c r="Q1" s="12" t="s">
        <v>24</v>
      </c>
      <c r="R1" s="12" t="s">
        <v>25</v>
      </c>
      <c r="S1" s="12" t="s">
        <v>26</v>
      </c>
      <c r="V1" s="10" t="s">
        <v>27</v>
      </c>
      <c r="W1" s="9">
        <v>0.57999999999999996</v>
      </c>
      <c r="X1" s="7" t="s">
        <v>28</v>
      </c>
      <c r="Y1" s="14">
        <v>0.56999999999999995</v>
      </c>
      <c r="Z1" s="127" t="s">
        <v>29</v>
      </c>
    </row>
    <row r="2" spans="1:26" x14ac:dyDescent="0.35">
      <c r="A2" s="15">
        <v>0</v>
      </c>
      <c r="B2" s="15">
        <v>0</v>
      </c>
      <c r="C2" s="15">
        <f>B2*$Y$1*1.56</f>
        <v>0</v>
      </c>
      <c r="D2" s="15">
        <v>0</v>
      </c>
      <c r="E2" s="16">
        <f>(C2+D2)*0.475*44/12</f>
        <v>0</v>
      </c>
      <c r="F2" s="17">
        <v>0</v>
      </c>
      <c r="G2" s="18">
        <v>0</v>
      </c>
      <c r="H2" s="19">
        <f>G2*1.56*$W$1</f>
        <v>0</v>
      </c>
      <c r="I2" s="18">
        <v>0</v>
      </c>
      <c r="J2" s="18">
        <v>0</v>
      </c>
      <c r="K2" s="20">
        <v>0</v>
      </c>
      <c r="L2" s="21"/>
      <c r="M2" s="21"/>
      <c r="N2" s="21"/>
      <c r="O2" s="21"/>
      <c r="P2" s="21">
        <v>0</v>
      </c>
      <c r="Q2" s="21">
        <v>0</v>
      </c>
      <c r="R2" s="21">
        <v>0</v>
      </c>
      <c r="S2" s="21">
        <f>SUM(P2:R2)</f>
        <v>0</v>
      </c>
      <c r="U2" s="22" t="s">
        <v>30</v>
      </c>
      <c r="V2" s="22" t="s">
        <v>31</v>
      </c>
      <c r="W2" s="23">
        <f>AVERAGE(J2:J164)</f>
        <v>398.30422880211916</v>
      </c>
      <c r="X2" s="22"/>
      <c r="Y2" s="22"/>
      <c r="Z2" s="127"/>
    </row>
    <row r="3" spans="1:26" x14ac:dyDescent="0.35">
      <c r="A3" s="15">
        <v>1</v>
      </c>
      <c r="B3" s="15">
        <f>B2+1</f>
        <v>1</v>
      </c>
      <c r="C3" s="16">
        <f t="shared" ref="C3:C66" si="0">B3*$Y$1*1.56</f>
        <v>0.88919999999999999</v>
      </c>
      <c r="D3" s="16">
        <f>EXP(-1.0587+0.8836*LN(C3)+0.284)</f>
        <v>0.41542055579923082</v>
      </c>
      <c r="E3" s="16">
        <f>(C3+D3)*0.475*44/12</f>
        <v>2.2722141346836602</v>
      </c>
      <c r="F3" s="17">
        <f>F2+1</f>
        <v>1</v>
      </c>
      <c r="G3" s="19">
        <v>0.5</v>
      </c>
      <c r="H3" s="19">
        <f t="shared" ref="H3:H66" si="1">G3*1.56*$W$1</f>
        <v>0.45239999999999997</v>
      </c>
      <c r="I3" s="19">
        <f t="shared" ref="I3:I66" si="2">EXP(-1.0587+0.8836*LN(H3)+0.284)</f>
        <v>0.22865032916058284</v>
      </c>
      <c r="J3" s="19">
        <f t="shared" ref="J3:J66" si="3">(H3+I3)*0.475*44/12</f>
        <v>1.1861626566213483</v>
      </c>
      <c r="K3" s="20">
        <f>K2+1</f>
        <v>1</v>
      </c>
      <c r="L3" s="21"/>
      <c r="M3" s="21"/>
      <c r="N3" s="21"/>
      <c r="O3" s="21"/>
      <c r="P3" s="24">
        <f>EXP(-LN(2)/35)*P2+(1-EXP(-LN(2)/35))/(LN(2)/35)*M3*L3*$W$1*0.475*44/12</f>
        <v>0</v>
      </c>
      <c r="Q3" s="24">
        <f>EXP(-LN(2)/25)*Q2+(1-EXP(-LN(2)/25))/(LN(2)/25)*N3*L3*$W$1*0.475*44/12</f>
        <v>0</v>
      </c>
      <c r="R3" s="24">
        <f>EXP(-LN(2)/2)*R2+(1-EXP(-LN(2)/2))/(LN(2)/2)*O3*L3*$W$1*0.475*44/12</f>
        <v>0</v>
      </c>
      <c r="S3" s="24">
        <f>SUM(P3:R3)</f>
        <v>0</v>
      </c>
      <c r="U3" s="22" t="s">
        <v>32</v>
      </c>
      <c r="V3" s="22" t="s">
        <v>31</v>
      </c>
      <c r="W3" s="23">
        <f>AVERAGE(E2:E152)</f>
        <v>148.29479800321812</v>
      </c>
      <c r="X3" s="22"/>
      <c r="Y3" s="22"/>
      <c r="Z3" s="127"/>
    </row>
    <row r="4" spans="1:26" x14ac:dyDescent="0.35">
      <c r="A4" s="15">
        <v>2</v>
      </c>
      <c r="B4" s="15">
        <f t="shared" ref="B4:B67" si="4">B3+1</f>
        <v>2</v>
      </c>
      <c r="C4" s="16">
        <f t="shared" si="0"/>
        <v>1.7784</v>
      </c>
      <c r="D4" s="16">
        <f t="shared" ref="D4:D67" si="5">EXP(-1.0587+0.8836*LN(C4)+0.284)</f>
        <v>0.76643986660078545</v>
      </c>
      <c r="E4" s="16">
        <f t="shared" ref="E4:E66" si="6">(C4+D4)*0.475*44/12</f>
        <v>4.4322627676630342</v>
      </c>
      <c r="F4" s="17">
        <f t="shared" ref="F4:G19" si="7">F3+1</f>
        <v>2</v>
      </c>
      <c r="G4" s="25">
        <v>1</v>
      </c>
      <c r="H4" s="19">
        <f t="shared" si="1"/>
        <v>0.90479999999999994</v>
      </c>
      <c r="I4" s="19">
        <f t="shared" si="2"/>
        <v>0.42185377043488931</v>
      </c>
      <c r="J4" s="19">
        <f t="shared" si="3"/>
        <v>2.3105886501740986</v>
      </c>
      <c r="K4" s="20">
        <f t="shared" ref="K4:K67" si="8">K3+1</f>
        <v>2</v>
      </c>
      <c r="L4" s="21"/>
      <c r="M4" s="21"/>
      <c r="N4" s="21"/>
      <c r="O4" s="21"/>
      <c r="P4" s="24">
        <f t="shared" ref="P4:P49" si="9">EXP(-LN(2)/35)*P3+(1-EXP(-LN(2)/35))/(LN(2)/35)*M4*L4*$W$1*0.475*44/12</f>
        <v>0</v>
      </c>
      <c r="Q4" s="24">
        <f t="shared" ref="Q4:Q49" si="10">EXP(-LN(2)/25)*Q3+(1-EXP(-LN(2)/25))/(LN(2)/25)*N4*L4*$W$1*0.475*44/12</f>
        <v>0</v>
      </c>
      <c r="R4" s="24">
        <f t="shared" ref="R4:R49" si="11">EXP(-LN(2)/2)*R3+(1-EXP(-LN(2)/2))/(LN(2)/2)*O4*L4*$W$1*0.475*44/12</f>
        <v>0</v>
      </c>
      <c r="S4" s="24">
        <f>SUM(P4:R4)</f>
        <v>0</v>
      </c>
      <c r="U4" s="22"/>
      <c r="V4" s="26" t="s">
        <v>33</v>
      </c>
      <c r="W4" s="23">
        <f>W2-W3</f>
        <v>250.00943079890104</v>
      </c>
      <c r="X4" s="22"/>
      <c r="Y4" s="22"/>
      <c r="Z4" s="127"/>
    </row>
    <row r="5" spans="1:26" x14ac:dyDescent="0.35">
      <c r="A5" s="15">
        <v>3</v>
      </c>
      <c r="B5" s="15">
        <f t="shared" si="4"/>
        <v>3</v>
      </c>
      <c r="C5" s="16">
        <f t="shared" si="0"/>
        <v>2.6676000000000002</v>
      </c>
      <c r="D5" s="16">
        <f t="shared" si="5"/>
        <v>1.0966608080083624</v>
      </c>
      <c r="E5" s="16">
        <f t="shared" si="6"/>
        <v>6.5560875739478979</v>
      </c>
      <c r="F5" s="17">
        <f t="shared" si="7"/>
        <v>3</v>
      </c>
      <c r="G5" s="19">
        <v>1.5</v>
      </c>
      <c r="H5" s="19">
        <f t="shared" si="1"/>
        <v>1.3571999999999997</v>
      </c>
      <c r="I5" s="19">
        <f t="shared" si="2"/>
        <v>0.60360964624439295</v>
      </c>
      <c r="J5" s="19">
        <f t="shared" si="3"/>
        <v>3.4150768005423173</v>
      </c>
      <c r="K5" s="20">
        <f t="shared" si="8"/>
        <v>3</v>
      </c>
      <c r="L5" s="21"/>
      <c r="M5" s="21"/>
      <c r="N5" s="21"/>
      <c r="O5" s="21"/>
      <c r="P5" s="24">
        <f t="shared" si="9"/>
        <v>0</v>
      </c>
      <c r="Q5" s="24">
        <f t="shared" si="10"/>
        <v>0</v>
      </c>
      <c r="R5" s="24">
        <f t="shared" si="11"/>
        <v>0</v>
      </c>
      <c r="S5" s="24">
        <f t="shared" ref="S5:S49" si="12">SUM(P5:R5)</f>
        <v>0</v>
      </c>
      <c r="U5" s="22"/>
      <c r="V5" s="22" t="s">
        <v>34</v>
      </c>
      <c r="W5" s="23">
        <f>J33-E32</f>
        <v>133.63266168802028</v>
      </c>
      <c r="X5" s="22"/>
      <c r="Y5" s="22"/>
      <c r="Z5" s="127"/>
    </row>
    <row r="6" spans="1:26" x14ac:dyDescent="0.35">
      <c r="A6" s="15">
        <v>4</v>
      </c>
      <c r="B6" s="15">
        <f t="shared" si="4"/>
        <v>4</v>
      </c>
      <c r="C6" s="16">
        <f t="shared" si="0"/>
        <v>3.5568</v>
      </c>
      <c r="D6" s="16">
        <f t="shared" si="5"/>
        <v>1.4140611505968179</v>
      </c>
      <c r="E6" s="16">
        <f t="shared" si="6"/>
        <v>8.6575831706227913</v>
      </c>
      <c r="F6" s="17">
        <f t="shared" si="7"/>
        <v>4</v>
      </c>
      <c r="G6" s="25">
        <v>2</v>
      </c>
      <c r="H6" s="19">
        <f t="shared" si="1"/>
        <v>1.8095999999999999</v>
      </c>
      <c r="I6" s="19">
        <f t="shared" si="2"/>
        <v>0.778308976345926</v>
      </c>
      <c r="J6" s="19">
        <f t="shared" si="3"/>
        <v>4.5072748004691539</v>
      </c>
      <c r="K6" s="20">
        <f t="shared" si="8"/>
        <v>4</v>
      </c>
      <c r="L6" s="21"/>
      <c r="M6" s="21"/>
      <c r="N6" s="21"/>
      <c r="O6" s="21"/>
      <c r="P6" s="24">
        <f t="shared" si="9"/>
        <v>0</v>
      </c>
      <c r="Q6" s="24">
        <f t="shared" si="10"/>
        <v>0</v>
      </c>
      <c r="R6" s="24">
        <f t="shared" si="11"/>
        <v>0</v>
      </c>
      <c r="S6" s="24">
        <f t="shared" si="12"/>
        <v>0</v>
      </c>
      <c r="U6" s="22"/>
      <c r="V6" s="22" t="s">
        <v>35</v>
      </c>
      <c r="W6" s="23">
        <f>W5</f>
        <v>133.63266168802028</v>
      </c>
      <c r="X6" s="22"/>
      <c r="Y6" s="22"/>
      <c r="Z6" s="127"/>
    </row>
    <row r="7" spans="1:26" x14ac:dyDescent="0.35">
      <c r="A7" s="15">
        <v>5</v>
      </c>
      <c r="B7" s="15">
        <f t="shared" si="4"/>
        <v>5</v>
      </c>
      <c r="C7" s="16">
        <f t="shared" si="0"/>
        <v>4.4459999999999997</v>
      </c>
      <c r="D7" s="16">
        <f t="shared" si="5"/>
        <v>1.7222566815192897</v>
      </c>
      <c r="E7" s="16">
        <f t="shared" si="6"/>
        <v>10.743047053646096</v>
      </c>
      <c r="F7" s="17">
        <f t="shared" si="7"/>
        <v>5</v>
      </c>
      <c r="G7" s="19">
        <v>2.5</v>
      </c>
      <c r="H7" s="19">
        <f t="shared" si="1"/>
        <v>2.262</v>
      </c>
      <c r="I7" s="19">
        <f t="shared" si="2"/>
        <v>0.94794191484043044</v>
      </c>
      <c r="J7" s="19">
        <f t="shared" si="3"/>
        <v>5.5906488350137495</v>
      </c>
      <c r="K7" s="20">
        <f t="shared" si="8"/>
        <v>5</v>
      </c>
      <c r="L7" s="21"/>
      <c r="M7" s="21"/>
      <c r="N7" s="21"/>
      <c r="O7" s="21"/>
      <c r="P7" s="24">
        <f t="shared" si="9"/>
        <v>0</v>
      </c>
      <c r="Q7" s="24">
        <f t="shared" si="10"/>
        <v>0</v>
      </c>
      <c r="R7" s="24">
        <f t="shared" si="11"/>
        <v>0</v>
      </c>
      <c r="S7" s="24">
        <f t="shared" si="12"/>
        <v>0</v>
      </c>
      <c r="U7" s="22"/>
      <c r="V7" s="22" t="s">
        <v>36</v>
      </c>
      <c r="W7" s="27">
        <v>0</v>
      </c>
      <c r="Z7" s="127"/>
    </row>
    <row r="8" spans="1:26" x14ac:dyDescent="0.35">
      <c r="A8" s="15">
        <v>6</v>
      </c>
      <c r="B8" s="15">
        <f t="shared" si="4"/>
        <v>6</v>
      </c>
      <c r="C8" s="16">
        <f t="shared" si="0"/>
        <v>5.3352000000000004</v>
      </c>
      <c r="D8" s="16">
        <f t="shared" si="5"/>
        <v>2.0233099967312582</v>
      </c>
      <c r="E8" s="16">
        <f t="shared" si="6"/>
        <v>12.816071577640278</v>
      </c>
      <c r="F8" s="17">
        <f t="shared" si="7"/>
        <v>6</v>
      </c>
      <c r="G8" s="19">
        <v>3</v>
      </c>
      <c r="H8" s="19">
        <f t="shared" si="1"/>
        <v>2.7143999999999995</v>
      </c>
      <c r="I8" s="19">
        <f t="shared" si="2"/>
        <v>1.1136437287183381</v>
      </c>
      <c r="J8" s="19">
        <f t="shared" si="3"/>
        <v>6.6671761608511035</v>
      </c>
      <c r="K8" s="20">
        <f t="shared" si="8"/>
        <v>6</v>
      </c>
      <c r="L8" s="21"/>
      <c r="M8" s="21"/>
      <c r="N8" s="21"/>
      <c r="O8" s="21"/>
      <c r="P8" s="24">
        <f t="shared" si="9"/>
        <v>0</v>
      </c>
      <c r="Q8" s="24">
        <f t="shared" si="10"/>
        <v>0</v>
      </c>
      <c r="R8" s="24">
        <f t="shared" si="11"/>
        <v>0</v>
      </c>
      <c r="S8" s="24">
        <f t="shared" si="12"/>
        <v>0</v>
      </c>
      <c r="U8" s="22"/>
      <c r="V8" s="22" t="s">
        <v>37</v>
      </c>
      <c r="W8" s="27">
        <v>0</v>
      </c>
      <c r="Z8" s="127"/>
    </row>
    <row r="9" spans="1:26" x14ac:dyDescent="0.35">
      <c r="A9" s="15">
        <v>7</v>
      </c>
      <c r="B9" s="15">
        <f t="shared" si="4"/>
        <v>7</v>
      </c>
      <c r="C9" s="16">
        <f t="shared" si="0"/>
        <v>6.2244000000000002</v>
      </c>
      <c r="D9" s="16">
        <f t="shared" si="5"/>
        <v>2.318550772093785</v>
      </c>
      <c r="E9" s="16">
        <f t="shared" si="6"/>
        <v>14.87897259473001</v>
      </c>
      <c r="F9" s="17">
        <f t="shared" si="7"/>
        <v>7</v>
      </c>
      <c r="G9" s="19">
        <f t="shared" si="7"/>
        <v>4</v>
      </c>
      <c r="H9" s="19">
        <f t="shared" si="1"/>
        <v>3.6191999999999998</v>
      </c>
      <c r="I9" s="19">
        <f t="shared" si="2"/>
        <v>1.4359593421107981</v>
      </c>
      <c r="J9" s="19">
        <f t="shared" si="3"/>
        <v>8.8044025208429719</v>
      </c>
      <c r="K9" s="20">
        <f t="shared" si="8"/>
        <v>7</v>
      </c>
      <c r="L9" s="21"/>
      <c r="M9" s="21"/>
      <c r="N9" s="21"/>
      <c r="O9" s="21"/>
      <c r="P9" s="24">
        <f t="shared" si="9"/>
        <v>0</v>
      </c>
      <c r="Q9" s="24">
        <f t="shared" si="10"/>
        <v>0</v>
      </c>
      <c r="R9" s="24">
        <f t="shared" si="11"/>
        <v>0</v>
      </c>
      <c r="S9" s="24">
        <f t="shared" si="12"/>
        <v>0</v>
      </c>
      <c r="U9" s="22"/>
      <c r="V9" s="22" t="s">
        <v>38</v>
      </c>
      <c r="W9" s="27">
        <v>0</v>
      </c>
      <c r="X9" s="22"/>
      <c r="Y9" s="22"/>
      <c r="Z9" s="127"/>
    </row>
    <row r="10" spans="1:26" x14ac:dyDescent="0.35">
      <c r="A10" s="15">
        <v>8</v>
      </c>
      <c r="B10" s="15">
        <f t="shared" si="4"/>
        <v>8</v>
      </c>
      <c r="C10" s="16">
        <f t="shared" si="0"/>
        <v>7.1135999999999999</v>
      </c>
      <c r="D10" s="16">
        <f t="shared" si="5"/>
        <v>2.6089051793396725</v>
      </c>
      <c r="E10" s="16">
        <f t="shared" si="6"/>
        <v>16.933363187349929</v>
      </c>
      <c r="F10" s="17">
        <f t="shared" si="7"/>
        <v>8</v>
      </c>
      <c r="G10" s="19">
        <f t="shared" si="7"/>
        <v>5</v>
      </c>
      <c r="H10" s="19">
        <f t="shared" si="1"/>
        <v>4.524</v>
      </c>
      <c r="I10" s="19">
        <f t="shared" si="2"/>
        <v>1.7489275978599472</v>
      </c>
      <c r="J10" s="19">
        <f t="shared" si="3"/>
        <v>10.925348899606076</v>
      </c>
      <c r="K10" s="20">
        <f t="shared" si="8"/>
        <v>8</v>
      </c>
      <c r="L10" s="21"/>
      <c r="M10" s="21"/>
      <c r="N10" s="21"/>
      <c r="O10" s="21"/>
      <c r="P10" s="24">
        <f t="shared" si="9"/>
        <v>0</v>
      </c>
      <c r="Q10" s="24">
        <f t="shared" si="10"/>
        <v>0</v>
      </c>
      <c r="R10" s="24">
        <f t="shared" si="11"/>
        <v>0</v>
      </c>
      <c r="S10" s="24">
        <f t="shared" si="12"/>
        <v>0</v>
      </c>
      <c r="U10" s="22"/>
      <c r="V10" s="28" t="s">
        <v>39</v>
      </c>
      <c r="W10" s="29">
        <f>SUM(W6:W9)</f>
        <v>133.63266168802028</v>
      </c>
      <c r="X10" s="22"/>
      <c r="Y10" s="22"/>
      <c r="Z10" s="127"/>
    </row>
    <row r="11" spans="1:26" x14ac:dyDescent="0.35">
      <c r="A11" s="15">
        <v>9</v>
      </c>
      <c r="B11" s="15">
        <f t="shared" si="4"/>
        <v>9</v>
      </c>
      <c r="C11" s="16">
        <f t="shared" si="0"/>
        <v>8.0028000000000006</v>
      </c>
      <c r="D11" s="16">
        <f t="shared" si="5"/>
        <v>2.8950539664743791</v>
      </c>
      <c r="E11" s="16">
        <f t="shared" si="6"/>
        <v>18.980428991609543</v>
      </c>
      <c r="F11" s="17">
        <f t="shared" si="7"/>
        <v>9</v>
      </c>
      <c r="G11" s="19">
        <f t="shared" si="7"/>
        <v>6</v>
      </c>
      <c r="H11" s="19">
        <f t="shared" si="1"/>
        <v>5.428799999999999</v>
      </c>
      <c r="I11" s="19">
        <f t="shared" si="2"/>
        <v>2.0546430333413581</v>
      </c>
      <c r="J11" s="19">
        <f t="shared" si="3"/>
        <v>13.033663283069531</v>
      </c>
      <c r="K11" s="20">
        <f t="shared" si="8"/>
        <v>9</v>
      </c>
      <c r="L11" s="21"/>
      <c r="M11" s="21"/>
      <c r="N11" s="21"/>
      <c r="O11" s="21"/>
      <c r="P11" s="24">
        <f t="shared" si="9"/>
        <v>0</v>
      </c>
      <c r="Q11" s="24">
        <f t="shared" si="10"/>
        <v>0</v>
      </c>
      <c r="R11" s="24">
        <f t="shared" si="11"/>
        <v>0</v>
      </c>
      <c r="S11" s="24">
        <f t="shared" si="12"/>
        <v>0</v>
      </c>
      <c r="U11" s="22"/>
      <c r="V11" s="22" t="s">
        <v>40</v>
      </c>
      <c r="W11" s="23">
        <f>SUM(L3:L32)</f>
        <v>8</v>
      </c>
      <c r="X11" s="22"/>
      <c r="Y11" s="22"/>
      <c r="Z11" s="127"/>
    </row>
    <row r="12" spans="1:26" x14ac:dyDescent="0.35">
      <c r="A12" s="15">
        <v>10</v>
      </c>
      <c r="B12" s="15">
        <f t="shared" si="4"/>
        <v>10</v>
      </c>
      <c r="C12" s="16">
        <f t="shared" si="0"/>
        <v>8.8919999999999995</v>
      </c>
      <c r="D12" s="16">
        <f t="shared" si="5"/>
        <v>3.177517729464268</v>
      </c>
      <c r="E12" s="16">
        <f t="shared" si="6"/>
        <v>21.021076712150265</v>
      </c>
      <c r="F12" s="17">
        <f t="shared" si="7"/>
        <v>10</v>
      </c>
      <c r="G12" s="19">
        <f t="shared" si="7"/>
        <v>7</v>
      </c>
      <c r="H12" s="19">
        <f t="shared" si="1"/>
        <v>6.3335999999999997</v>
      </c>
      <c r="I12" s="19">
        <f t="shared" si="2"/>
        <v>2.3544559158145972</v>
      </c>
      <c r="J12" s="19">
        <f t="shared" si="3"/>
        <v>15.131697386710426</v>
      </c>
      <c r="K12" s="20">
        <f t="shared" si="8"/>
        <v>10</v>
      </c>
      <c r="L12" s="21"/>
      <c r="M12" s="21"/>
      <c r="N12" s="21"/>
      <c r="O12" s="21"/>
      <c r="P12" s="24">
        <f t="shared" si="9"/>
        <v>0</v>
      </c>
      <c r="Q12" s="24">
        <f t="shared" si="10"/>
        <v>0</v>
      </c>
      <c r="R12" s="24">
        <f t="shared" si="11"/>
        <v>0</v>
      </c>
      <c r="S12" s="24">
        <f t="shared" si="12"/>
        <v>0</v>
      </c>
      <c r="U12" s="22"/>
      <c r="V12" s="22" t="s">
        <v>41</v>
      </c>
      <c r="W12" s="22">
        <v>0.25</v>
      </c>
      <c r="X12" s="22"/>
      <c r="Y12" s="22"/>
      <c r="Z12" s="127"/>
    </row>
    <row r="13" spans="1:26" x14ac:dyDescent="0.35">
      <c r="A13" s="15">
        <v>11</v>
      </c>
      <c r="B13" s="15">
        <f t="shared" si="4"/>
        <v>11</v>
      </c>
      <c r="C13" s="16">
        <f t="shared" si="0"/>
        <v>9.7812000000000001</v>
      </c>
      <c r="D13" s="16">
        <f t="shared" si="5"/>
        <v>3.4567069199829903</v>
      </c>
      <c r="E13" s="16">
        <f t="shared" si="6"/>
        <v>23.056021218970372</v>
      </c>
      <c r="F13" s="17">
        <f t="shared" si="7"/>
        <v>11</v>
      </c>
      <c r="G13" s="19">
        <f t="shared" si="7"/>
        <v>8</v>
      </c>
      <c r="H13" s="19">
        <f t="shared" si="1"/>
        <v>7.2383999999999995</v>
      </c>
      <c r="I13" s="19">
        <f t="shared" si="2"/>
        <v>2.6493067597344675</v>
      </c>
      <c r="J13" s="19">
        <f>(H13+I13)*0.475*44/12</f>
        <v>17.221089273204196</v>
      </c>
      <c r="K13" s="20">
        <f t="shared" si="8"/>
        <v>11</v>
      </c>
      <c r="L13" s="21"/>
      <c r="M13" s="21"/>
      <c r="N13" s="21"/>
      <c r="O13" s="21"/>
      <c r="P13" s="24">
        <f t="shared" si="9"/>
        <v>0</v>
      </c>
      <c r="Q13" s="24">
        <f t="shared" si="10"/>
        <v>0</v>
      </c>
      <c r="R13" s="24">
        <f t="shared" si="11"/>
        <v>0</v>
      </c>
      <c r="S13" s="24">
        <f t="shared" si="12"/>
        <v>0</v>
      </c>
      <c r="U13" s="22"/>
      <c r="V13" s="28" t="s">
        <v>42</v>
      </c>
      <c r="W13" s="30">
        <f>W11*W12</f>
        <v>2</v>
      </c>
      <c r="X13" s="22"/>
      <c r="Y13" s="22"/>
      <c r="Z13" s="127"/>
    </row>
    <row r="14" spans="1:26" x14ac:dyDescent="0.35">
      <c r="A14" s="15">
        <v>12</v>
      </c>
      <c r="B14" s="15">
        <f t="shared" si="4"/>
        <v>12</v>
      </c>
      <c r="C14" s="16">
        <f t="shared" si="0"/>
        <v>10.670400000000001</v>
      </c>
      <c r="D14" s="16">
        <f t="shared" si="5"/>
        <v>3.7329530817348471</v>
      </c>
      <c r="E14" s="16">
        <f t="shared" si="6"/>
        <v>25.085839950688193</v>
      </c>
      <c r="F14" s="17">
        <f t="shared" si="7"/>
        <v>12</v>
      </c>
      <c r="G14" s="19">
        <f t="shared" si="7"/>
        <v>9</v>
      </c>
      <c r="H14" s="19">
        <f t="shared" si="1"/>
        <v>8.1432000000000002</v>
      </c>
      <c r="I14" s="19">
        <f t="shared" si="2"/>
        <v>2.9398868551895574</v>
      </c>
      <c r="J14" s="19">
        <f t="shared" si="3"/>
        <v>19.303042939455146</v>
      </c>
      <c r="K14" s="20">
        <f t="shared" si="8"/>
        <v>12</v>
      </c>
      <c r="L14" s="21"/>
      <c r="M14" s="21"/>
      <c r="N14" s="21"/>
      <c r="O14" s="21"/>
      <c r="P14" s="24">
        <f t="shared" si="9"/>
        <v>0</v>
      </c>
      <c r="Q14" s="24">
        <f t="shared" si="10"/>
        <v>0</v>
      </c>
      <c r="R14" s="24">
        <f t="shared" si="11"/>
        <v>0</v>
      </c>
      <c r="S14" s="24">
        <f t="shared" si="12"/>
        <v>0</v>
      </c>
      <c r="U14" s="22"/>
      <c r="V14" s="28" t="s">
        <v>43</v>
      </c>
      <c r="W14" s="29">
        <f>AVERAGE(S2:S32)</f>
        <v>0</v>
      </c>
      <c r="X14" s="22"/>
      <c r="Y14" s="22"/>
      <c r="Z14" s="127"/>
    </row>
    <row r="15" spans="1:26" x14ac:dyDescent="0.35">
      <c r="A15" s="15">
        <v>13</v>
      </c>
      <c r="B15" s="15">
        <f t="shared" si="4"/>
        <v>13</v>
      </c>
      <c r="C15" s="16">
        <f t="shared" si="0"/>
        <v>11.5596</v>
      </c>
      <c r="D15" s="16">
        <f t="shared" si="5"/>
        <v>4.0065293501366055</v>
      </c>
      <c r="E15" s="16">
        <f t="shared" si="6"/>
        <v>27.111008618154589</v>
      </c>
      <c r="F15" s="17">
        <f t="shared" si="7"/>
        <v>13</v>
      </c>
      <c r="G15" s="19">
        <f t="shared" si="7"/>
        <v>10</v>
      </c>
      <c r="H15" s="19">
        <f t="shared" si="1"/>
        <v>9.048</v>
      </c>
      <c r="I15" s="19">
        <f t="shared" si="2"/>
        <v>3.226724860110286</v>
      </c>
      <c r="J15" s="19">
        <f t="shared" si="3"/>
        <v>21.378479131358745</v>
      </c>
      <c r="K15" s="20">
        <f t="shared" si="8"/>
        <v>13</v>
      </c>
      <c r="L15" s="21"/>
      <c r="M15" s="21"/>
      <c r="N15" s="21"/>
      <c r="O15" s="21"/>
      <c r="P15" s="24">
        <f t="shared" si="9"/>
        <v>0</v>
      </c>
      <c r="Q15" s="24">
        <f t="shared" si="10"/>
        <v>0</v>
      </c>
      <c r="R15" s="24">
        <f t="shared" si="11"/>
        <v>0</v>
      </c>
      <c r="S15" s="24">
        <f t="shared" si="12"/>
        <v>0</v>
      </c>
      <c r="U15" s="22"/>
      <c r="X15" s="22"/>
      <c r="Y15" s="22"/>
      <c r="Z15" s="127"/>
    </row>
    <row r="16" spans="1:26" x14ac:dyDescent="0.35">
      <c r="A16" s="15">
        <v>14</v>
      </c>
      <c r="B16" s="15">
        <f t="shared" si="4"/>
        <v>14</v>
      </c>
      <c r="C16" s="16">
        <f t="shared" si="0"/>
        <v>12.4488</v>
      </c>
      <c r="D16" s="16">
        <f t="shared" si="5"/>
        <v>4.2776644527179633</v>
      </c>
      <c r="E16" s="16">
        <f t="shared" si="6"/>
        <v>29.131925588483782</v>
      </c>
      <c r="F16" s="17">
        <f t="shared" si="7"/>
        <v>14</v>
      </c>
      <c r="G16" s="25">
        <f t="shared" ref="G16:G21" si="13">G15+G15-G14+1</f>
        <v>12</v>
      </c>
      <c r="H16" s="19">
        <f t="shared" si="1"/>
        <v>10.857599999999998</v>
      </c>
      <c r="I16" s="19">
        <f t="shared" si="2"/>
        <v>3.7907617001683773</v>
      </c>
      <c r="J16" s="19">
        <f t="shared" si="3"/>
        <v>25.512563294459923</v>
      </c>
      <c r="K16" s="20">
        <f t="shared" si="8"/>
        <v>14</v>
      </c>
      <c r="L16" s="21"/>
      <c r="M16" s="31"/>
      <c r="N16" s="31"/>
      <c r="O16" s="31"/>
      <c r="P16" s="24">
        <f t="shared" si="9"/>
        <v>0</v>
      </c>
      <c r="Q16" s="24">
        <f t="shared" si="10"/>
        <v>0</v>
      </c>
      <c r="R16" s="24">
        <f t="shared" si="11"/>
        <v>0</v>
      </c>
      <c r="S16" s="24">
        <f t="shared" si="12"/>
        <v>0</v>
      </c>
      <c r="U16" s="22"/>
      <c r="V16" s="32" t="s">
        <v>44</v>
      </c>
      <c r="W16" s="29">
        <f>W10+W13+W14</f>
        <v>135.63266168802028</v>
      </c>
      <c r="X16" s="22"/>
      <c r="Y16" s="22"/>
      <c r="Z16" s="127"/>
    </row>
    <row r="17" spans="1:25" x14ac:dyDescent="0.35">
      <c r="A17" s="15">
        <v>15</v>
      </c>
      <c r="B17" s="15">
        <f t="shared" si="4"/>
        <v>15</v>
      </c>
      <c r="C17" s="16">
        <f t="shared" si="0"/>
        <v>13.337999999999999</v>
      </c>
      <c r="D17" s="16">
        <f t="shared" si="5"/>
        <v>4.5465525901071517</v>
      </c>
      <c r="E17" s="16">
        <f t="shared" si="6"/>
        <v>31.148929094436621</v>
      </c>
      <c r="F17" s="17">
        <f t="shared" si="7"/>
        <v>15</v>
      </c>
      <c r="G17" s="25">
        <f t="shared" si="13"/>
        <v>15</v>
      </c>
      <c r="H17" s="19">
        <f t="shared" si="1"/>
        <v>13.572000000000001</v>
      </c>
      <c r="I17" s="19">
        <f t="shared" si="2"/>
        <v>4.616960633850189</v>
      </c>
      <c r="J17" s="19">
        <f t="shared" si="3"/>
        <v>31.679106437289079</v>
      </c>
      <c r="K17" s="20">
        <f t="shared" si="8"/>
        <v>15</v>
      </c>
      <c r="L17" s="21"/>
      <c r="M17" s="21"/>
      <c r="N17" s="21"/>
      <c r="O17" s="21"/>
      <c r="P17" s="24">
        <f t="shared" si="9"/>
        <v>0</v>
      </c>
      <c r="Q17" s="24">
        <f t="shared" si="10"/>
        <v>0</v>
      </c>
      <c r="R17" s="24">
        <f t="shared" si="11"/>
        <v>0</v>
      </c>
      <c r="S17" s="24">
        <f t="shared" si="12"/>
        <v>0</v>
      </c>
    </row>
    <row r="18" spans="1:25" x14ac:dyDescent="0.35">
      <c r="A18" s="15">
        <v>16</v>
      </c>
      <c r="B18" s="15">
        <f t="shared" si="4"/>
        <v>16</v>
      </c>
      <c r="C18" s="16">
        <f t="shared" si="0"/>
        <v>14.2272</v>
      </c>
      <c r="D18" s="16">
        <f t="shared" si="5"/>
        <v>4.81336060460516</v>
      </c>
      <c r="E18" s="16">
        <f t="shared" si="6"/>
        <v>33.162309719687322</v>
      </c>
      <c r="F18" s="17">
        <f t="shared" si="7"/>
        <v>16</v>
      </c>
      <c r="G18" s="25">
        <f>G17+G17-G16+1</f>
        <v>19</v>
      </c>
      <c r="H18" s="19">
        <f t="shared" si="1"/>
        <v>17.191199999999998</v>
      </c>
      <c r="I18" s="19">
        <f t="shared" si="2"/>
        <v>5.6894281456126885</v>
      </c>
      <c r="J18" s="19">
        <f t="shared" si="3"/>
        <v>39.850427353608758</v>
      </c>
      <c r="K18" s="20">
        <f t="shared" si="8"/>
        <v>16</v>
      </c>
      <c r="L18" s="21"/>
      <c r="M18" s="21"/>
      <c r="N18" s="31"/>
      <c r="O18" s="31"/>
      <c r="P18" s="24">
        <f t="shared" si="9"/>
        <v>0</v>
      </c>
      <c r="Q18" s="24">
        <f t="shared" si="10"/>
        <v>0</v>
      </c>
      <c r="R18" s="24">
        <f t="shared" si="11"/>
        <v>0</v>
      </c>
      <c r="S18" s="24">
        <f t="shared" si="12"/>
        <v>0</v>
      </c>
      <c r="X18" s="22"/>
      <c r="Y18" s="22"/>
    </row>
    <row r="19" spans="1:25" x14ac:dyDescent="0.35">
      <c r="A19" s="15">
        <v>17</v>
      </c>
      <c r="B19" s="15">
        <f t="shared" si="4"/>
        <v>17</v>
      </c>
      <c r="C19" s="16">
        <f t="shared" si="0"/>
        <v>15.116400000000001</v>
      </c>
      <c r="D19" s="16">
        <f t="shared" si="5"/>
        <v>5.0782333044806913</v>
      </c>
      <c r="E19" s="16">
        <f t="shared" si="6"/>
        <v>35.172319671970541</v>
      </c>
      <c r="F19" s="17">
        <f t="shared" si="7"/>
        <v>17</v>
      </c>
      <c r="G19" s="25">
        <f t="shared" si="13"/>
        <v>24</v>
      </c>
      <c r="H19" s="19">
        <f t="shared" si="1"/>
        <v>21.715199999999996</v>
      </c>
      <c r="I19" s="19">
        <f t="shared" si="2"/>
        <v>6.9938544235075568</v>
      </c>
      <c r="J19" s="19">
        <f t="shared" si="3"/>
        <v>50.00160312094232</v>
      </c>
      <c r="K19" s="20">
        <f t="shared" si="8"/>
        <v>17</v>
      </c>
      <c r="L19" s="21"/>
      <c r="M19" s="21"/>
      <c r="N19" s="21"/>
      <c r="O19" s="21"/>
      <c r="P19" s="24">
        <f t="shared" si="9"/>
        <v>0</v>
      </c>
      <c r="Q19" s="24">
        <f t="shared" si="10"/>
        <v>0</v>
      </c>
      <c r="R19" s="24">
        <f t="shared" si="11"/>
        <v>0</v>
      </c>
      <c r="S19" s="24">
        <f t="shared" si="12"/>
        <v>0</v>
      </c>
      <c r="X19" s="22"/>
      <c r="Y19" s="22"/>
    </row>
    <row r="20" spans="1:25" x14ac:dyDescent="0.35">
      <c r="A20" s="15">
        <v>18</v>
      </c>
      <c r="B20" s="15">
        <f t="shared" si="4"/>
        <v>18</v>
      </c>
      <c r="C20" s="16">
        <f t="shared" si="0"/>
        <v>16.005600000000001</v>
      </c>
      <c r="D20" s="16">
        <f t="shared" si="5"/>
        <v>5.3412974993444156</v>
      </c>
      <c r="E20" s="16">
        <f t="shared" si="6"/>
        <v>37.179179811358189</v>
      </c>
      <c r="F20" s="17">
        <f t="shared" ref="F20:F35" si="14">F19+1</f>
        <v>18</v>
      </c>
      <c r="G20" s="25">
        <f t="shared" si="13"/>
        <v>30</v>
      </c>
      <c r="H20" s="19">
        <f t="shared" si="1"/>
        <v>27.144000000000002</v>
      </c>
      <c r="I20" s="19">
        <f t="shared" si="2"/>
        <v>8.5181694620316346</v>
      </c>
      <c r="J20" s="19">
        <f t="shared" si="3"/>
        <v>62.111611813038422</v>
      </c>
      <c r="K20" s="20">
        <f t="shared" si="8"/>
        <v>18</v>
      </c>
      <c r="L20" s="21"/>
      <c r="M20" s="31"/>
      <c r="N20" s="31"/>
      <c r="O20" s="31"/>
      <c r="P20" s="24">
        <f t="shared" si="9"/>
        <v>0</v>
      </c>
      <c r="Q20" s="24">
        <f t="shared" si="10"/>
        <v>0</v>
      </c>
      <c r="R20" s="24">
        <f t="shared" si="11"/>
        <v>0</v>
      </c>
      <c r="S20" s="24">
        <f t="shared" si="12"/>
        <v>0</v>
      </c>
      <c r="V20" s="33"/>
      <c r="W20" s="34"/>
    </row>
    <row r="21" spans="1:25" x14ac:dyDescent="0.35">
      <c r="A21" s="15">
        <v>19</v>
      </c>
      <c r="B21" s="15">
        <f t="shared" si="4"/>
        <v>19</v>
      </c>
      <c r="C21" s="16">
        <f t="shared" si="0"/>
        <v>16.894799999999996</v>
      </c>
      <c r="D21" s="16">
        <f t="shared" si="5"/>
        <v>5.6026651130643454</v>
      </c>
      <c r="E21" s="16">
        <f t="shared" si="6"/>
        <v>39.183085071920395</v>
      </c>
      <c r="F21" s="17">
        <f>F20+1</f>
        <v>19</v>
      </c>
      <c r="G21" s="25">
        <f t="shared" si="13"/>
        <v>37</v>
      </c>
      <c r="H21" s="19">
        <f t="shared" si="1"/>
        <v>33.477599999999995</v>
      </c>
      <c r="I21" s="19">
        <f t="shared" si="2"/>
        <v>10.252386697938791</v>
      </c>
      <c r="J21" s="19">
        <f t="shared" si="3"/>
        <v>76.163060165576709</v>
      </c>
      <c r="K21" s="20">
        <f t="shared" si="8"/>
        <v>19</v>
      </c>
      <c r="L21" s="35"/>
      <c r="M21" s="36"/>
      <c r="N21" s="36"/>
      <c r="O21" s="36"/>
      <c r="P21" s="24">
        <f t="shared" si="9"/>
        <v>0</v>
      </c>
      <c r="Q21" s="24">
        <f t="shared" si="10"/>
        <v>0</v>
      </c>
      <c r="R21" s="24">
        <f t="shared" si="11"/>
        <v>0</v>
      </c>
      <c r="S21" s="24">
        <f t="shared" si="12"/>
        <v>0</v>
      </c>
      <c r="W21" s="22"/>
    </row>
    <row r="22" spans="1:25" x14ac:dyDescent="0.35">
      <c r="A22" s="15">
        <v>20</v>
      </c>
      <c r="B22" s="15">
        <f t="shared" si="4"/>
        <v>20</v>
      </c>
      <c r="C22" s="16">
        <f t="shared" si="0"/>
        <v>17.783999999999999</v>
      </c>
      <c r="D22" s="16">
        <f t="shared" si="5"/>
        <v>5.862435622634961</v>
      </c>
      <c r="E22" s="16">
        <f t="shared" si="6"/>
        <v>41.184208709422556</v>
      </c>
      <c r="F22" s="17">
        <f t="shared" si="14"/>
        <v>20</v>
      </c>
      <c r="G22" s="19">
        <f>42</f>
        <v>42</v>
      </c>
      <c r="H22" s="19">
        <f>G22*1.56*$W$1</f>
        <v>38.001599999999996</v>
      </c>
      <c r="I22" s="19">
        <f t="shared" si="2"/>
        <v>11.467401227090512</v>
      </c>
      <c r="J22" s="19">
        <f t="shared" si="3"/>
        <v>86.158510470515964</v>
      </c>
      <c r="K22" s="20">
        <f t="shared" si="8"/>
        <v>20</v>
      </c>
      <c r="L22" s="21"/>
      <c r="M22" s="31"/>
      <c r="N22" s="37"/>
      <c r="O22" s="37"/>
      <c r="P22" s="24">
        <f t="shared" si="9"/>
        <v>0</v>
      </c>
      <c r="Q22" s="24">
        <f t="shared" si="10"/>
        <v>0</v>
      </c>
      <c r="R22" s="24">
        <f t="shared" si="11"/>
        <v>0</v>
      </c>
      <c r="S22" s="24">
        <f t="shared" si="12"/>
        <v>0</v>
      </c>
      <c r="W22" s="22"/>
    </row>
    <row r="23" spans="1:25" x14ac:dyDescent="0.35">
      <c r="A23" s="15">
        <v>21</v>
      </c>
      <c r="B23" s="15">
        <f t="shared" si="4"/>
        <v>21</v>
      </c>
      <c r="C23" s="16">
        <f t="shared" si="0"/>
        <v>18.673199999999998</v>
      </c>
      <c r="D23" s="16">
        <f t="shared" si="5"/>
        <v>6.120697995410775</v>
      </c>
      <c r="E23" s="16">
        <f t="shared" si="6"/>
        <v>43.182705675340429</v>
      </c>
      <c r="F23" s="17">
        <f t="shared" si="14"/>
        <v>21</v>
      </c>
      <c r="G23" s="19">
        <f>$G$22+(F23-$F$22)*($G$27-$G$22)/($F$27-$F$22)</f>
        <v>47.6</v>
      </c>
      <c r="H23" s="19">
        <f t="shared" si="1"/>
        <v>43.068479999999994</v>
      </c>
      <c r="I23" s="19">
        <f t="shared" si="2"/>
        <v>12.808416415102187</v>
      </c>
      <c r="J23" s="19">
        <f t="shared" si="3"/>
        <v>97.318927922969621</v>
      </c>
      <c r="K23" s="20">
        <f t="shared" si="8"/>
        <v>21</v>
      </c>
      <c r="L23" s="38"/>
      <c r="M23" s="31"/>
      <c r="N23" s="31"/>
      <c r="O23" s="31"/>
      <c r="P23" s="24">
        <f t="shared" si="9"/>
        <v>0</v>
      </c>
      <c r="Q23" s="24">
        <f t="shared" si="10"/>
        <v>0</v>
      </c>
      <c r="R23" s="24">
        <f t="shared" si="11"/>
        <v>0</v>
      </c>
      <c r="S23" s="24">
        <f t="shared" si="12"/>
        <v>0</v>
      </c>
      <c r="W23" s="22"/>
    </row>
    <row r="24" spans="1:25" x14ac:dyDescent="0.35">
      <c r="A24" s="15">
        <v>22</v>
      </c>
      <c r="B24" s="15">
        <f t="shared" si="4"/>
        <v>22</v>
      </c>
      <c r="C24" s="16">
        <f t="shared" si="0"/>
        <v>19.5624</v>
      </c>
      <c r="D24" s="16">
        <f t="shared" si="5"/>
        <v>6.3775322468881095</v>
      </c>
      <c r="E24" s="16">
        <f t="shared" si="6"/>
        <v>45.178715329996784</v>
      </c>
      <c r="F24" s="17">
        <f t="shared" si="14"/>
        <v>22</v>
      </c>
      <c r="G24" s="19">
        <f t="shared" ref="G24:G26" si="15">$G$22+(F24-$F$22)*($G$27-$G$22)/($F$27-$F$22)</f>
        <v>53.2</v>
      </c>
      <c r="H24" s="19">
        <f t="shared" si="1"/>
        <v>48.135359999999999</v>
      </c>
      <c r="I24" s="19">
        <f t="shared" si="2"/>
        <v>14.131148275361113</v>
      </c>
      <c r="J24" s="19">
        <f t="shared" si="3"/>
        <v>108.4475019129206</v>
      </c>
      <c r="K24" s="20">
        <f t="shared" si="8"/>
        <v>22</v>
      </c>
      <c r="L24" s="21"/>
      <c r="M24" s="21"/>
      <c r="N24" s="31"/>
      <c r="O24" s="31"/>
      <c r="P24" s="24">
        <f t="shared" si="9"/>
        <v>0</v>
      </c>
      <c r="Q24" s="24">
        <f t="shared" si="10"/>
        <v>0</v>
      </c>
      <c r="R24" s="24">
        <f t="shared" si="11"/>
        <v>0</v>
      </c>
      <c r="S24" s="24">
        <f t="shared" si="12"/>
        <v>0</v>
      </c>
      <c r="W24" s="22"/>
    </row>
    <row r="25" spans="1:25" x14ac:dyDescent="0.35">
      <c r="A25" s="15">
        <v>23</v>
      </c>
      <c r="B25" s="15">
        <f t="shared" si="4"/>
        <v>23</v>
      </c>
      <c r="C25" s="16">
        <f t="shared" si="0"/>
        <v>20.451599999999999</v>
      </c>
      <c r="D25" s="16">
        <f t="shared" si="5"/>
        <v>6.6330107072474558</v>
      </c>
      <c r="E25" s="16">
        <f t="shared" si="6"/>
        <v>47.172363648455985</v>
      </c>
      <c r="F25" s="17">
        <f t="shared" si="14"/>
        <v>23</v>
      </c>
      <c r="G25" s="19">
        <f t="shared" si="15"/>
        <v>58.8</v>
      </c>
      <c r="H25" s="19">
        <f t="shared" si="1"/>
        <v>53.202239999999996</v>
      </c>
      <c r="I25" s="19">
        <f t="shared" si="2"/>
        <v>15.437740642425908</v>
      </c>
      <c r="J25" s="19">
        <f t="shared" si="3"/>
        <v>119.54796628555846</v>
      </c>
      <c r="K25" s="20">
        <f t="shared" si="8"/>
        <v>23</v>
      </c>
      <c r="L25" s="21"/>
      <c r="M25" s="31"/>
      <c r="N25" s="31"/>
      <c r="O25" s="37"/>
      <c r="P25" s="24">
        <f t="shared" si="9"/>
        <v>0</v>
      </c>
      <c r="Q25" s="24">
        <f t="shared" si="10"/>
        <v>0</v>
      </c>
      <c r="R25" s="24">
        <f t="shared" si="11"/>
        <v>0</v>
      </c>
      <c r="S25" s="24">
        <f t="shared" si="12"/>
        <v>0</v>
      </c>
      <c r="W25" s="22"/>
    </row>
    <row r="26" spans="1:25" x14ac:dyDescent="0.35">
      <c r="A26" s="15">
        <v>24</v>
      </c>
      <c r="B26" s="15">
        <f t="shared" si="4"/>
        <v>24</v>
      </c>
      <c r="C26" s="16">
        <f t="shared" si="0"/>
        <v>21.340800000000002</v>
      </c>
      <c r="D26" s="16">
        <f t="shared" si="5"/>
        <v>6.8871990614123195</v>
      </c>
      <c r="E26" s="16">
        <f t="shared" si="6"/>
        <v>49.163765031959791</v>
      </c>
      <c r="F26" s="17">
        <f t="shared" si="14"/>
        <v>24</v>
      </c>
      <c r="G26" s="19">
        <f t="shared" si="15"/>
        <v>64.400000000000006</v>
      </c>
      <c r="H26" s="19">
        <f t="shared" si="1"/>
        <v>58.269120000000001</v>
      </c>
      <c r="I26" s="19">
        <f t="shared" si="2"/>
        <v>16.729905486873804</v>
      </c>
      <c r="J26" s="19">
        <f t="shared" si="3"/>
        <v>130.62330272297189</v>
      </c>
      <c r="K26" s="20">
        <f t="shared" si="8"/>
        <v>24</v>
      </c>
      <c r="L26" s="39"/>
      <c r="M26" s="40"/>
      <c r="N26" s="31"/>
      <c r="O26" s="31"/>
      <c r="P26" s="24">
        <f t="shared" si="9"/>
        <v>0</v>
      </c>
      <c r="Q26" s="24">
        <f t="shared" si="10"/>
        <v>0</v>
      </c>
      <c r="R26" s="24">
        <f t="shared" si="11"/>
        <v>0</v>
      </c>
      <c r="S26" s="24">
        <f t="shared" si="12"/>
        <v>0</v>
      </c>
      <c r="W26" s="22"/>
    </row>
    <row r="27" spans="1:25" x14ac:dyDescent="0.35">
      <c r="A27" s="15">
        <v>25</v>
      </c>
      <c r="B27" s="15">
        <f t="shared" si="4"/>
        <v>25</v>
      </c>
      <c r="C27" s="16">
        <f t="shared" si="0"/>
        <v>22.229999999999997</v>
      </c>
      <c r="D27" s="16">
        <f t="shared" si="5"/>
        <v>7.140157210880437</v>
      </c>
      <c r="E27" s="16">
        <f t="shared" si="6"/>
        <v>51.153023808950088</v>
      </c>
      <c r="F27" s="17">
        <f t="shared" si="14"/>
        <v>25</v>
      </c>
      <c r="G27" s="19">
        <f>62+8</f>
        <v>70</v>
      </c>
      <c r="H27" s="19">
        <f t="shared" si="1"/>
        <v>63.335999999999999</v>
      </c>
      <c r="I27" s="19">
        <f t="shared" si="2"/>
        <v>18.009040022946227</v>
      </c>
      <c r="J27" s="19">
        <f t="shared" si="3"/>
        <v>141.67594470663133</v>
      </c>
      <c r="K27" s="20">
        <f t="shared" si="8"/>
        <v>25</v>
      </c>
      <c r="L27" s="41">
        <f>G27-G28</f>
        <v>8</v>
      </c>
      <c r="M27" s="42">
        <v>0</v>
      </c>
      <c r="N27" s="42">
        <v>0</v>
      </c>
      <c r="O27" s="42">
        <v>0</v>
      </c>
      <c r="P27" s="24">
        <f t="shared" si="9"/>
        <v>0</v>
      </c>
      <c r="Q27" s="24">
        <f t="shared" si="10"/>
        <v>0</v>
      </c>
      <c r="R27" s="24">
        <f t="shared" si="11"/>
        <v>0</v>
      </c>
      <c r="S27" s="24">
        <f t="shared" si="12"/>
        <v>0</v>
      </c>
      <c r="W27" s="22"/>
    </row>
    <row r="28" spans="1:25" x14ac:dyDescent="0.35">
      <c r="A28" s="15">
        <v>26</v>
      </c>
      <c r="B28" s="15">
        <f t="shared" si="4"/>
        <v>26</v>
      </c>
      <c r="C28" s="16">
        <f t="shared" si="0"/>
        <v>23.119199999999999</v>
      </c>
      <c r="D28" s="16">
        <f t="shared" si="5"/>
        <v>7.3919399937804329</v>
      </c>
      <c r="E28" s="16">
        <f t="shared" si="6"/>
        <v>53.140235489167587</v>
      </c>
      <c r="F28" s="17">
        <v>25</v>
      </c>
      <c r="G28" s="19">
        <v>62</v>
      </c>
      <c r="H28" s="19">
        <f t="shared" si="1"/>
        <v>56.097599999999993</v>
      </c>
      <c r="I28" s="19">
        <f t="shared" si="2"/>
        <v>16.177791426098278</v>
      </c>
      <c r="J28" s="19">
        <f t="shared" si="3"/>
        <v>125.87964006712114</v>
      </c>
      <c r="K28" s="20">
        <f t="shared" si="8"/>
        <v>26</v>
      </c>
      <c r="L28" s="39"/>
      <c r="M28" s="39"/>
      <c r="N28" s="31"/>
      <c r="O28" s="31"/>
      <c r="P28" s="24">
        <f t="shared" si="9"/>
        <v>0</v>
      </c>
      <c r="Q28" s="24">
        <f t="shared" si="10"/>
        <v>0</v>
      </c>
      <c r="R28" s="24">
        <f t="shared" si="11"/>
        <v>0</v>
      </c>
      <c r="S28" s="24">
        <f t="shared" si="12"/>
        <v>0</v>
      </c>
      <c r="W28" s="22"/>
    </row>
    <row r="29" spans="1:25" x14ac:dyDescent="0.35">
      <c r="A29" s="15">
        <v>27</v>
      </c>
      <c r="B29" s="15">
        <f t="shared" si="4"/>
        <v>27</v>
      </c>
      <c r="C29" s="16">
        <f t="shared" si="0"/>
        <v>24.008399999999998</v>
      </c>
      <c r="D29" s="16">
        <f t="shared" si="5"/>
        <v>7.6425977910346958</v>
      </c>
      <c r="E29" s="16">
        <f t="shared" si="6"/>
        <v>55.125487819385427</v>
      </c>
      <c r="F29" s="17">
        <f t="shared" si="14"/>
        <v>26</v>
      </c>
      <c r="G29" s="19">
        <f>$G$28+(F29-$F$28)*($G$33-$G$28)/($F$33-$F$28)</f>
        <v>69</v>
      </c>
      <c r="H29" s="19">
        <f t="shared" si="1"/>
        <v>62.431199999999997</v>
      </c>
      <c r="I29" s="19">
        <f t="shared" si="2"/>
        <v>17.781524466058684</v>
      </c>
      <c r="J29" s="19">
        <f t="shared" si="3"/>
        <v>139.70382844505221</v>
      </c>
      <c r="K29" s="20">
        <f t="shared" si="8"/>
        <v>27</v>
      </c>
      <c r="L29" s="39"/>
      <c r="M29" s="40"/>
      <c r="N29" s="31"/>
      <c r="O29" s="31"/>
      <c r="P29" s="24">
        <f t="shared" si="9"/>
        <v>0</v>
      </c>
      <c r="Q29" s="24">
        <f t="shared" si="10"/>
        <v>0</v>
      </c>
      <c r="R29" s="24">
        <f t="shared" si="11"/>
        <v>0</v>
      </c>
      <c r="S29" s="24">
        <f t="shared" si="12"/>
        <v>0</v>
      </c>
      <c r="W29" s="22"/>
    </row>
    <row r="30" spans="1:25" x14ac:dyDescent="0.35">
      <c r="A30" s="15">
        <v>28</v>
      </c>
      <c r="B30" s="15">
        <f t="shared" si="4"/>
        <v>28</v>
      </c>
      <c r="C30" s="16">
        <f t="shared" si="0"/>
        <v>24.897600000000001</v>
      </c>
      <c r="D30" s="16">
        <f t="shared" si="5"/>
        <v>7.8921770401958238</v>
      </c>
      <c r="E30" s="16">
        <f t="shared" si="6"/>
        <v>57.10886167834105</v>
      </c>
      <c r="F30" s="17">
        <f t="shared" si="14"/>
        <v>27</v>
      </c>
      <c r="G30" s="19">
        <f t="shared" ref="G30:G32" si="16">$G$28+(F30-$F$28)*($G$33-$G$28)/($F$33-$F$28)</f>
        <v>76</v>
      </c>
      <c r="H30" s="19">
        <f t="shared" si="1"/>
        <v>68.764799999999994</v>
      </c>
      <c r="I30" s="19">
        <f t="shared" si="2"/>
        <v>19.366396769521369</v>
      </c>
      <c r="J30" s="19">
        <f t="shared" si="3"/>
        <v>153.49516770691636</v>
      </c>
      <c r="K30" s="20">
        <f t="shared" si="8"/>
        <v>28</v>
      </c>
      <c r="L30" s="43"/>
      <c r="M30" s="40"/>
      <c r="N30" s="31"/>
      <c r="O30" s="31"/>
      <c r="P30" s="24">
        <f t="shared" si="9"/>
        <v>0</v>
      </c>
      <c r="Q30" s="24">
        <f t="shared" si="10"/>
        <v>0</v>
      </c>
      <c r="R30" s="24">
        <f t="shared" si="11"/>
        <v>0</v>
      </c>
      <c r="S30" s="24">
        <f t="shared" si="12"/>
        <v>0</v>
      </c>
      <c r="W30" s="22"/>
    </row>
    <row r="31" spans="1:25" x14ac:dyDescent="0.35">
      <c r="A31" s="15">
        <v>29</v>
      </c>
      <c r="B31" s="15">
        <f t="shared" si="4"/>
        <v>29</v>
      </c>
      <c r="C31" s="16">
        <f t="shared" si="0"/>
        <v>25.786799999999996</v>
      </c>
      <c r="D31" s="16">
        <f t="shared" si="5"/>
        <v>8.1407206738151334</v>
      </c>
      <c r="E31" s="16">
        <f t="shared" si="6"/>
        <v>59.090431840228007</v>
      </c>
      <c r="F31" s="17">
        <f t="shared" si="14"/>
        <v>28</v>
      </c>
      <c r="G31" s="19">
        <f t="shared" si="16"/>
        <v>83</v>
      </c>
      <c r="H31" s="19">
        <f t="shared" si="1"/>
        <v>75.098400000000012</v>
      </c>
      <c r="I31" s="19">
        <f t="shared" si="2"/>
        <v>20.934343091450742</v>
      </c>
      <c r="J31" s="19">
        <f t="shared" si="3"/>
        <v>167.25702755094338</v>
      </c>
      <c r="K31" s="20">
        <f t="shared" si="8"/>
        <v>29</v>
      </c>
      <c r="L31" s="39"/>
      <c r="M31" s="40"/>
      <c r="N31" s="31"/>
      <c r="O31" s="31"/>
      <c r="P31" s="24">
        <f t="shared" si="9"/>
        <v>0</v>
      </c>
      <c r="Q31" s="24">
        <f t="shared" si="10"/>
        <v>0</v>
      </c>
      <c r="R31" s="24">
        <f t="shared" si="11"/>
        <v>0</v>
      </c>
      <c r="S31" s="24">
        <f t="shared" si="12"/>
        <v>0</v>
      </c>
      <c r="W31" s="22"/>
    </row>
    <row r="32" spans="1:25" x14ac:dyDescent="0.35">
      <c r="A32" s="15">
        <v>30</v>
      </c>
      <c r="B32" s="15">
        <f t="shared" si="4"/>
        <v>30</v>
      </c>
      <c r="C32" s="16">
        <f t="shared" si="0"/>
        <v>26.675999999999998</v>
      </c>
      <c r="D32" s="16">
        <f t="shared" si="5"/>
        <v>8.388268495647786</v>
      </c>
      <c r="E32" s="16">
        <f t="shared" si="6"/>
        <v>61.07026762991989</v>
      </c>
      <c r="F32" s="17">
        <f t="shared" si="14"/>
        <v>29</v>
      </c>
      <c r="G32" s="19">
        <f t="shared" si="16"/>
        <v>90</v>
      </c>
      <c r="H32" s="19">
        <f t="shared" si="1"/>
        <v>81.432000000000002</v>
      </c>
      <c r="I32" s="19">
        <f t="shared" si="2"/>
        <v>22.486953220240881</v>
      </c>
      <c r="J32" s="19">
        <f t="shared" si="3"/>
        <v>180.99217685858619</v>
      </c>
      <c r="K32" s="20">
        <f t="shared" si="8"/>
        <v>30</v>
      </c>
      <c r="L32" s="39"/>
      <c r="M32" s="40"/>
      <c r="N32" s="31"/>
      <c r="O32" s="31"/>
      <c r="P32" s="24">
        <f t="shared" si="9"/>
        <v>0</v>
      </c>
      <c r="Q32" s="24">
        <f t="shared" si="10"/>
        <v>0</v>
      </c>
      <c r="R32" s="24">
        <f t="shared" si="11"/>
        <v>0</v>
      </c>
      <c r="S32" s="24">
        <f t="shared" si="12"/>
        <v>0</v>
      </c>
      <c r="W32" s="22"/>
    </row>
    <row r="33" spans="1:25" x14ac:dyDescent="0.35">
      <c r="A33" s="15">
        <v>31</v>
      </c>
      <c r="B33" s="15">
        <f t="shared" si="4"/>
        <v>31</v>
      </c>
      <c r="C33" s="16">
        <f t="shared" si="0"/>
        <v>27.565199999999997</v>
      </c>
      <c r="D33" s="16">
        <f t="shared" si="5"/>
        <v>8.6348575052881742</v>
      </c>
      <c r="E33" s="16">
        <f t="shared" si="6"/>
        <v>63.048433488376901</v>
      </c>
      <c r="F33" s="17">
        <f t="shared" si="14"/>
        <v>30</v>
      </c>
      <c r="G33" s="19">
        <f>76+21</f>
        <v>97</v>
      </c>
      <c r="H33" s="19">
        <f t="shared" si="1"/>
        <v>87.765599999999992</v>
      </c>
      <c r="I33" s="19">
        <f t="shared" si="2"/>
        <v>24.025555589247954</v>
      </c>
      <c r="J33" s="19">
        <f t="shared" si="3"/>
        <v>194.70292931794017</v>
      </c>
      <c r="K33" s="20">
        <f t="shared" si="8"/>
        <v>31</v>
      </c>
      <c r="L33" s="39"/>
      <c r="M33" s="40"/>
      <c r="N33" s="31"/>
      <c r="O33" s="31"/>
      <c r="P33" s="24">
        <f t="shared" si="9"/>
        <v>0</v>
      </c>
      <c r="Q33" s="24">
        <f t="shared" si="10"/>
        <v>0</v>
      </c>
      <c r="R33" s="24">
        <f t="shared" si="11"/>
        <v>0</v>
      </c>
      <c r="S33" s="24">
        <f t="shared" si="12"/>
        <v>0</v>
      </c>
      <c r="W33" s="22"/>
    </row>
    <row r="34" spans="1:25" x14ac:dyDescent="0.35">
      <c r="A34" s="15">
        <v>32</v>
      </c>
      <c r="B34" s="15">
        <f t="shared" si="4"/>
        <v>32</v>
      </c>
      <c r="C34" s="16">
        <f t="shared" si="0"/>
        <v>28.4544</v>
      </c>
      <c r="D34" s="16">
        <f t="shared" si="5"/>
        <v>8.8805221797401614</v>
      </c>
      <c r="E34" s="16">
        <f t="shared" si="6"/>
        <v>65.024989463047447</v>
      </c>
      <c r="F34" s="17">
        <f t="shared" si="14"/>
        <v>31</v>
      </c>
      <c r="G34" s="19">
        <f>$G$33+(F34-$F$33)*($G$38-$G$33)/($F$38-$F$33)</f>
        <v>105</v>
      </c>
      <c r="H34" s="19">
        <f t="shared" si="1"/>
        <v>95.004000000000005</v>
      </c>
      <c r="I34" s="19">
        <f t="shared" si="2"/>
        <v>25.768242550600785</v>
      </c>
      <c r="J34" s="19">
        <f t="shared" si="3"/>
        <v>210.34498910896306</v>
      </c>
      <c r="K34" s="20">
        <f t="shared" si="8"/>
        <v>32</v>
      </c>
      <c r="L34" s="36"/>
      <c r="M34" s="42"/>
      <c r="N34" s="42"/>
      <c r="O34" s="42"/>
      <c r="P34" s="24">
        <f t="shared" si="9"/>
        <v>0</v>
      </c>
      <c r="Q34" s="24">
        <f t="shared" si="10"/>
        <v>0</v>
      </c>
      <c r="R34" s="24">
        <f t="shared" si="11"/>
        <v>0</v>
      </c>
      <c r="S34" s="24">
        <f t="shared" si="12"/>
        <v>0</v>
      </c>
      <c r="W34" s="22"/>
    </row>
    <row r="35" spans="1:25" x14ac:dyDescent="0.35">
      <c r="A35" s="15">
        <v>33</v>
      </c>
      <c r="B35" s="15">
        <f t="shared" si="4"/>
        <v>33</v>
      </c>
      <c r="C35" s="16">
        <f t="shared" si="0"/>
        <v>29.343599999999999</v>
      </c>
      <c r="D35" s="16">
        <f t="shared" si="5"/>
        <v>9.1252947188023139</v>
      </c>
      <c r="E35" s="16">
        <f t="shared" si="6"/>
        <v>66.999991635247355</v>
      </c>
      <c r="F35" s="17">
        <f t="shared" si="14"/>
        <v>32</v>
      </c>
      <c r="G35" s="19">
        <f t="shared" ref="G35:G37" si="17">$G$33+(F35-$F$33)*($G$38-$G$33)/($F$38-$F$33)</f>
        <v>113</v>
      </c>
      <c r="H35" s="19">
        <f t="shared" si="1"/>
        <v>102.24239999999999</v>
      </c>
      <c r="I35" s="19">
        <f t="shared" si="2"/>
        <v>27.495526976991481</v>
      </c>
      <c r="J35" s="19">
        <f t="shared" si="3"/>
        <v>225.96022281826015</v>
      </c>
      <c r="K35" s="20">
        <f t="shared" si="8"/>
        <v>33</v>
      </c>
      <c r="L35" s="39"/>
      <c r="M35" s="40"/>
      <c r="N35" s="31"/>
      <c r="O35" s="31"/>
      <c r="P35" s="24">
        <f t="shared" si="9"/>
        <v>0</v>
      </c>
      <c r="Q35" s="24">
        <f t="shared" si="10"/>
        <v>0</v>
      </c>
      <c r="R35" s="24">
        <f t="shared" si="11"/>
        <v>0</v>
      </c>
      <c r="S35" s="24">
        <f t="shared" si="12"/>
        <v>0</v>
      </c>
      <c r="W35" s="22"/>
      <c r="X35" s="22"/>
      <c r="Y35" s="22"/>
    </row>
    <row r="36" spans="1:25" x14ac:dyDescent="0.35">
      <c r="A36" s="15">
        <v>34</v>
      </c>
      <c r="B36" s="15">
        <f t="shared" si="4"/>
        <v>34</v>
      </c>
      <c r="C36" s="16">
        <f t="shared" si="0"/>
        <v>30.232800000000001</v>
      </c>
      <c r="D36" s="16">
        <f t="shared" si="5"/>
        <v>9.3692052598737945</v>
      </c>
      <c r="E36" s="16">
        <f t="shared" si="6"/>
        <v>68.97349249428018</v>
      </c>
      <c r="F36" s="17">
        <f t="shared" ref="F36:F99" si="18">F35+1</f>
        <v>33</v>
      </c>
      <c r="G36" s="19">
        <f t="shared" si="17"/>
        <v>121</v>
      </c>
      <c r="H36" s="19">
        <f t="shared" si="1"/>
        <v>109.4808</v>
      </c>
      <c r="I36" s="19">
        <f t="shared" si="2"/>
        <v>29.208623339903898</v>
      </c>
      <c r="J36" s="19">
        <f t="shared" si="3"/>
        <v>241.5507456503326</v>
      </c>
      <c r="K36" s="20">
        <f t="shared" si="8"/>
        <v>34</v>
      </c>
      <c r="L36" s="39"/>
      <c r="M36" s="39"/>
      <c r="N36" s="21"/>
      <c r="O36" s="21"/>
      <c r="P36" s="24">
        <f t="shared" si="9"/>
        <v>0</v>
      </c>
      <c r="Q36" s="24">
        <f t="shared" si="10"/>
        <v>0</v>
      </c>
      <c r="R36" s="24">
        <f t="shared" si="11"/>
        <v>0</v>
      </c>
      <c r="S36" s="24">
        <f t="shared" si="12"/>
        <v>0</v>
      </c>
      <c r="W36" s="22"/>
      <c r="X36" s="22"/>
      <c r="Y36" s="22"/>
    </row>
    <row r="37" spans="1:25" x14ac:dyDescent="0.35">
      <c r="A37" s="15">
        <v>35</v>
      </c>
      <c r="B37" s="15">
        <f t="shared" si="4"/>
        <v>35</v>
      </c>
      <c r="C37" s="16">
        <f t="shared" si="0"/>
        <v>31.122</v>
      </c>
      <c r="D37" s="16">
        <f t="shared" si="5"/>
        <v>9.6122820667788016</v>
      </c>
      <c r="E37" s="16">
        <f t="shared" si="6"/>
        <v>70.945541266306407</v>
      </c>
      <c r="F37" s="17">
        <f t="shared" si="18"/>
        <v>34</v>
      </c>
      <c r="G37" s="19">
        <f t="shared" si="17"/>
        <v>129</v>
      </c>
      <c r="H37" s="19">
        <f t="shared" si="1"/>
        <v>116.7192</v>
      </c>
      <c r="I37" s="19">
        <f t="shared" si="2"/>
        <v>30.908576435525887</v>
      </c>
      <c r="J37" s="19">
        <f t="shared" si="3"/>
        <v>257.11837729187425</v>
      </c>
      <c r="K37" s="20">
        <f t="shared" si="8"/>
        <v>35</v>
      </c>
      <c r="L37" s="43"/>
      <c r="M37" s="39"/>
      <c r="N37" s="21"/>
      <c r="O37" s="21"/>
      <c r="P37" s="24">
        <f t="shared" si="9"/>
        <v>0</v>
      </c>
      <c r="Q37" s="24">
        <f t="shared" si="10"/>
        <v>0</v>
      </c>
      <c r="R37" s="24">
        <f t="shared" si="11"/>
        <v>0</v>
      </c>
      <c r="S37" s="24">
        <f t="shared" si="12"/>
        <v>0</v>
      </c>
      <c r="W37" s="22"/>
      <c r="X37" s="22"/>
      <c r="Y37" s="22"/>
    </row>
    <row r="38" spans="1:25" x14ac:dyDescent="0.35">
      <c r="A38" s="15">
        <v>36</v>
      </c>
      <c r="B38" s="15">
        <f t="shared" si="4"/>
        <v>36</v>
      </c>
      <c r="C38" s="16">
        <f t="shared" si="0"/>
        <v>32.011200000000002</v>
      </c>
      <c r="D38" s="16">
        <f t="shared" si="5"/>
        <v>9.8545516964045792</v>
      </c>
      <c r="E38" s="16">
        <f t="shared" si="6"/>
        <v>72.916184204571309</v>
      </c>
      <c r="F38" s="17">
        <f t="shared" si="18"/>
        <v>35</v>
      </c>
      <c r="G38" s="19">
        <f>95+21+21</f>
        <v>137</v>
      </c>
      <c r="H38" s="19">
        <f t="shared" si="1"/>
        <v>123.95759999999999</v>
      </c>
      <c r="I38" s="19">
        <f t="shared" si="2"/>
        <v>32.59629414926458</v>
      </c>
      <c r="J38" s="19">
        <f t="shared" si="3"/>
        <v>272.6646989766358</v>
      </c>
      <c r="K38" s="20">
        <f t="shared" si="8"/>
        <v>36</v>
      </c>
      <c r="L38" s="39"/>
      <c r="M38" s="40"/>
      <c r="N38" s="31"/>
      <c r="O38" s="31"/>
      <c r="P38" s="24">
        <f t="shared" si="9"/>
        <v>0</v>
      </c>
      <c r="Q38" s="24">
        <f t="shared" si="10"/>
        <v>0</v>
      </c>
      <c r="R38" s="24">
        <f t="shared" si="11"/>
        <v>0</v>
      </c>
      <c r="S38" s="24">
        <f t="shared" si="12"/>
        <v>0</v>
      </c>
      <c r="W38" s="22"/>
      <c r="X38" s="22"/>
      <c r="Y38" s="22"/>
    </row>
    <row r="39" spans="1:25" x14ac:dyDescent="0.35">
      <c r="A39" s="15">
        <v>37</v>
      </c>
      <c r="B39" s="15">
        <f t="shared" si="4"/>
        <v>37</v>
      </c>
      <c r="C39" s="16">
        <f t="shared" si="0"/>
        <v>32.900399999999998</v>
      </c>
      <c r="D39" s="16">
        <f t="shared" si="5"/>
        <v>10.096039146303504</v>
      </c>
      <c r="E39" s="16">
        <f t="shared" si="6"/>
        <v>74.885464846478598</v>
      </c>
      <c r="F39" s="17">
        <v>35</v>
      </c>
      <c r="G39" s="19">
        <v>95</v>
      </c>
      <c r="H39" s="19">
        <f t="shared" si="1"/>
        <v>85.956000000000003</v>
      </c>
      <c r="I39" s="19">
        <f t="shared" si="2"/>
        <v>23.587315314606048</v>
      </c>
      <c r="J39" s="19">
        <f t="shared" si="3"/>
        <v>190.78794083960554</v>
      </c>
      <c r="K39" s="20">
        <f t="shared" si="8"/>
        <v>37</v>
      </c>
      <c r="L39" s="39"/>
      <c r="M39" s="39"/>
      <c r="N39" s="21"/>
      <c r="O39" s="21"/>
      <c r="P39" s="24">
        <f t="shared" si="9"/>
        <v>0</v>
      </c>
      <c r="Q39" s="24">
        <f t="shared" si="10"/>
        <v>0</v>
      </c>
      <c r="R39" s="24">
        <f t="shared" si="11"/>
        <v>0</v>
      </c>
      <c r="S39" s="24">
        <f t="shared" si="12"/>
        <v>0</v>
      </c>
      <c r="W39" s="22"/>
      <c r="X39" s="22"/>
      <c r="Y39" s="22"/>
    </row>
    <row r="40" spans="1:25" x14ac:dyDescent="0.35">
      <c r="A40" s="15">
        <v>38</v>
      </c>
      <c r="B40" s="15">
        <f t="shared" si="4"/>
        <v>38</v>
      </c>
      <c r="C40" s="16">
        <f t="shared" si="0"/>
        <v>33.789599999999993</v>
      </c>
      <c r="D40" s="16">
        <f t="shared" si="5"/>
        <v>10.336767985889495</v>
      </c>
      <c r="E40" s="16">
        <f t="shared" si="6"/>
        <v>76.853424242090853</v>
      </c>
      <c r="F40" s="17">
        <f t="shared" si="18"/>
        <v>36</v>
      </c>
      <c r="G40" s="19">
        <f>$G$39+(F40-$F$39)*($G$44-$G$39)/($F$44-$F$39)</f>
        <v>103.4</v>
      </c>
      <c r="H40" s="19">
        <f t="shared" si="1"/>
        <v>93.556319999999999</v>
      </c>
      <c r="I40" s="19">
        <f t="shared" si="2"/>
        <v>25.420979659258073</v>
      </c>
      <c r="J40" s="19">
        <f t="shared" si="3"/>
        <v>207.21879690654114</v>
      </c>
      <c r="K40" s="20">
        <f t="shared" si="8"/>
        <v>38</v>
      </c>
      <c r="L40" s="39"/>
      <c r="M40" s="39"/>
      <c r="N40" s="21"/>
      <c r="O40" s="21"/>
      <c r="P40" s="24">
        <f t="shared" si="9"/>
        <v>0</v>
      </c>
      <c r="Q40" s="24">
        <f t="shared" si="10"/>
        <v>0</v>
      </c>
      <c r="R40" s="24">
        <f t="shared" si="11"/>
        <v>0</v>
      </c>
      <c r="S40" s="24">
        <f t="shared" si="12"/>
        <v>0</v>
      </c>
      <c r="W40" s="22"/>
      <c r="X40" s="22"/>
      <c r="Y40" s="22"/>
    </row>
    <row r="41" spans="1:25" x14ac:dyDescent="0.35">
      <c r="A41" s="15">
        <v>39</v>
      </c>
      <c r="B41" s="15">
        <f t="shared" si="4"/>
        <v>39</v>
      </c>
      <c r="C41" s="16">
        <f t="shared" si="0"/>
        <v>34.678799999999995</v>
      </c>
      <c r="D41" s="16">
        <f t="shared" si="5"/>
        <v>10.576760473435781</v>
      </c>
      <c r="E41" s="16">
        <f t="shared" si="6"/>
        <v>78.820101157900638</v>
      </c>
      <c r="F41" s="17">
        <f t="shared" si="18"/>
        <v>37</v>
      </c>
      <c r="G41" s="19">
        <f t="shared" ref="G41:G43" si="19">$G$39+(F41-$F$39)*($G$44-$G$39)/($F$44-$F$39)</f>
        <v>111.8</v>
      </c>
      <c r="H41" s="19">
        <f t="shared" si="1"/>
        <v>101.15664</v>
      </c>
      <c r="I41" s="19">
        <f t="shared" si="2"/>
        <v>27.237366379381644</v>
      </c>
      <c r="J41" s="19">
        <f t="shared" si="3"/>
        <v>223.61956111075634</v>
      </c>
      <c r="K41" s="20">
        <f t="shared" si="8"/>
        <v>39</v>
      </c>
      <c r="L41" s="36"/>
      <c r="M41" s="42"/>
      <c r="N41" s="42"/>
      <c r="O41" s="42"/>
      <c r="P41" s="24">
        <f t="shared" si="9"/>
        <v>0</v>
      </c>
      <c r="Q41" s="24">
        <f t="shared" si="10"/>
        <v>0</v>
      </c>
      <c r="R41" s="24">
        <f t="shared" si="11"/>
        <v>0</v>
      </c>
      <c r="S41" s="24">
        <f t="shared" si="12"/>
        <v>0</v>
      </c>
      <c r="W41" s="22"/>
      <c r="X41" s="22"/>
      <c r="Y41" s="22"/>
    </row>
    <row r="42" spans="1:25" x14ac:dyDescent="0.35">
      <c r="A42" s="15">
        <v>40</v>
      </c>
      <c r="B42" s="15">
        <f t="shared" si="4"/>
        <v>40</v>
      </c>
      <c r="C42" s="16">
        <f t="shared" si="0"/>
        <v>35.567999999999998</v>
      </c>
      <c r="D42" s="16">
        <f t="shared" si="5"/>
        <v>10.816037660735208</v>
      </c>
      <c r="E42" s="16">
        <f t="shared" si="6"/>
        <v>80.785532259113808</v>
      </c>
      <c r="F42" s="17">
        <f t="shared" si="18"/>
        <v>38</v>
      </c>
      <c r="G42" s="19">
        <f t="shared" si="19"/>
        <v>120.2</v>
      </c>
      <c r="H42" s="19">
        <f t="shared" si="1"/>
        <v>108.75695999999999</v>
      </c>
      <c r="I42" s="19">
        <f t="shared" si="2"/>
        <v>29.037921223305585</v>
      </c>
      <c r="J42" s="19">
        <f t="shared" si="3"/>
        <v>239.99275146392384</v>
      </c>
      <c r="K42" s="20">
        <f t="shared" si="8"/>
        <v>40</v>
      </c>
      <c r="L42" s="39"/>
      <c r="M42" s="39"/>
      <c r="N42" s="21"/>
      <c r="O42" s="21"/>
      <c r="P42" s="24">
        <f t="shared" si="9"/>
        <v>0</v>
      </c>
      <c r="Q42" s="24">
        <f t="shared" si="10"/>
        <v>0</v>
      </c>
      <c r="R42" s="24">
        <f t="shared" si="11"/>
        <v>0</v>
      </c>
      <c r="S42" s="24">
        <f t="shared" si="12"/>
        <v>0</v>
      </c>
      <c r="W42" s="22"/>
      <c r="X42" s="22"/>
      <c r="Y42" s="22"/>
    </row>
    <row r="43" spans="1:25" x14ac:dyDescent="0.35">
      <c r="A43" s="15">
        <v>41</v>
      </c>
      <c r="B43" s="15">
        <f t="shared" si="4"/>
        <v>41</v>
      </c>
      <c r="C43" s="16">
        <f t="shared" si="0"/>
        <v>36.4572</v>
      </c>
      <c r="D43" s="16">
        <f t="shared" si="5"/>
        <v>11.054619486999963</v>
      </c>
      <c r="E43" s="16">
        <f t="shared" si="6"/>
        <v>82.749752273191604</v>
      </c>
      <c r="F43" s="17">
        <f t="shared" si="18"/>
        <v>39</v>
      </c>
      <c r="G43" s="19">
        <f t="shared" si="19"/>
        <v>128.6</v>
      </c>
      <c r="H43" s="19">
        <f t="shared" si="1"/>
        <v>116.35727999999999</v>
      </c>
      <c r="I43" s="19">
        <f t="shared" si="2"/>
        <v>30.823876427820704</v>
      </c>
      <c r="J43" s="19">
        <f t="shared" si="3"/>
        <v>256.34051411178768</v>
      </c>
      <c r="K43" s="20">
        <f t="shared" si="8"/>
        <v>41</v>
      </c>
      <c r="L43" s="39"/>
      <c r="M43" s="39"/>
      <c r="N43" s="21"/>
      <c r="O43" s="21"/>
      <c r="P43" s="24">
        <f t="shared" si="9"/>
        <v>0</v>
      </c>
      <c r="Q43" s="24">
        <f t="shared" si="10"/>
        <v>0</v>
      </c>
      <c r="R43" s="24">
        <f t="shared" si="11"/>
        <v>0</v>
      </c>
      <c r="S43" s="24">
        <f t="shared" si="12"/>
        <v>0</v>
      </c>
      <c r="W43" s="22"/>
      <c r="X43" s="22"/>
      <c r="Y43" s="22"/>
    </row>
    <row r="44" spans="1:25" x14ac:dyDescent="0.35">
      <c r="A44" s="15">
        <v>42</v>
      </c>
      <c r="B44" s="15">
        <f t="shared" si="4"/>
        <v>42</v>
      </c>
      <c r="C44" s="16">
        <f t="shared" si="0"/>
        <v>37.346399999999996</v>
      </c>
      <c r="D44" s="16">
        <f t="shared" si="5"/>
        <v>11.292524863342392</v>
      </c>
      <c r="E44" s="16">
        <f t="shared" si="6"/>
        <v>84.712794136987995</v>
      </c>
      <c r="F44" s="17">
        <f t="shared" si="18"/>
        <v>40</v>
      </c>
      <c r="G44" s="44">
        <f>116+21</f>
        <v>137</v>
      </c>
      <c r="H44" s="19">
        <f t="shared" si="1"/>
        <v>123.95759999999999</v>
      </c>
      <c r="I44" s="19">
        <f t="shared" si="2"/>
        <v>32.59629414926458</v>
      </c>
      <c r="J44" s="19">
        <f t="shared" si="3"/>
        <v>272.6646989766358</v>
      </c>
      <c r="K44" s="20">
        <f t="shared" si="8"/>
        <v>42</v>
      </c>
      <c r="L44" s="43"/>
      <c r="M44" s="40"/>
      <c r="N44" s="31"/>
      <c r="O44" s="31"/>
      <c r="P44" s="24">
        <f t="shared" si="9"/>
        <v>0</v>
      </c>
      <c r="Q44" s="24">
        <f t="shared" si="10"/>
        <v>0</v>
      </c>
      <c r="R44" s="24">
        <f t="shared" si="11"/>
        <v>0</v>
      </c>
      <c r="S44" s="24">
        <f t="shared" si="12"/>
        <v>0</v>
      </c>
      <c r="W44" s="22"/>
      <c r="X44" s="22"/>
      <c r="Y44" s="22"/>
    </row>
    <row r="45" spans="1:25" x14ac:dyDescent="0.35">
      <c r="A45" s="15">
        <v>43</v>
      </c>
      <c r="B45" s="15">
        <f t="shared" si="4"/>
        <v>43</v>
      </c>
      <c r="C45" s="16">
        <f t="shared" si="0"/>
        <v>38.235599999999998</v>
      </c>
      <c r="D45" s="16">
        <f t="shared" si="5"/>
        <v>11.529771748983352</v>
      </c>
      <c r="E45" s="16">
        <f t="shared" si="6"/>
        <v>86.674689129479319</v>
      </c>
      <c r="F45" s="17">
        <f t="shared" si="18"/>
        <v>41</v>
      </c>
      <c r="G45" s="44">
        <f>$G$44+(F45-$F$44)*($G$49-$G$44)/($F$49-$F$44)</f>
        <v>145.4</v>
      </c>
      <c r="H45" s="19">
        <f t="shared" si="1"/>
        <v>131.55792</v>
      </c>
      <c r="I45" s="19">
        <f t="shared" si="2"/>
        <v>34.3560989338864</v>
      </c>
      <c r="J45" s="19">
        <f t="shared" si="3"/>
        <v>288.96691630985214</v>
      </c>
      <c r="K45" s="20">
        <f t="shared" si="8"/>
        <v>43</v>
      </c>
      <c r="L45" s="39"/>
      <c r="M45" s="39"/>
      <c r="N45" s="21"/>
      <c r="O45" s="21"/>
      <c r="P45" s="24">
        <f t="shared" si="9"/>
        <v>0</v>
      </c>
      <c r="Q45" s="24">
        <f t="shared" si="10"/>
        <v>0</v>
      </c>
      <c r="R45" s="24">
        <f t="shared" si="11"/>
        <v>0</v>
      </c>
      <c r="S45" s="24">
        <f t="shared" si="12"/>
        <v>0</v>
      </c>
      <c r="W45" s="22"/>
      <c r="X45" s="22"/>
      <c r="Y45" s="22"/>
    </row>
    <row r="46" spans="1:25" x14ac:dyDescent="0.35">
      <c r="A46" s="15">
        <v>44</v>
      </c>
      <c r="B46" s="15">
        <f t="shared" si="4"/>
        <v>44</v>
      </c>
      <c r="C46" s="16">
        <f t="shared" si="0"/>
        <v>39.1248</v>
      </c>
      <c r="D46" s="16">
        <f t="shared" si="5"/>
        <v>11.766377220171686</v>
      </c>
      <c r="E46" s="16">
        <f t="shared" si="6"/>
        <v>88.635466991799021</v>
      </c>
      <c r="F46" s="17">
        <f t="shared" si="18"/>
        <v>42</v>
      </c>
      <c r="G46" s="44">
        <f t="shared" ref="G46:G48" si="20">$G$44+(F46-$F$44)*($G$49-$G$44)/($F$49-$F$44)</f>
        <v>153.80000000000001</v>
      </c>
      <c r="H46" s="19">
        <f t="shared" si="1"/>
        <v>139.15824000000001</v>
      </c>
      <c r="I46" s="19">
        <f t="shared" si="2"/>
        <v>36.104102468715482</v>
      </c>
      <c r="J46" s="19">
        <f t="shared" si="3"/>
        <v>305.24857979967942</v>
      </c>
      <c r="K46" s="20">
        <f t="shared" si="8"/>
        <v>44</v>
      </c>
      <c r="L46" s="39"/>
      <c r="M46" s="39"/>
      <c r="N46" s="21"/>
      <c r="O46" s="21"/>
      <c r="P46" s="24">
        <f t="shared" si="9"/>
        <v>0</v>
      </c>
      <c r="Q46" s="24">
        <f t="shared" si="10"/>
        <v>0</v>
      </c>
      <c r="R46" s="24">
        <f t="shared" si="11"/>
        <v>0</v>
      </c>
      <c r="S46" s="24">
        <f t="shared" si="12"/>
        <v>0</v>
      </c>
      <c r="W46" s="22"/>
      <c r="X46" s="22"/>
      <c r="Y46" s="22"/>
    </row>
    <row r="47" spans="1:25" x14ac:dyDescent="0.35">
      <c r="A47" s="15">
        <v>45</v>
      </c>
      <c r="B47" s="15">
        <f t="shared" si="4"/>
        <v>45</v>
      </c>
      <c r="C47" s="16">
        <f t="shared" si="0"/>
        <v>40.013999999999996</v>
      </c>
      <c r="D47" s="16">
        <f t="shared" si="5"/>
        <v>12.002357532661732</v>
      </c>
      <c r="E47" s="16">
        <f t="shared" si="6"/>
        <v>90.595156036052515</v>
      </c>
      <c r="F47" s="17">
        <f t="shared" si="18"/>
        <v>43</v>
      </c>
      <c r="G47" s="44">
        <f t="shared" si="20"/>
        <v>162.19999999999999</v>
      </c>
      <c r="H47" s="19">
        <f t="shared" si="1"/>
        <v>146.75855999999999</v>
      </c>
      <c r="I47" s="19">
        <f t="shared" si="2"/>
        <v>37.841022770456242</v>
      </c>
      <c r="J47" s="19">
        <f t="shared" si="3"/>
        <v>321.51093999187793</v>
      </c>
      <c r="K47" s="20">
        <f t="shared" si="8"/>
        <v>45</v>
      </c>
      <c r="L47" s="36"/>
      <c r="M47" s="36"/>
      <c r="N47" s="36"/>
      <c r="O47" s="36"/>
      <c r="P47" s="24">
        <f t="shared" si="9"/>
        <v>0</v>
      </c>
      <c r="Q47" s="24">
        <f t="shared" si="10"/>
        <v>0</v>
      </c>
      <c r="R47" s="24">
        <f t="shared" si="11"/>
        <v>0</v>
      </c>
      <c r="S47" s="24">
        <f t="shared" si="12"/>
        <v>0</v>
      </c>
      <c r="W47" s="22"/>
      <c r="X47" s="22"/>
      <c r="Y47" s="22"/>
    </row>
    <row r="48" spans="1:25" x14ac:dyDescent="0.35">
      <c r="A48" s="15">
        <v>46</v>
      </c>
      <c r="B48" s="15">
        <f t="shared" si="4"/>
        <v>46</v>
      </c>
      <c r="C48" s="16">
        <f t="shared" si="0"/>
        <v>40.903199999999998</v>
      </c>
      <c r="D48" s="16">
        <f t="shared" si="5"/>
        <v>12.2377281784806</v>
      </c>
      <c r="E48" s="16">
        <f t="shared" si="6"/>
        <v>92.553783244187045</v>
      </c>
      <c r="F48" s="17">
        <f t="shared" si="18"/>
        <v>44</v>
      </c>
      <c r="G48" s="44">
        <f t="shared" si="20"/>
        <v>170.6</v>
      </c>
      <c r="H48" s="19">
        <f t="shared" si="1"/>
        <v>154.35888</v>
      </c>
      <c r="I48" s="19">
        <f t="shared" si="2"/>
        <v>39.567499286120309</v>
      </c>
      <c r="J48" s="19">
        <f t="shared" si="3"/>
        <v>337.75511058999291</v>
      </c>
      <c r="K48" s="20">
        <f t="shared" si="8"/>
        <v>46</v>
      </c>
      <c r="L48" s="39"/>
      <c r="M48" s="40"/>
      <c r="N48" s="31"/>
      <c r="O48" s="31"/>
      <c r="P48" s="24">
        <f t="shared" si="9"/>
        <v>0</v>
      </c>
      <c r="Q48" s="24">
        <f t="shared" si="10"/>
        <v>0</v>
      </c>
      <c r="R48" s="24">
        <f t="shared" si="11"/>
        <v>0</v>
      </c>
      <c r="S48" s="24">
        <f t="shared" si="12"/>
        <v>0</v>
      </c>
      <c r="W48" s="22"/>
      <c r="X48" s="22"/>
      <c r="Y48" s="22"/>
    </row>
    <row r="49" spans="1:25" x14ac:dyDescent="0.35">
      <c r="A49" s="15">
        <v>47</v>
      </c>
      <c r="B49" s="15">
        <f t="shared" si="4"/>
        <v>47</v>
      </c>
      <c r="C49" s="16">
        <f t="shared" si="0"/>
        <v>41.792400000000001</v>
      </c>
      <c r="D49" s="16">
        <f t="shared" si="5"/>
        <v>12.472503937619972</v>
      </c>
      <c r="E49" s="16">
        <f t="shared" si="6"/>
        <v>94.511374358021442</v>
      </c>
      <c r="F49" s="17">
        <f t="shared" si="18"/>
        <v>45</v>
      </c>
      <c r="G49" s="44">
        <f>137+21+21</f>
        <v>179</v>
      </c>
      <c r="H49" s="19">
        <f t="shared" si="1"/>
        <v>161.95919999999998</v>
      </c>
      <c r="I49" s="19">
        <f t="shared" si="2"/>
        <v>41.284104935125683</v>
      </c>
      <c r="J49" s="19">
        <f t="shared" si="3"/>
        <v>353.98208942867717</v>
      </c>
      <c r="K49" s="20">
        <f t="shared" si="8"/>
        <v>47</v>
      </c>
      <c r="L49" s="39"/>
      <c r="M49" s="39"/>
      <c r="N49" s="21"/>
      <c r="O49" s="21"/>
      <c r="P49" s="24">
        <f t="shared" si="9"/>
        <v>0</v>
      </c>
      <c r="Q49" s="24">
        <f t="shared" si="10"/>
        <v>0</v>
      </c>
      <c r="R49" s="24">
        <f t="shared" si="11"/>
        <v>0</v>
      </c>
      <c r="S49" s="24">
        <f t="shared" si="12"/>
        <v>0</v>
      </c>
      <c r="W49" s="22"/>
      <c r="X49" s="22"/>
      <c r="Y49" s="22"/>
    </row>
    <row r="50" spans="1:25" x14ac:dyDescent="0.35">
      <c r="A50" s="15">
        <v>48</v>
      </c>
      <c r="B50" s="15">
        <f t="shared" si="4"/>
        <v>48</v>
      </c>
      <c r="C50" s="16">
        <f t="shared" si="0"/>
        <v>42.681600000000003</v>
      </c>
      <c r="D50" s="16">
        <f t="shared" si="5"/>
        <v>12.70669892520443</v>
      </c>
      <c r="E50" s="16">
        <f t="shared" si="6"/>
        <v>96.467953961397711</v>
      </c>
      <c r="F50" s="17">
        <v>45</v>
      </c>
      <c r="G50" s="44">
        <v>137</v>
      </c>
      <c r="H50" s="19">
        <f t="shared" si="1"/>
        <v>123.95759999999999</v>
      </c>
      <c r="I50" s="19">
        <f t="shared" si="2"/>
        <v>32.59629414926458</v>
      </c>
      <c r="J50" s="19">
        <f t="shared" si="3"/>
        <v>272.6646989766358</v>
      </c>
      <c r="K50" s="20">
        <f t="shared" si="8"/>
        <v>48</v>
      </c>
      <c r="L50" s="43"/>
      <c r="M50" s="40"/>
      <c r="N50" s="31"/>
      <c r="O50" s="31"/>
      <c r="P50" s="24"/>
      <c r="Q50" s="24"/>
      <c r="R50" s="24"/>
      <c r="S50" s="24"/>
      <c r="W50" s="22"/>
      <c r="X50" s="22"/>
      <c r="Y50" s="22"/>
    </row>
    <row r="51" spans="1:25" x14ac:dyDescent="0.35">
      <c r="A51" s="15">
        <v>49</v>
      </c>
      <c r="B51" s="15">
        <f t="shared" si="4"/>
        <v>49</v>
      </c>
      <c r="C51" s="16">
        <f t="shared" si="0"/>
        <v>43.570799999999998</v>
      </c>
      <c r="D51" s="16">
        <f t="shared" si="5"/>
        <v>12.940326634618202</v>
      </c>
      <c r="E51" s="16">
        <f t="shared" si="6"/>
        <v>98.423545555293359</v>
      </c>
      <c r="F51" s="17">
        <f t="shared" si="18"/>
        <v>46</v>
      </c>
      <c r="G51" s="45">
        <f>$G$50+(F51-$F$50)*($G$55-$G$50)/($F$55-$F$50)</f>
        <v>145.19999999999999</v>
      </c>
      <c r="H51" s="19">
        <f t="shared" si="1"/>
        <v>131.37696</v>
      </c>
      <c r="I51" s="19">
        <f t="shared" si="2"/>
        <v>34.314338988223334</v>
      </c>
      <c r="J51" s="19">
        <f t="shared" si="3"/>
        <v>288.57901240448899</v>
      </c>
      <c r="K51" s="20">
        <f t="shared" si="8"/>
        <v>49</v>
      </c>
      <c r="L51" s="43"/>
      <c r="M51" s="39"/>
      <c r="N51" s="21"/>
      <c r="O51" s="21"/>
      <c r="P51" s="24"/>
      <c r="Q51" s="24"/>
      <c r="R51" s="24"/>
      <c r="S51" s="24"/>
      <c r="W51" s="22"/>
      <c r="X51" s="22"/>
      <c r="Y51" s="22"/>
    </row>
    <row r="52" spans="1:25" x14ac:dyDescent="0.35">
      <c r="A52" s="15">
        <v>50</v>
      </c>
      <c r="B52" s="15">
        <f t="shared" si="4"/>
        <v>50</v>
      </c>
      <c r="C52" s="16">
        <f t="shared" si="0"/>
        <v>44.459999999999994</v>
      </c>
      <c r="D52" s="16">
        <f t="shared" si="5"/>
        <v>13.173399977011854</v>
      </c>
      <c r="E52" s="16">
        <f t="shared" si="6"/>
        <v>100.37817162662895</v>
      </c>
      <c r="F52" s="17">
        <f t="shared" si="18"/>
        <v>47</v>
      </c>
      <c r="G52" s="45">
        <f t="shared" ref="G52:G54" si="21">$G$50+(F52-$F$50)*($G$55-$G$50)/($F$55-$F$50)</f>
        <v>153.4</v>
      </c>
      <c r="H52" s="19">
        <f t="shared" si="1"/>
        <v>138.79632000000001</v>
      </c>
      <c r="I52" s="19">
        <f t="shared" si="2"/>
        <v>36.021120886354588</v>
      </c>
      <c r="J52" s="19">
        <f t="shared" si="3"/>
        <v>304.47370954373423</v>
      </c>
      <c r="K52" s="20">
        <f t="shared" si="8"/>
        <v>50</v>
      </c>
      <c r="L52" s="39"/>
      <c r="M52" s="39"/>
      <c r="N52" s="21"/>
      <c r="O52" s="21"/>
      <c r="P52" s="24"/>
      <c r="Q52" s="24"/>
      <c r="R52" s="24"/>
      <c r="S52" s="24"/>
      <c r="W52" s="22"/>
      <c r="X52" s="22"/>
      <c r="Y52" s="22"/>
    </row>
    <row r="53" spans="1:25" x14ac:dyDescent="0.35">
      <c r="A53" s="15">
        <v>51</v>
      </c>
      <c r="B53" s="15">
        <f t="shared" si="4"/>
        <v>51</v>
      </c>
      <c r="C53" s="16">
        <f t="shared" si="0"/>
        <v>45.349199999999996</v>
      </c>
      <c r="D53" s="16">
        <f t="shared" si="5"/>
        <v>13.405931317559235</v>
      </c>
      <c r="E53" s="16">
        <f t="shared" si="6"/>
        <v>102.33185371141566</v>
      </c>
      <c r="F53" s="17">
        <f t="shared" si="18"/>
        <v>48</v>
      </c>
      <c r="G53" s="45">
        <f t="shared" si="21"/>
        <v>161.6</v>
      </c>
      <c r="H53" s="19">
        <f t="shared" si="1"/>
        <v>146.21567999999999</v>
      </c>
      <c r="I53" s="19">
        <f t="shared" si="2"/>
        <v>37.717310552893402</v>
      </c>
      <c r="J53" s="19">
        <f t="shared" si="3"/>
        <v>320.34995854628932</v>
      </c>
      <c r="K53" s="20">
        <f t="shared" si="8"/>
        <v>51</v>
      </c>
      <c r="L53" s="39"/>
      <c r="M53" s="39"/>
      <c r="N53" s="21"/>
      <c r="O53" s="21"/>
      <c r="P53" s="24"/>
      <c r="Q53" s="24"/>
      <c r="R53" s="24"/>
      <c r="S53" s="24"/>
      <c r="W53" s="22"/>
      <c r="X53" s="22"/>
      <c r="Y53" s="22"/>
    </row>
    <row r="54" spans="1:25" x14ac:dyDescent="0.35">
      <c r="A54" s="15">
        <v>52</v>
      </c>
      <c r="B54" s="15">
        <f t="shared" si="4"/>
        <v>52</v>
      </c>
      <c r="C54" s="16">
        <f t="shared" si="0"/>
        <v>46.238399999999999</v>
      </c>
      <c r="D54" s="16">
        <f t="shared" si="5"/>
        <v>13.637932508790355</v>
      </c>
      <c r="E54" s="16">
        <f t="shared" si="6"/>
        <v>104.28461245280987</v>
      </c>
      <c r="F54" s="17">
        <f t="shared" si="18"/>
        <v>49</v>
      </c>
      <c r="G54" s="45">
        <f t="shared" si="21"/>
        <v>169.8</v>
      </c>
      <c r="H54" s="19">
        <f t="shared" si="1"/>
        <v>153.63504</v>
      </c>
      <c r="I54" s="19">
        <f t="shared" si="2"/>
        <v>39.403506785222667</v>
      </c>
      <c r="J54" s="19">
        <f t="shared" si="3"/>
        <v>336.20880231759617</v>
      </c>
      <c r="K54" s="20">
        <f t="shared" si="8"/>
        <v>52</v>
      </c>
      <c r="L54" s="36"/>
      <c r="M54" s="36"/>
      <c r="N54" s="36"/>
      <c r="O54" s="36"/>
      <c r="P54" s="24"/>
      <c r="Q54" s="24"/>
      <c r="R54" s="24"/>
      <c r="S54" s="24"/>
      <c r="W54" s="22"/>
      <c r="X54" s="22"/>
      <c r="Y54" s="22"/>
    </row>
    <row r="55" spans="1:25" x14ac:dyDescent="0.35">
      <c r="A55" s="15">
        <v>53</v>
      </c>
      <c r="B55" s="15">
        <f t="shared" si="4"/>
        <v>53</v>
      </c>
      <c r="C55" s="16">
        <f t="shared" si="0"/>
        <v>47.127599999999994</v>
      </c>
      <c r="D55" s="16">
        <f t="shared" si="5"/>
        <v>13.869414921287742</v>
      </c>
      <c r="E55" s="16">
        <f t="shared" si="6"/>
        <v>106.23646765457613</v>
      </c>
      <c r="F55" s="17">
        <f t="shared" si="18"/>
        <v>50</v>
      </c>
      <c r="G55" s="45">
        <f>157+21</f>
        <v>178</v>
      </c>
      <c r="H55" s="19">
        <f t="shared" si="1"/>
        <v>161.05439999999999</v>
      </c>
      <c r="I55" s="19">
        <f t="shared" si="2"/>
        <v>41.080247278685491</v>
      </c>
      <c r="J55" s="19">
        <f t="shared" si="3"/>
        <v>352.05117734371055</v>
      </c>
      <c r="K55" s="20">
        <f t="shared" si="8"/>
        <v>53</v>
      </c>
      <c r="L55" s="39"/>
      <c r="M55" s="40"/>
      <c r="N55" s="31"/>
      <c r="O55" s="31"/>
      <c r="P55" s="24"/>
      <c r="Q55" s="24"/>
      <c r="R55" s="24"/>
      <c r="S55" s="24"/>
      <c r="W55" s="22"/>
      <c r="X55" s="22"/>
      <c r="Y55" s="22"/>
    </row>
    <row r="56" spans="1:25" x14ac:dyDescent="0.35">
      <c r="A56" s="15">
        <v>54</v>
      </c>
      <c r="B56" s="15">
        <f t="shared" si="4"/>
        <v>54</v>
      </c>
      <c r="C56" s="16">
        <f t="shared" si="0"/>
        <v>48.016799999999996</v>
      </c>
      <c r="D56" s="16">
        <f t="shared" si="5"/>
        <v>14.10038947200055</v>
      </c>
      <c r="E56" s="16">
        <f t="shared" si="6"/>
        <v>108.18743833040095</v>
      </c>
      <c r="F56" s="17">
        <f t="shared" si="18"/>
        <v>51</v>
      </c>
      <c r="G56" s="45">
        <f>$G$55+(F56-$F$55)*($G$60-$G$55)/($F$60-$F$55)</f>
        <v>186</v>
      </c>
      <c r="H56" s="19">
        <f t="shared" si="1"/>
        <v>168.2928</v>
      </c>
      <c r="I56" s="19">
        <f t="shared" si="2"/>
        <v>42.707443263135104</v>
      </c>
      <c r="J56" s="19">
        <f t="shared" si="3"/>
        <v>367.49209034996028</v>
      </c>
      <c r="K56" s="20">
        <f t="shared" si="8"/>
        <v>54</v>
      </c>
      <c r="L56" s="21"/>
      <c r="M56" s="31"/>
      <c r="N56" s="31"/>
      <c r="O56" s="31"/>
      <c r="P56" s="24"/>
      <c r="Q56" s="24"/>
      <c r="R56" s="24"/>
      <c r="S56" s="24"/>
      <c r="W56" s="22"/>
      <c r="X56" s="22"/>
      <c r="Y56" s="22"/>
    </row>
    <row r="57" spans="1:25" x14ac:dyDescent="0.35">
      <c r="A57" s="15">
        <v>55</v>
      </c>
      <c r="B57" s="15">
        <f t="shared" si="4"/>
        <v>55</v>
      </c>
      <c r="C57" s="16">
        <f t="shared" si="0"/>
        <v>48.905999999999999</v>
      </c>
      <c r="D57" s="16">
        <f t="shared" si="5"/>
        <v>14.330866650402026</v>
      </c>
      <c r="E57" s="16">
        <f t="shared" si="6"/>
        <v>110.13754274945018</v>
      </c>
      <c r="F57" s="17">
        <f t="shared" si="18"/>
        <v>52</v>
      </c>
      <c r="G57" s="45">
        <f t="shared" ref="G57:G59" si="22">$G$55+(F57-$F$55)*($G$60-$G$55)/($F$60-$F$55)</f>
        <v>194</v>
      </c>
      <c r="H57" s="19">
        <f t="shared" si="1"/>
        <v>175.53119999999998</v>
      </c>
      <c r="I57" s="19">
        <f t="shared" si="2"/>
        <v>44.326510481422488</v>
      </c>
      <c r="J57" s="19">
        <f t="shared" si="3"/>
        <v>382.9188457551441</v>
      </c>
      <c r="K57" s="20">
        <f t="shared" si="8"/>
        <v>55</v>
      </c>
      <c r="L57" s="21"/>
      <c r="M57" s="21"/>
      <c r="N57" s="21"/>
      <c r="O57" s="21"/>
      <c r="P57" s="24"/>
      <c r="Q57" s="24"/>
      <c r="R57" s="24"/>
      <c r="S57" s="24"/>
      <c r="W57" s="22"/>
      <c r="X57" s="22"/>
      <c r="Y57" s="22"/>
    </row>
    <row r="58" spans="1:25" x14ac:dyDescent="0.35">
      <c r="A58" s="15">
        <v>56</v>
      </c>
      <c r="B58" s="15">
        <f t="shared" si="4"/>
        <v>56</v>
      </c>
      <c r="C58" s="16">
        <f t="shared" si="0"/>
        <v>49.795200000000001</v>
      </c>
      <c r="D58" s="16">
        <f t="shared" si="5"/>
        <v>14.560856542690781</v>
      </c>
      <c r="E58" s="16">
        <f t="shared" si="6"/>
        <v>112.08679847851977</v>
      </c>
      <c r="F58" s="17">
        <f t="shared" si="18"/>
        <v>53</v>
      </c>
      <c r="G58" s="45">
        <f t="shared" si="22"/>
        <v>202</v>
      </c>
      <c r="H58" s="19">
        <f t="shared" si="1"/>
        <v>182.7696</v>
      </c>
      <c r="I58" s="19">
        <f t="shared" si="2"/>
        <v>45.937822477650357</v>
      </c>
      <c r="J58" s="19">
        <f t="shared" si="3"/>
        <v>398.33209414857441</v>
      </c>
      <c r="K58" s="20">
        <f t="shared" si="8"/>
        <v>56</v>
      </c>
      <c r="L58" s="38"/>
      <c r="M58" s="21"/>
      <c r="N58" s="21"/>
      <c r="O58" s="21"/>
      <c r="P58" s="24"/>
      <c r="Q58" s="24"/>
      <c r="R58" s="24"/>
      <c r="S58" s="24"/>
      <c r="T58" s="22"/>
      <c r="U58" s="22"/>
      <c r="V58" s="22"/>
      <c r="W58" s="22"/>
      <c r="X58" s="22"/>
      <c r="Y58" s="22"/>
    </row>
    <row r="59" spans="1:25" x14ac:dyDescent="0.35">
      <c r="A59" s="15">
        <v>57</v>
      </c>
      <c r="B59" s="15">
        <f t="shared" si="4"/>
        <v>57</v>
      </c>
      <c r="C59" s="16">
        <f t="shared" si="0"/>
        <v>50.684399999999997</v>
      </c>
      <c r="D59" s="16">
        <f t="shared" si="5"/>
        <v>14.790368854214469</v>
      </c>
      <c r="E59" s="16">
        <f t="shared" si="6"/>
        <v>114.03522242109018</v>
      </c>
      <c r="F59" s="17">
        <f t="shared" si="18"/>
        <v>54</v>
      </c>
      <c r="G59" s="45">
        <f t="shared" si="22"/>
        <v>210</v>
      </c>
      <c r="H59" s="19">
        <f t="shared" si="1"/>
        <v>190.00800000000001</v>
      </c>
      <c r="I59" s="19">
        <f t="shared" si="2"/>
        <v>47.541721533308163</v>
      </c>
      <c r="J59" s="19">
        <f t="shared" si="3"/>
        <v>413.73243167051174</v>
      </c>
      <c r="K59" s="20">
        <f t="shared" si="8"/>
        <v>57</v>
      </c>
      <c r="L59" s="21"/>
      <c r="M59" s="21"/>
      <c r="N59" s="21"/>
      <c r="O59" s="21"/>
      <c r="P59" s="24"/>
      <c r="Q59" s="24"/>
      <c r="R59" s="24"/>
      <c r="S59" s="24"/>
      <c r="T59" s="22"/>
      <c r="U59" s="22"/>
      <c r="V59" s="22"/>
      <c r="W59" s="22"/>
      <c r="X59" s="22"/>
      <c r="Y59" s="22"/>
    </row>
    <row r="60" spans="1:25" x14ac:dyDescent="0.35">
      <c r="A60" s="15">
        <v>58</v>
      </c>
      <c r="B60" s="15">
        <f t="shared" si="4"/>
        <v>58</v>
      </c>
      <c r="C60" s="16">
        <f t="shared" si="0"/>
        <v>51.573599999999992</v>
      </c>
      <c r="D60" s="16">
        <f t="shared" si="5"/>
        <v>15.019412930275323</v>
      </c>
      <c r="E60" s="16">
        <f t="shared" si="6"/>
        <v>115.98283085356282</v>
      </c>
      <c r="F60" s="17">
        <f t="shared" si="18"/>
        <v>55</v>
      </c>
      <c r="G60" s="45">
        <f>176+21+21</f>
        <v>218</v>
      </c>
      <c r="H60" s="19">
        <f t="shared" si="1"/>
        <v>197.24639999999997</v>
      </c>
      <c r="I60" s="19">
        <f t="shared" si="2"/>
        <v>49.138522374247202</v>
      </c>
      <c r="J60" s="19">
        <f t="shared" si="3"/>
        <v>429.1204064684805</v>
      </c>
      <c r="K60" s="20">
        <f t="shared" si="8"/>
        <v>58</v>
      </c>
      <c r="L60" s="21"/>
      <c r="M60" s="21"/>
      <c r="N60" s="21"/>
      <c r="O60" s="21"/>
      <c r="P60" s="24"/>
      <c r="Q60" s="24"/>
      <c r="R60" s="24"/>
      <c r="S60" s="24"/>
      <c r="T60" s="22"/>
      <c r="U60" s="22"/>
      <c r="V60" s="22"/>
      <c r="W60" s="22"/>
      <c r="X60" s="22"/>
      <c r="Y60" s="22"/>
    </row>
    <row r="61" spans="1:25" x14ac:dyDescent="0.35">
      <c r="A61" s="15">
        <v>59</v>
      </c>
      <c r="B61" s="15">
        <f t="shared" si="4"/>
        <v>59</v>
      </c>
      <c r="C61" s="16">
        <f t="shared" si="0"/>
        <v>52.462799999999994</v>
      </c>
      <c r="D61" s="16">
        <f t="shared" si="5"/>
        <v>15.247997775460169</v>
      </c>
      <c r="E61" s="16">
        <f t="shared" si="6"/>
        <v>117.92963945892645</v>
      </c>
      <c r="F61" s="17">
        <v>55</v>
      </c>
      <c r="G61" s="45">
        <v>176</v>
      </c>
      <c r="H61" s="19">
        <f t="shared" si="1"/>
        <v>159.2448</v>
      </c>
      <c r="I61" s="19">
        <f t="shared" si="2"/>
        <v>40.672131063901752</v>
      </c>
      <c r="J61" s="19">
        <f t="shared" si="3"/>
        <v>348.18865493629556</v>
      </c>
      <c r="K61" s="20">
        <f t="shared" si="8"/>
        <v>59</v>
      </c>
      <c r="L61" s="36"/>
      <c r="M61" s="36"/>
      <c r="N61" s="36"/>
      <c r="O61" s="36"/>
      <c r="P61" s="24"/>
      <c r="Q61" s="24"/>
      <c r="R61" s="24"/>
      <c r="S61" s="24"/>
      <c r="T61" s="22"/>
      <c r="U61" s="22"/>
      <c r="V61" s="22"/>
      <c r="W61" s="22"/>
      <c r="X61" s="22"/>
      <c r="Y61" s="22"/>
    </row>
    <row r="62" spans="1:25" x14ac:dyDescent="0.35">
      <c r="A62" s="15">
        <v>60</v>
      </c>
      <c r="B62" s="15">
        <f t="shared" si="4"/>
        <v>60</v>
      </c>
      <c r="C62" s="16">
        <f t="shared" si="0"/>
        <v>53.351999999999997</v>
      </c>
      <c r="D62" s="16">
        <f t="shared" si="5"/>
        <v>15.476132071622843</v>
      </c>
      <c r="E62" s="16">
        <f t="shared" si="6"/>
        <v>119.87566335807644</v>
      </c>
      <c r="F62" s="17">
        <f t="shared" si="18"/>
        <v>56</v>
      </c>
      <c r="G62" s="45">
        <f>$G$61+(F62-$F$61)*($G$66-$G$61)/($F$66-$F$61)</f>
        <v>183.6</v>
      </c>
      <c r="H62" s="19">
        <f t="shared" si="1"/>
        <v>166.12127999999998</v>
      </c>
      <c r="I62" s="19">
        <f t="shared" si="2"/>
        <v>42.220155874487318</v>
      </c>
      <c r="J62" s="19">
        <f t="shared" si="3"/>
        <v>362.8613341480654</v>
      </c>
      <c r="K62" s="20">
        <f t="shared" si="8"/>
        <v>60</v>
      </c>
      <c r="L62" s="36"/>
      <c r="M62" s="42"/>
      <c r="N62" s="42"/>
      <c r="O62" s="42"/>
      <c r="P62" s="24"/>
      <c r="Q62" s="24"/>
      <c r="R62" s="24"/>
      <c r="S62" s="24"/>
      <c r="T62" s="22"/>
      <c r="U62" s="22"/>
      <c r="V62" s="22"/>
    </row>
    <row r="63" spans="1:25" x14ac:dyDescent="0.35">
      <c r="A63" s="15">
        <v>61</v>
      </c>
      <c r="B63" s="15">
        <f t="shared" si="4"/>
        <v>61</v>
      </c>
      <c r="C63" s="16">
        <f t="shared" si="0"/>
        <v>54.241199999999999</v>
      </c>
      <c r="D63" s="16">
        <f t="shared" si="5"/>
        <v>15.703824194633755</v>
      </c>
      <c r="E63" s="16">
        <f t="shared" si="6"/>
        <v>121.82091713898713</v>
      </c>
      <c r="F63" s="17">
        <f t="shared" si="18"/>
        <v>57</v>
      </c>
      <c r="G63" s="45">
        <f t="shared" ref="G63:G65" si="23">$G$61+(F63-$F$61)*($G$66-$G$61)/($F$66-$F$61)</f>
        <v>191.2</v>
      </c>
      <c r="H63" s="19">
        <f t="shared" si="1"/>
        <v>172.99775999999997</v>
      </c>
      <c r="I63" s="19">
        <f t="shared" si="2"/>
        <v>43.760737531919609</v>
      </c>
      <c r="J63" s="19">
        <f t="shared" si="3"/>
        <v>377.52104986809326</v>
      </c>
      <c r="K63" s="20">
        <f t="shared" si="8"/>
        <v>61</v>
      </c>
      <c r="L63" s="36"/>
      <c r="M63" s="36"/>
      <c r="N63" s="36"/>
      <c r="O63" s="36"/>
      <c r="P63" s="24"/>
      <c r="Q63" s="24"/>
      <c r="R63" s="24"/>
      <c r="S63" s="24"/>
      <c r="T63" s="22"/>
      <c r="U63" s="22"/>
      <c r="V63" s="22"/>
    </row>
    <row r="64" spans="1:25" x14ac:dyDescent="0.35">
      <c r="A64" s="15">
        <v>62</v>
      </c>
      <c r="B64" s="15">
        <f t="shared" si="4"/>
        <v>62</v>
      </c>
      <c r="C64" s="16">
        <f t="shared" si="0"/>
        <v>55.130399999999995</v>
      </c>
      <c r="D64" s="16">
        <f t="shared" si="5"/>
        <v>15.931082230000035</v>
      </c>
      <c r="E64" s="16">
        <f t="shared" si="6"/>
        <v>123.7654148839167</v>
      </c>
      <c r="F64" s="17">
        <f t="shared" si="18"/>
        <v>58</v>
      </c>
      <c r="G64" s="45">
        <f t="shared" si="23"/>
        <v>198.8</v>
      </c>
      <c r="H64" s="19">
        <f t="shared" si="1"/>
        <v>179.87424000000001</v>
      </c>
      <c r="I64" s="19">
        <f t="shared" si="2"/>
        <v>45.294205745553846</v>
      </c>
      <c r="J64" s="19">
        <f t="shared" si="3"/>
        <v>392.16837634017293</v>
      </c>
      <c r="K64" s="20">
        <f t="shared" si="8"/>
        <v>62</v>
      </c>
      <c r="L64" s="36"/>
      <c r="M64" s="36"/>
      <c r="N64" s="36"/>
      <c r="O64" s="36"/>
      <c r="P64" s="24"/>
      <c r="Q64" s="24"/>
      <c r="R64" s="24"/>
      <c r="S64" s="24"/>
    </row>
    <row r="65" spans="1:19" x14ac:dyDescent="0.35">
      <c r="A65" s="15">
        <v>63</v>
      </c>
      <c r="B65" s="15">
        <f t="shared" si="4"/>
        <v>63</v>
      </c>
      <c r="C65" s="16">
        <f t="shared" si="0"/>
        <v>56.019599999999997</v>
      </c>
      <c r="D65" s="16">
        <f t="shared" si="5"/>
        <v>16.15791398744928</v>
      </c>
      <c r="E65" s="16">
        <f t="shared" si="6"/>
        <v>125.70917019480748</v>
      </c>
      <c r="F65" s="17">
        <f t="shared" si="18"/>
        <v>59</v>
      </c>
      <c r="G65" s="45">
        <f t="shared" si="23"/>
        <v>206.4</v>
      </c>
      <c r="H65" s="19">
        <f t="shared" si="1"/>
        <v>186.75072</v>
      </c>
      <c r="I65" s="19">
        <f t="shared" si="2"/>
        <v>46.820863587839391</v>
      </c>
      <c r="J65" s="19">
        <f t="shared" si="3"/>
        <v>406.80384141548689</v>
      </c>
      <c r="K65" s="20">
        <f t="shared" si="8"/>
        <v>63</v>
      </c>
      <c r="L65" s="36"/>
      <c r="M65" s="36"/>
      <c r="N65" s="36"/>
      <c r="O65" s="36"/>
      <c r="P65" s="24"/>
      <c r="Q65" s="24"/>
      <c r="R65" s="24"/>
      <c r="S65" s="24"/>
    </row>
    <row r="66" spans="1:19" x14ac:dyDescent="0.35">
      <c r="A66" s="15">
        <v>64</v>
      </c>
      <c r="B66" s="15">
        <f t="shared" si="4"/>
        <v>64</v>
      </c>
      <c r="C66" s="16">
        <f t="shared" si="0"/>
        <v>56.908799999999999</v>
      </c>
      <c r="D66" s="16">
        <f t="shared" si="5"/>
        <v>16.384327014561205</v>
      </c>
      <c r="E66" s="16">
        <f t="shared" si="6"/>
        <v>127.65219621702742</v>
      </c>
      <c r="F66" s="17">
        <f t="shared" si="18"/>
        <v>60</v>
      </c>
      <c r="G66" s="45">
        <f>193+21</f>
        <v>214</v>
      </c>
      <c r="H66" s="19">
        <f t="shared" si="1"/>
        <v>193.62720000000002</v>
      </c>
      <c r="I66" s="19">
        <f t="shared" si="2"/>
        <v>48.340990547231236</v>
      </c>
      <c r="J66" s="19">
        <f t="shared" si="3"/>
        <v>421.42793186976104</v>
      </c>
      <c r="K66" s="20">
        <f t="shared" si="8"/>
        <v>64</v>
      </c>
      <c r="L66" s="41"/>
      <c r="M66" s="36"/>
      <c r="N66" s="36"/>
      <c r="O66" s="36"/>
      <c r="P66" s="24"/>
      <c r="Q66" s="24"/>
      <c r="R66" s="24"/>
      <c r="S66" s="24"/>
    </row>
    <row r="67" spans="1:19" x14ac:dyDescent="0.35">
      <c r="A67" s="15">
        <v>65</v>
      </c>
      <c r="B67" s="15">
        <f t="shared" si="4"/>
        <v>65</v>
      </c>
      <c r="C67" s="16">
        <f t="shared" ref="C67:C130" si="24">B67*$Y$1*1.56</f>
        <v>57.797999999999995</v>
      </c>
      <c r="D67" s="16">
        <f t="shared" si="5"/>
        <v>16.610328609522991</v>
      </c>
      <c r="E67" s="16">
        <f t="shared" ref="E67:E130" si="25">(C67+D67)*0.475*44/12</f>
        <v>129.59450566158586</v>
      </c>
      <c r="F67" s="17">
        <f t="shared" si="18"/>
        <v>61</v>
      </c>
      <c r="G67" s="45">
        <f>$G$66+(F67-$F$66)*($G$71-$G$66)/($F$71-$F$66)</f>
        <v>221.2</v>
      </c>
      <c r="H67" s="19">
        <f t="shared" ref="H67:H130" si="26">G67*1.56*$W$1</f>
        <v>200.14175999999998</v>
      </c>
      <c r="I67" s="19">
        <f t="shared" ref="I67:I130" si="27">EXP(-1.0587+0.8836*LN(H67)+0.284)</f>
        <v>49.775320997880847</v>
      </c>
      <c r="J67" s="19">
        <f t="shared" ref="J67:J130" si="28">(H67+I67)*0.475*44/12</f>
        <v>435.27224940464242</v>
      </c>
      <c r="K67" s="20">
        <f t="shared" si="8"/>
        <v>65</v>
      </c>
      <c r="L67" s="36"/>
      <c r="M67" s="36"/>
      <c r="N67" s="36"/>
      <c r="O67" s="36"/>
      <c r="P67" s="24"/>
      <c r="Q67" s="24"/>
      <c r="R67" s="24"/>
      <c r="S67" s="24"/>
    </row>
    <row r="68" spans="1:19" x14ac:dyDescent="0.35">
      <c r="A68" s="15">
        <v>66</v>
      </c>
      <c r="B68" s="15">
        <f t="shared" ref="B68:B131" si="29">B67+1</f>
        <v>66</v>
      </c>
      <c r="C68" s="16">
        <f t="shared" si="24"/>
        <v>58.687199999999997</v>
      </c>
      <c r="D68" s="16">
        <f t="shared" ref="D68:D131" si="30">EXP(-1.0587+0.8836*LN(C68)+0.284)</f>
        <v>16.835925833077539</v>
      </c>
      <c r="E68" s="16">
        <f t="shared" si="25"/>
        <v>131.53611082594338</v>
      </c>
      <c r="F68" s="17">
        <f t="shared" si="18"/>
        <v>62</v>
      </c>
      <c r="G68" s="45">
        <f t="shared" ref="G68:G70" si="31">$G$66+(F68-$F$66)*($G$71-$G$66)/($F$71-$F$66)</f>
        <v>228.4</v>
      </c>
      <c r="H68" s="19">
        <f t="shared" si="26"/>
        <v>206.65631999999999</v>
      </c>
      <c r="I68" s="19">
        <f t="shared" si="27"/>
        <v>51.20422634371338</v>
      </c>
      <c r="J68" s="19">
        <f t="shared" si="28"/>
        <v>449.10711821530077</v>
      </c>
      <c r="K68" s="20">
        <f t="shared" ref="K68:K131" si="32">K67+1</f>
        <v>66</v>
      </c>
      <c r="L68" s="36"/>
      <c r="M68" s="36"/>
      <c r="N68" s="36"/>
      <c r="O68" s="36"/>
      <c r="P68" s="24"/>
      <c r="Q68" s="24"/>
      <c r="R68" s="24"/>
      <c r="S68" s="24"/>
    </row>
    <row r="69" spans="1:19" x14ac:dyDescent="0.35">
      <c r="A69" s="15">
        <v>67</v>
      </c>
      <c r="B69" s="15">
        <f t="shared" si="29"/>
        <v>67</v>
      </c>
      <c r="C69" s="16">
        <f t="shared" si="24"/>
        <v>59.5764</v>
      </c>
      <c r="D69" s="16">
        <f t="shared" si="30"/>
        <v>17.06112551972695</v>
      </c>
      <c r="E69" s="16">
        <f t="shared" si="25"/>
        <v>133.47702361352444</v>
      </c>
      <c r="F69" s="17">
        <f t="shared" si="18"/>
        <v>63</v>
      </c>
      <c r="G69" s="45">
        <f t="shared" si="31"/>
        <v>235.6</v>
      </c>
      <c r="H69" s="19">
        <f t="shared" si="26"/>
        <v>213.17087999999998</v>
      </c>
      <c r="I69" s="19">
        <f t="shared" si="27"/>
        <v>52.627897224631596</v>
      </c>
      <c r="J69" s="19">
        <f>(H69+I69)*0.475*44/12</f>
        <v>462.93287033289994</v>
      </c>
      <c r="K69" s="20">
        <f t="shared" si="32"/>
        <v>67</v>
      </c>
      <c r="L69" s="36"/>
      <c r="M69" s="36"/>
      <c r="N69" s="36"/>
      <c r="O69" s="36"/>
      <c r="P69" s="24"/>
      <c r="Q69" s="24"/>
      <c r="R69" s="24"/>
      <c r="S69" s="24"/>
    </row>
    <row r="70" spans="1:19" x14ac:dyDescent="0.35">
      <c r="A70" s="15">
        <v>68</v>
      </c>
      <c r="B70" s="15">
        <f t="shared" si="29"/>
        <v>68</v>
      </c>
      <c r="C70" s="16">
        <f t="shared" si="24"/>
        <v>60.465600000000002</v>
      </c>
      <c r="D70" s="16">
        <f t="shared" si="30"/>
        <v>17.28593428824821</v>
      </c>
      <c r="E70" s="16">
        <f t="shared" si="25"/>
        <v>135.41725555203229</v>
      </c>
      <c r="F70" s="17">
        <f t="shared" si="18"/>
        <v>64</v>
      </c>
      <c r="G70" s="45">
        <f t="shared" si="31"/>
        <v>242.8</v>
      </c>
      <c r="H70" s="19">
        <f t="shared" si="26"/>
        <v>219.68544</v>
      </c>
      <c r="I70" s="19">
        <f t="shared" si="27"/>
        <v>54.046511966469559</v>
      </c>
      <c r="J70" s="19">
        <f t="shared" si="28"/>
        <v>476.74981634160116</v>
      </c>
      <c r="K70" s="20">
        <f t="shared" si="32"/>
        <v>68</v>
      </c>
      <c r="L70" s="36"/>
      <c r="M70" s="36"/>
      <c r="N70" s="36"/>
      <c r="O70" s="36"/>
      <c r="P70" s="24"/>
      <c r="Q70" s="24"/>
      <c r="R70" s="24"/>
      <c r="S70" s="24"/>
    </row>
    <row r="71" spans="1:19" x14ac:dyDescent="0.35">
      <c r="A71" s="15">
        <v>69</v>
      </c>
      <c r="B71" s="15">
        <f t="shared" si="29"/>
        <v>69</v>
      </c>
      <c r="C71" s="16">
        <f t="shared" si="24"/>
        <v>61.354799999999997</v>
      </c>
      <c r="D71" s="16">
        <f t="shared" si="30"/>
        <v>17.510358551572615</v>
      </c>
      <c r="E71" s="16">
        <f t="shared" si="25"/>
        <v>137.35681781065566</v>
      </c>
      <c r="F71" s="17">
        <f t="shared" si="18"/>
        <v>65</v>
      </c>
      <c r="G71" s="44">
        <f>208+21+21</f>
        <v>250</v>
      </c>
      <c r="H71" s="19">
        <f t="shared" si="26"/>
        <v>226.2</v>
      </c>
      <c r="I71" s="19">
        <f t="shared" si="27"/>
        <v>55.460237717698156</v>
      </c>
      <c r="J71" s="19">
        <f t="shared" si="28"/>
        <v>490.55824735832425</v>
      </c>
      <c r="K71" s="20">
        <f t="shared" si="32"/>
        <v>69</v>
      </c>
      <c r="L71" s="36"/>
      <c r="M71" s="36"/>
      <c r="N71" s="36"/>
      <c r="O71" s="36"/>
      <c r="P71" s="24"/>
      <c r="Q71" s="24"/>
      <c r="R71" s="24"/>
      <c r="S71" s="24"/>
    </row>
    <row r="72" spans="1:19" x14ac:dyDescent="0.35">
      <c r="A72" s="15">
        <v>70</v>
      </c>
      <c r="B72" s="15">
        <f t="shared" si="29"/>
        <v>70</v>
      </c>
      <c r="C72" s="16">
        <f t="shared" si="24"/>
        <v>62.244</v>
      </c>
      <c r="D72" s="16">
        <f t="shared" si="30"/>
        <v>17.734404526076432</v>
      </c>
      <c r="E72" s="16">
        <f t="shared" si="25"/>
        <v>139.29572121624977</v>
      </c>
      <c r="F72" s="17">
        <v>65</v>
      </c>
      <c r="G72" s="44">
        <v>208</v>
      </c>
      <c r="H72" s="19">
        <f t="shared" si="26"/>
        <v>188.19839999999999</v>
      </c>
      <c r="I72" s="19">
        <f t="shared" si="27"/>
        <v>47.141424081428013</v>
      </c>
      <c r="J72" s="19">
        <f t="shared" si="28"/>
        <v>409.88352694182043</v>
      </c>
      <c r="K72" s="20">
        <f t="shared" si="32"/>
        <v>70</v>
      </c>
      <c r="L72" s="41"/>
      <c r="M72" s="36"/>
      <c r="N72" s="36"/>
      <c r="O72" s="36"/>
      <c r="P72" s="24"/>
      <c r="Q72" s="24"/>
      <c r="R72" s="24"/>
      <c r="S72" s="24"/>
    </row>
    <row r="73" spans="1:19" x14ac:dyDescent="0.35">
      <c r="A73" s="15">
        <v>71</v>
      </c>
      <c r="B73" s="15">
        <f t="shared" si="29"/>
        <v>71</v>
      </c>
      <c r="C73" s="16">
        <f t="shared" si="24"/>
        <v>63.133200000000002</v>
      </c>
      <c r="D73" s="16">
        <f t="shared" si="30"/>
        <v>17.958078240325325</v>
      </c>
      <c r="E73" s="16">
        <f t="shared" si="25"/>
        <v>141.23397626856661</v>
      </c>
      <c r="F73" s="17">
        <f t="shared" si="18"/>
        <v>66</v>
      </c>
      <c r="G73" s="44">
        <f>$G$72+(F73-$F$72)*($G$77-$G$72)/($F$77-$F$72)</f>
        <v>214.8</v>
      </c>
      <c r="H73" s="19">
        <f t="shared" si="26"/>
        <v>194.35104000000001</v>
      </c>
      <c r="I73" s="19">
        <f t="shared" si="27"/>
        <v>48.500634729810159</v>
      </c>
      <c r="J73" s="19">
        <f t="shared" si="28"/>
        <v>422.96666682108599</v>
      </c>
      <c r="K73" s="20">
        <f t="shared" si="32"/>
        <v>71</v>
      </c>
      <c r="L73" s="36"/>
      <c r="M73" s="26"/>
      <c r="N73" s="26"/>
      <c r="O73" s="26"/>
      <c r="P73" s="26"/>
      <c r="Q73" s="26"/>
      <c r="R73" s="26"/>
      <c r="S73" s="26"/>
    </row>
    <row r="74" spans="1:19" x14ac:dyDescent="0.35">
      <c r="A74" s="15">
        <v>72</v>
      </c>
      <c r="B74" s="15">
        <f t="shared" si="29"/>
        <v>72</v>
      </c>
      <c r="C74" s="16">
        <f t="shared" si="24"/>
        <v>64.022400000000005</v>
      </c>
      <c r="D74" s="16">
        <f t="shared" si="30"/>
        <v>18.181385543312242</v>
      </c>
      <c r="E74" s="16">
        <f t="shared" si="25"/>
        <v>143.17159315460216</v>
      </c>
      <c r="F74" s="17">
        <f t="shared" si="18"/>
        <v>67</v>
      </c>
      <c r="G74" s="44">
        <f t="shared" ref="G74:G76" si="33">$G$72+(F74-$F$72)*($G$77-$G$72)/($F$77-$F$72)</f>
        <v>221.6</v>
      </c>
      <c r="H74" s="19">
        <f t="shared" si="26"/>
        <v>200.50368</v>
      </c>
      <c r="I74" s="19">
        <f t="shared" si="27"/>
        <v>49.854845135229887</v>
      </c>
      <c r="J74" s="19">
        <f t="shared" si="28"/>
        <v>436.04109794385869</v>
      </c>
      <c r="K74" s="20">
        <f t="shared" si="32"/>
        <v>72</v>
      </c>
      <c r="L74" s="46"/>
      <c r="M74" s="26"/>
      <c r="N74" s="26"/>
      <c r="O74" s="26"/>
      <c r="P74" s="26"/>
      <c r="Q74" s="26"/>
      <c r="R74" s="26"/>
      <c r="S74" s="26"/>
    </row>
    <row r="75" spans="1:19" x14ac:dyDescent="0.35">
      <c r="A75" s="15">
        <v>73</v>
      </c>
      <c r="B75" s="15">
        <f t="shared" si="29"/>
        <v>73</v>
      </c>
      <c r="C75" s="16">
        <f t="shared" si="24"/>
        <v>64.911600000000007</v>
      </c>
      <c r="D75" s="16">
        <f t="shared" si="30"/>
        <v>18.404332112224708</v>
      </c>
      <c r="E75" s="16">
        <f t="shared" si="25"/>
        <v>145.10858176212471</v>
      </c>
      <c r="F75" s="17">
        <f t="shared" si="18"/>
        <v>68</v>
      </c>
      <c r="G75" s="44">
        <f t="shared" si="33"/>
        <v>228.4</v>
      </c>
      <c r="H75" s="19">
        <f t="shared" si="26"/>
        <v>206.65631999999999</v>
      </c>
      <c r="I75" s="19">
        <f t="shared" si="27"/>
        <v>51.20422634371338</v>
      </c>
      <c r="J75" s="19">
        <f t="shared" si="28"/>
        <v>449.10711821530077</v>
      </c>
      <c r="K75" s="20">
        <f t="shared" si="32"/>
        <v>73</v>
      </c>
      <c r="L75" s="36"/>
      <c r="M75" s="26"/>
      <c r="N75" s="26"/>
      <c r="O75" s="26"/>
      <c r="P75" s="26"/>
      <c r="Q75" s="26"/>
      <c r="R75" s="26"/>
      <c r="S75" s="26"/>
    </row>
    <row r="76" spans="1:19" x14ac:dyDescent="0.35">
      <c r="A76" s="15">
        <v>74</v>
      </c>
      <c r="B76" s="15">
        <f t="shared" si="29"/>
        <v>74</v>
      </c>
      <c r="C76" s="16">
        <f t="shared" si="24"/>
        <v>65.800799999999995</v>
      </c>
      <c r="D76" s="16">
        <f t="shared" si="30"/>
        <v>18.626923459774289</v>
      </c>
      <c r="E76" s="16">
        <f t="shared" si="25"/>
        <v>147.04495169244021</v>
      </c>
      <c r="F76" s="17">
        <f t="shared" si="18"/>
        <v>69</v>
      </c>
      <c r="G76" s="44">
        <f t="shared" si="33"/>
        <v>235.2</v>
      </c>
      <c r="H76" s="19">
        <f t="shared" si="26"/>
        <v>212.80895999999998</v>
      </c>
      <c r="I76" s="19">
        <f t="shared" si="27"/>
        <v>52.548938637485847</v>
      </c>
      <c r="J76" s="19">
        <f t="shared" si="28"/>
        <v>462.16500679362116</v>
      </c>
      <c r="K76" s="20">
        <f t="shared" si="32"/>
        <v>74</v>
      </c>
      <c r="L76" s="36"/>
      <c r="M76" s="26"/>
      <c r="N76" s="26"/>
      <c r="O76" s="26"/>
      <c r="P76" s="26"/>
      <c r="Q76" s="26"/>
      <c r="R76" s="26"/>
      <c r="S76" s="26"/>
    </row>
    <row r="77" spans="1:19" x14ac:dyDescent="0.35">
      <c r="A77" s="15">
        <v>75</v>
      </c>
      <c r="B77" s="15">
        <f t="shared" si="29"/>
        <v>75</v>
      </c>
      <c r="C77" s="16">
        <f t="shared" si="24"/>
        <v>66.69</v>
      </c>
      <c r="D77" s="16">
        <f t="shared" si="30"/>
        <v>18.849164941118623</v>
      </c>
      <c r="E77" s="16">
        <f t="shared" si="25"/>
        <v>148.98071227244827</v>
      </c>
      <c r="F77" s="17">
        <f t="shared" si="18"/>
        <v>70</v>
      </c>
      <c r="G77" s="44">
        <f>221+21</f>
        <v>242</v>
      </c>
      <c r="H77" s="19">
        <f t="shared" si="26"/>
        <v>218.9616</v>
      </c>
      <c r="I77" s="19">
        <f t="shared" si="27"/>
        <v>53.88913250370743</v>
      </c>
      <c r="J77" s="19">
        <f t="shared" si="28"/>
        <v>475.21502577729046</v>
      </c>
      <c r="K77" s="20">
        <f t="shared" si="32"/>
        <v>75</v>
      </c>
      <c r="L77" s="36"/>
      <c r="M77" s="26"/>
      <c r="N77" s="26"/>
      <c r="O77" s="26"/>
      <c r="P77" s="26"/>
      <c r="Q77" s="26"/>
      <c r="R77" s="26"/>
      <c r="S77" s="26"/>
    </row>
    <row r="78" spans="1:19" x14ac:dyDescent="0.35">
      <c r="A78" s="15">
        <v>76</v>
      </c>
      <c r="B78" s="15">
        <f t="shared" si="29"/>
        <v>76</v>
      </c>
      <c r="C78" s="16">
        <f t="shared" si="24"/>
        <v>67.579199999999986</v>
      </c>
      <c r="D78" s="16">
        <f t="shared" si="30"/>
        <v>19.07106176040384</v>
      </c>
      <c r="E78" s="16">
        <f t="shared" si="25"/>
        <v>150.91587256603665</v>
      </c>
      <c r="F78" s="17">
        <f t="shared" si="18"/>
        <v>71</v>
      </c>
      <c r="G78" s="44">
        <f>$G$77+(F78-$F$77)*($G$82-$G$77)/($F$82-$F$77)</f>
        <v>248.2</v>
      </c>
      <c r="H78" s="19">
        <f t="shared" si="26"/>
        <v>224.57136</v>
      </c>
      <c r="I78" s="19">
        <f t="shared" si="27"/>
        <v>55.107255873104265</v>
      </c>
      <c r="J78" s="19">
        <f t="shared" si="28"/>
        <v>487.10692264565654</v>
      </c>
      <c r="K78" s="20">
        <f t="shared" si="32"/>
        <v>76</v>
      </c>
      <c r="L78" s="36"/>
      <c r="M78" s="26"/>
      <c r="N78" s="26"/>
      <c r="O78" s="26"/>
      <c r="P78" s="26"/>
      <c r="Q78" s="26"/>
      <c r="R78" s="26"/>
      <c r="S78" s="26"/>
    </row>
    <row r="79" spans="1:19" x14ac:dyDescent="0.35">
      <c r="A79" s="15">
        <v>77</v>
      </c>
      <c r="B79" s="15">
        <f t="shared" si="29"/>
        <v>77</v>
      </c>
      <c r="C79" s="16">
        <f t="shared" si="24"/>
        <v>68.468399999999988</v>
      </c>
      <c r="D79" s="16">
        <f t="shared" si="30"/>
        <v>19.292618976952717</v>
      </c>
      <c r="E79" s="16">
        <f t="shared" si="25"/>
        <v>152.85044138485929</v>
      </c>
      <c r="F79" s="17">
        <f t="shared" si="18"/>
        <v>72</v>
      </c>
      <c r="G79" s="44">
        <f t="shared" ref="G79:G81" si="34">$G$77+(F79-$F$77)*($G$82-$G$77)/($F$82-$F$77)</f>
        <v>254.4</v>
      </c>
      <c r="H79" s="19">
        <f t="shared" si="26"/>
        <v>230.18111999999999</v>
      </c>
      <c r="I79" s="19">
        <f t="shared" si="27"/>
        <v>56.321842115392933</v>
      </c>
      <c r="J79" s="19">
        <f t="shared" si="28"/>
        <v>498.99265901764267</v>
      </c>
      <c r="K79" s="20">
        <f t="shared" si="32"/>
        <v>77</v>
      </c>
      <c r="L79" s="36"/>
      <c r="M79" s="26"/>
      <c r="N79" s="26"/>
      <c r="O79" s="26"/>
      <c r="P79" s="26"/>
      <c r="Q79" s="26"/>
      <c r="R79" s="26"/>
      <c r="S79" s="26"/>
    </row>
    <row r="80" spans="1:19" x14ac:dyDescent="0.35">
      <c r="A80" s="15">
        <v>78</v>
      </c>
      <c r="B80" s="15">
        <f t="shared" si="29"/>
        <v>78</v>
      </c>
      <c r="C80" s="16">
        <f t="shared" si="24"/>
        <v>69.357599999999991</v>
      </c>
      <c r="D80" s="16">
        <f t="shared" si="30"/>
        <v>19.513841511122433</v>
      </c>
      <c r="E80" s="16">
        <f t="shared" si="25"/>
        <v>154.78442729853825</v>
      </c>
      <c r="F80" s="17">
        <f t="shared" si="18"/>
        <v>73</v>
      </c>
      <c r="G80" s="44">
        <f t="shared" si="34"/>
        <v>260.60000000000002</v>
      </c>
      <c r="H80" s="19">
        <f t="shared" si="26"/>
        <v>235.79088000000002</v>
      </c>
      <c r="I80" s="19">
        <f t="shared" si="27"/>
        <v>57.532987351107714</v>
      </c>
      <c r="J80" s="19">
        <f t="shared" si="28"/>
        <v>510.87240230317917</v>
      </c>
      <c r="K80" s="20">
        <f t="shared" si="32"/>
        <v>78</v>
      </c>
      <c r="L80" s="36"/>
      <c r="M80" s="26"/>
      <c r="N80" s="26"/>
      <c r="O80" s="26"/>
      <c r="P80" s="26"/>
      <c r="Q80" s="26"/>
      <c r="R80" s="26"/>
      <c r="S80" s="26"/>
    </row>
    <row r="81" spans="1:12" x14ac:dyDescent="0.35">
      <c r="A81" s="15">
        <v>79</v>
      </c>
      <c r="B81" s="15">
        <f t="shared" si="29"/>
        <v>79</v>
      </c>
      <c r="C81" s="16">
        <f t="shared" si="24"/>
        <v>70.246799999999993</v>
      </c>
      <c r="D81" s="16">
        <f t="shared" si="30"/>
        <v>19.734734149853068</v>
      </c>
      <c r="E81" s="16">
        <f t="shared" si="25"/>
        <v>156.7178386443274</v>
      </c>
      <c r="F81" s="17">
        <f t="shared" si="18"/>
        <v>74</v>
      </c>
      <c r="G81" s="44">
        <f t="shared" si="34"/>
        <v>266.8</v>
      </c>
      <c r="H81" s="19">
        <f t="shared" si="26"/>
        <v>241.40064000000001</v>
      </c>
      <c r="I81" s="19">
        <f t="shared" si="27"/>
        <v>58.740782866262748</v>
      </c>
      <c r="J81" s="19">
        <f t="shared" si="28"/>
        <v>522.74631149207426</v>
      </c>
      <c r="K81" s="20">
        <f t="shared" si="32"/>
        <v>79</v>
      </c>
      <c r="L81" s="36"/>
    </row>
    <row r="82" spans="1:12" x14ac:dyDescent="0.35">
      <c r="A82" s="15">
        <v>80</v>
      </c>
      <c r="B82" s="15">
        <f t="shared" si="29"/>
        <v>80</v>
      </c>
      <c r="C82" s="16">
        <f t="shared" si="24"/>
        <v>71.135999999999996</v>
      </c>
      <c r="D82" s="16">
        <f t="shared" si="30"/>
        <v>19.955301551927469</v>
      </c>
      <c r="E82" s="16">
        <f t="shared" si="25"/>
        <v>158.65068353627368</v>
      </c>
      <c r="F82" s="17">
        <f t="shared" si="18"/>
        <v>75</v>
      </c>
      <c r="G82" s="44">
        <f>231+21+21</f>
        <v>273</v>
      </c>
      <c r="H82" s="19">
        <f t="shared" si="26"/>
        <v>247.01039999999998</v>
      </c>
      <c r="I82" s="19">
        <f t="shared" si="27"/>
        <v>59.945315462121812</v>
      </c>
      <c r="J82" s="19">
        <f t="shared" si="28"/>
        <v>534.61453776319547</v>
      </c>
      <c r="K82" s="20">
        <f t="shared" si="32"/>
        <v>80</v>
      </c>
      <c r="L82" s="46"/>
    </row>
    <row r="83" spans="1:12" x14ac:dyDescent="0.35">
      <c r="A83" s="15">
        <v>81</v>
      </c>
      <c r="B83" s="15">
        <f t="shared" si="29"/>
        <v>81</v>
      </c>
      <c r="C83" s="16">
        <f t="shared" si="24"/>
        <v>72.025199999999998</v>
      </c>
      <c r="D83" s="16">
        <f t="shared" si="30"/>
        <v>20.175548252960461</v>
      </c>
      <c r="E83" s="16">
        <f t="shared" si="25"/>
        <v>160.58296987390614</v>
      </c>
      <c r="F83" s="17">
        <v>75</v>
      </c>
      <c r="G83" s="44">
        <v>231</v>
      </c>
      <c r="H83" s="19">
        <f t="shared" si="26"/>
        <v>209.00879999999998</v>
      </c>
      <c r="I83" s="19">
        <f t="shared" si="27"/>
        <v>51.718923953824202</v>
      </c>
      <c r="J83" s="19">
        <f t="shared" si="28"/>
        <v>454.10078588624373</v>
      </c>
      <c r="K83" s="20">
        <f t="shared" si="32"/>
        <v>81</v>
      </c>
      <c r="L83" s="36"/>
    </row>
    <row r="84" spans="1:12" x14ac:dyDescent="0.35">
      <c r="A84" s="15">
        <v>82</v>
      </c>
      <c r="B84" s="15">
        <f t="shared" si="29"/>
        <v>82</v>
      </c>
      <c r="C84" s="16">
        <f t="shared" si="24"/>
        <v>72.914400000000001</v>
      </c>
      <c r="D84" s="16">
        <f t="shared" si="30"/>
        <v>20.395478670134668</v>
      </c>
      <c r="E84" s="16">
        <f t="shared" si="25"/>
        <v>162.51470535048455</v>
      </c>
      <c r="F84" s="17">
        <f t="shared" si="18"/>
        <v>76</v>
      </c>
      <c r="G84" s="44">
        <f>$G$83+(F84-$F$83)*($G$88-$G$83)/($F$88-$F$83)</f>
        <v>237</v>
      </c>
      <c r="H84" s="19">
        <f t="shared" si="26"/>
        <v>214.4376</v>
      </c>
      <c r="I84" s="19">
        <f t="shared" si="27"/>
        <v>52.904129603372375</v>
      </c>
      <c r="J84" s="19">
        <f t="shared" si="28"/>
        <v>465.62017905920681</v>
      </c>
      <c r="K84" s="20">
        <f t="shared" si="32"/>
        <v>82</v>
      </c>
      <c r="L84" s="36"/>
    </row>
    <row r="85" spans="1:12" x14ac:dyDescent="0.35">
      <c r="A85" s="15">
        <v>83</v>
      </c>
      <c r="B85" s="15">
        <f t="shared" si="29"/>
        <v>83</v>
      </c>
      <c r="C85" s="16">
        <f t="shared" si="24"/>
        <v>73.803599999999989</v>
      </c>
      <c r="D85" s="16">
        <f t="shared" si="30"/>
        <v>20.615097106698759</v>
      </c>
      <c r="E85" s="16">
        <f t="shared" si="25"/>
        <v>164.44589746083363</v>
      </c>
      <c r="F85" s="17">
        <f t="shared" si="18"/>
        <v>77</v>
      </c>
      <c r="G85" s="44">
        <f t="shared" ref="G85:G87" si="35">$G$83+(F85-$F$83)*($G$88-$G$83)/($F$88-$F$83)</f>
        <v>243</v>
      </c>
      <c r="H85" s="19">
        <f t="shared" si="26"/>
        <v>219.8664</v>
      </c>
      <c r="I85" s="19">
        <f t="shared" si="27"/>
        <v>54.085847394182416</v>
      </c>
      <c r="J85" s="19">
        <f t="shared" si="28"/>
        <v>477.13349754486762</v>
      </c>
      <c r="K85" s="20">
        <f t="shared" si="32"/>
        <v>83</v>
      </c>
      <c r="L85" s="36"/>
    </row>
    <row r="86" spans="1:12" x14ac:dyDescent="0.35">
      <c r="A86" s="15">
        <v>84</v>
      </c>
      <c r="B86" s="15">
        <f t="shared" si="29"/>
        <v>84</v>
      </c>
      <c r="C86" s="16">
        <f t="shared" si="24"/>
        <v>74.692799999999991</v>
      </c>
      <c r="D86" s="16">
        <f t="shared" si="30"/>
        <v>20.834407756242822</v>
      </c>
      <c r="E86" s="16">
        <f t="shared" si="25"/>
        <v>166.37655350878956</v>
      </c>
      <c r="F86" s="17">
        <f t="shared" si="18"/>
        <v>78</v>
      </c>
      <c r="G86" s="44">
        <f t="shared" si="35"/>
        <v>249</v>
      </c>
      <c r="H86" s="19">
        <f t="shared" si="26"/>
        <v>225.29519999999999</v>
      </c>
      <c r="I86" s="19">
        <f t="shared" si="27"/>
        <v>55.264173352293078</v>
      </c>
      <c r="J86" s="19">
        <f t="shared" si="28"/>
        <v>488.64090858857702</v>
      </c>
      <c r="K86" s="20">
        <f t="shared" si="32"/>
        <v>84</v>
      </c>
      <c r="L86" s="36"/>
    </row>
    <row r="87" spans="1:12" x14ac:dyDescent="0.35">
      <c r="A87" s="15">
        <v>85</v>
      </c>
      <c r="B87" s="15">
        <f t="shared" si="29"/>
        <v>85</v>
      </c>
      <c r="C87" s="16">
        <f t="shared" si="24"/>
        <v>75.581999999999994</v>
      </c>
      <c r="D87" s="16">
        <f t="shared" si="30"/>
        <v>21.053414706764119</v>
      </c>
      <c r="E87" s="16">
        <f t="shared" si="25"/>
        <v>168.30668061428082</v>
      </c>
      <c r="F87" s="17">
        <f t="shared" si="18"/>
        <v>79</v>
      </c>
      <c r="G87" s="44">
        <f t="shared" si="35"/>
        <v>255</v>
      </c>
      <c r="H87" s="19">
        <f t="shared" si="26"/>
        <v>230.72399999999999</v>
      </c>
      <c r="I87" s="19">
        <f t="shared" si="27"/>
        <v>56.439198612082095</v>
      </c>
      <c r="J87" s="19">
        <f t="shared" si="28"/>
        <v>500.14257091604287</v>
      </c>
      <c r="K87" s="20">
        <f t="shared" si="32"/>
        <v>85</v>
      </c>
      <c r="L87" s="36"/>
    </row>
    <row r="88" spans="1:12" x14ac:dyDescent="0.35">
      <c r="A88" s="15">
        <v>86</v>
      </c>
      <c r="B88" s="15">
        <f t="shared" si="29"/>
        <v>86</v>
      </c>
      <c r="C88" s="16">
        <f t="shared" si="24"/>
        <v>76.471199999999996</v>
      </c>
      <c r="D88" s="16">
        <f t="shared" si="30"/>
        <v>21.272121944536345</v>
      </c>
      <c r="E88" s="16">
        <f t="shared" si="25"/>
        <v>170.23628572006746</v>
      </c>
      <c r="F88" s="17">
        <f t="shared" si="18"/>
        <v>80</v>
      </c>
      <c r="G88" s="44">
        <f>240+21</f>
        <v>261</v>
      </c>
      <c r="H88" s="19">
        <f t="shared" si="26"/>
        <v>236.15279999999998</v>
      </c>
      <c r="I88" s="19">
        <f t="shared" si="27"/>
        <v>57.61100977459936</v>
      </c>
      <c r="J88" s="19">
        <f t="shared" si="28"/>
        <v>511.63863535742718</v>
      </c>
      <c r="K88" s="20">
        <f t="shared" si="32"/>
        <v>86</v>
      </c>
      <c r="L88" s="36"/>
    </row>
    <row r="89" spans="1:12" x14ac:dyDescent="0.35">
      <c r="A89" s="15">
        <v>87</v>
      </c>
      <c r="B89" s="15">
        <f t="shared" si="29"/>
        <v>87</v>
      </c>
      <c r="C89" s="16">
        <f t="shared" si="24"/>
        <v>77.360399999999998</v>
      </c>
      <c r="D89" s="16">
        <f t="shared" si="30"/>
        <v>21.490533357793495</v>
      </c>
      <c r="E89" s="16">
        <f t="shared" si="25"/>
        <v>172.165375598157</v>
      </c>
      <c r="F89" s="17">
        <f t="shared" si="18"/>
        <v>81</v>
      </c>
      <c r="G89" s="44">
        <f>$G$88+(F89-$F$88)*($G$93-$G$88)/($F$93-$F$88)</f>
        <v>266.8</v>
      </c>
      <c r="H89" s="19">
        <f t="shared" si="26"/>
        <v>241.40064000000001</v>
      </c>
      <c r="I89" s="19">
        <f t="shared" si="27"/>
        <v>58.740782866262748</v>
      </c>
      <c r="J89" s="19">
        <f t="shared" si="28"/>
        <v>522.74631149207426</v>
      </c>
      <c r="K89" s="20">
        <f t="shared" si="32"/>
        <v>87</v>
      </c>
      <c r="L89" s="36"/>
    </row>
    <row r="90" spans="1:12" x14ac:dyDescent="0.35">
      <c r="A90" s="15">
        <v>88</v>
      </c>
      <c r="B90" s="15">
        <f t="shared" si="29"/>
        <v>88</v>
      </c>
      <c r="C90" s="16">
        <f t="shared" si="24"/>
        <v>78.249600000000001</v>
      </c>
      <c r="D90" s="16">
        <f t="shared" si="30"/>
        <v>21.708652740239781</v>
      </c>
      <c r="E90" s="16">
        <f t="shared" si="25"/>
        <v>174.09395685591764</v>
      </c>
      <c r="F90" s="17">
        <f t="shared" si="18"/>
        <v>82</v>
      </c>
      <c r="G90" s="44">
        <f t="shared" ref="G90:G92" si="36">$G$88+(F90-$F$88)*($G$93-$G$88)/($F$93-$F$88)</f>
        <v>272.60000000000002</v>
      </c>
      <c r="H90" s="19">
        <f t="shared" si="26"/>
        <v>246.64848000000001</v>
      </c>
      <c r="I90" s="19">
        <f t="shared" si="27"/>
        <v>59.867700517050096</v>
      </c>
      <c r="J90" s="19">
        <f t="shared" si="28"/>
        <v>533.84901440052897</v>
      </c>
      <c r="K90" s="20">
        <f t="shared" si="32"/>
        <v>88</v>
      </c>
      <c r="L90" s="36"/>
    </row>
    <row r="91" spans="1:12" x14ac:dyDescent="0.35">
      <c r="A91" s="15">
        <v>89</v>
      </c>
      <c r="B91" s="15">
        <f t="shared" si="29"/>
        <v>89</v>
      </c>
      <c r="C91" s="16">
        <f t="shared" si="24"/>
        <v>79.138800000000003</v>
      </c>
      <c r="D91" s="16">
        <f t="shared" si="30"/>
        <v>21.926483794395324</v>
      </c>
      <c r="E91" s="16">
        <f t="shared" si="25"/>
        <v>176.02203594190519</v>
      </c>
      <c r="F91" s="17">
        <f t="shared" si="18"/>
        <v>83</v>
      </c>
      <c r="G91" s="44">
        <f t="shared" si="36"/>
        <v>278.39999999999998</v>
      </c>
      <c r="H91" s="19">
        <f t="shared" si="26"/>
        <v>251.89631999999997</v>
      </c>
      <c r="I91" s="19">
        <f t="shared" si="27"/>
        <v>60.991830479199145</v>
      </c>
      <c r="J91" s="19">
        <f t="shared" si="28"/>
        <v>544.94686208460519</v>
      </c>
      <c r="K91" s="20">
        <f t="shared" si="32"/>
        <v>89</v>
      </c>
      <c r="L91" s="36"/>
    </row>
    <row r="92" spans="1:12" x14ac:dyDescent="0.35">
      <c r="A92" s="15">
        <v>90</v>
      </c>
      <c r="B92" s="15">
        <f t="shared" si="29"/>
        <v>90</v>
      </c>
      <c r="C92" s="16">
        <f t="shared" si="24"/>
        <v>80.027999999999992</v>
      </c>
      <c r="D92" s="16">
        <f t="shared" si="30"/>
        <v>22.144030134787155</v>
      </c>
      <c r="E92" s="16">
        <f t="shared" si="25"/>
        <v>177.94961915142096</v>
      </c>
      <c r="F92" s="17">
        <f t="shared" si="18"/>
        <v>84</v>
      </c>
      <c r="G92" s="44">
        <f t="shared" si="36"/>
        <v>284.2</v>
      </c>
      <c r="H92" s="19">
        <f t="shared" si="26"/>
        <v>257.14415999999994</v>
      </c>
      <c r="I92" s="19">
        <f t="shared" si="27"/>
        <v>62.113237520609751</v>
      </c>
      <c r="J92" s="19">
        <f t="shared" si="28"/>
        <v>556.03996734839518</v>
      </c>
      <c r="K92" s="20">
        <f t="shared" si="32"/>
        <v>90</v>
      </c>
      <c r="L92" s="36"/>
    </row>
    <row r="93" spans="1:12" x14ac:dyDescent="0.35">
      <c r="A93" s="15">
        <v>91</v>
      </c>
      <c r="B93" s="15">
        <f t="shared" si="29"/>
        <v>91</v>
      </c>
      <c r="C93" s="16">
        <f t="shared" si="24"/>
        <v>80.917199999999994</v>
      </c>
      <c r="D93" s="16">
        <f t="shared" si="30"/>
        <v>22.361295290994434</v>
      </c>
      <c r="E93" s="16">
        <f t="shared" si="25"/>
        <v>179.87671263181528</v>
      </c>
      <c r="F93" s="17">
        <f t="shared" si="18"/>
        <v>85</v>
      </c>
      <c r="G93" s="44">
        <f>248+21+21</f>
        <v>290</v>
      </c>
      <c r="H93" s="19">
        <f t="shared" si="26"/>
        <v>262.392</v>
      </c>
      <c r="I93" s="19">
        <f t="shared" si="27"/>
        <v>63.231983614474942</v>
      </c>
      <c r="J93" s="19">
        <f t="shared" si="28"/>
        <v>567.12843812854373</v>
      </c>
      <c r="K93" s="20">
        <f t="shared" si="32"/>
        <v>91</v>
      </c>
      <c r="L93" s="36"/>
    </row>
    <row r="94" spans="1:12" x14ac:dyDescent="0.35">
      <c r="A94" s="15">
        <v>92</v>
      </c>
      <c r="B94" s="15">
        <f t="shared" si="29"/>
        <v>92</v>
      </c>
      <c r="C94" s="16">
        <f t="shared" si="24"/>
        <v>81.806399999999996</v>
      </c>
      <c r="D94" s="16">
        <f t="shared" si="30"/>
        <v>22.578282710556032</v>
      </c>
      <c r="E94" s="16">
        <f t="shared" si="25"/>
        <v>181.80332238755173</v>
      </c>
      <c r="F94" s="17">
        <v>85</v>
      </c>
      <c r="G94" s="44">
        <v>248</v>
      </c>
      <c r="H94" s="19">
        <f t="shared" si="26"/>
        <v>224.39039999999997</v>
      </c>
      <c r="I94" s="19">
        <f t="shared" si="27"/>
        <v>55.068017311015858</v>
      </c>
      <c r="J94" s="19">
        <f t="shared" si="28"/>
        <v>486.72341015001916</v>
      </c>
      <c r="K94" s="20">
        <f t="shared" si="32"/>
        <v>92</v>
      </c>
      <c r="L94" s="36"/>
    </row>
    <row r="95" spans="1:12" x14ac:dyDescent="0.35">
      <c r="A95" s="15">
        <v>93</v>
      </c>
      <c r="B95" s="15">
        <f t="shared" si="29"/>
        <v>93</v>
      </c>
      <c r="C95" s="16">
        <f t="shared" si="24"/>
        <v>82.695599999999999</v>
      </c>
      <c r="D95" s="16">
        <f t="shared" si="30"/>
        <v>22.794995761747849</v>
      </c>
      <c r="E95" s="16">
        <f t="shared" si="25"/>
        <v>183.72945428504417</v>
      </c>
      <c r="F95" s="17">
        <f t="shared" si="18"/>
        <v>86</v>
      </c>
      <c r="G95" s="44">
        <f>$G$94+(F95-$F$94)*($G$99-$G$94)/($F$99-$F$94)</f>
        <v>253.4</v>
      </c>
      <c r="H95" s="19">
        <f>G95*1.56*$W$1</f>
        <v>229.27632</v>
      </c>
      <c r="I95" s="19">
        <f t="shared" si="27"/>
        <v>56.126176307517476</v>
      </c>
      <c r="J95" s="19">
        <f t="shared" si="28"/>
        <v>497.07601440225955</v>
      </c>
      <c r="K95" s="20">
        <f t="shared" si="32"/>
        <v>93</v>
      </c>
      <c r="L95" s="36"/>
    </row>
    <row r="96" spans="1:12" x14ac:dyDescent="0.35">
      <c r="A96" s="15">
        <v>94</v>
      </c>
      <c r="B96" s="15">
        <f t="shared" si="29"/>
        <v>94</v>
      </c>
      <c r="C96" s="16">
        <f t="shared" si="24"/>
        <v>83.584800000000001</v>
      </c>
      <c r="D96" s="16">
        <f t="shared" si="30"/>
        <v>23.011437736237617</v>
      </c>
      <c r="E96" s="16">
        <f t="shared" si="25"/>
        <v>185.65511405728049</v>
      </c>
      <c r="F96" s="17">
        <f t="shared" si="18"/>
        <v>87</v>
      </c>
      <c r="G96" s="44">
        <f t="shared" ref="G96:G98" si="37">$G$94+(F96-$F$94)*($G$99-$G$94)/($F$99-$F$94)</f>
        <v>258.8</v>
      </c>
      <c r="H96" s="19">
        <f>G96*1.56*$W$1</f>
        <v>234.16224</v>
      </c>
      <c r="I96" s="19">
        <f t="shared" si="27"/>
        <v>57.181713578143096</v>
      </c>
      <c r="J96" s="19">
        <f t="shared" si="28"/>
        <v>507.42405248193251</v>
      </c>
      <c r="K96" s="20">
        <f t="shared" si="32"/>
        <v>94</v>
      </c>
      <c r="L96" s="36"/>
    </row>
    <row r="97" spans="1:12" x14ac:dyDescent="0.35">
      <c r="A97" s="15">
        <v>95</v>
      </c>
      <c r="B97" s="15">
        <f t="shared" si="29"/>
        <v>95</v>
      </c>
      <c r="C97" s="16">
        <f t="shared" si="24"/>
        <v>84.474000000000004</v>
      </c>
      <c r="D97" s="16">
        <f t="shared" si="30"/>
        <v>23.22761185162317</v>
      </c>
      <c r="E97" s="16">
        <f t="shared" si="25"/>
        <v>187.5803073082437</v>
      </c>
      <c r="F97" s="17">
        <f t="shared" si="18"/>
        <v>88</v>
      </c>
      <c r="G97" s="44">
        <f t="shared" si="37"/>
        <v>264.2</v>
      </c>
      <c r="H97" s="19">
        <f t="shared" si="26"/>
        <v>239.04815999999997</v>
      </c>
      <c r="I97" s="19">
        <f t="shared" si="27"/>
        <v>58.234690128947292</v>
      </c>
      <c r="J97" s="19">
        <f t="shared" si="28"/>
        <v>517.76763064124975</v>
      </c>
      <c r="K97" s="20">
        <f t="shared" si="32"/>
        <v>95</v>
      </c>
      <c r="L97" s="36"/>
    </row>
    <row r="98" spans="1:12" x14ac:dyDescent="0.35">
      <c r="A98" s="15">
        <v>96</v>
      </c>
      <c r="B98" s="15">
        <f t="shared" si="29"/>
        <v>96</v>
      </c>
      <c r="C98" s="16">
        <f t="shared" si="24"/>
        <v>85.363200000000006</v>
      </c>
      <c r="D98" s="16">
        <f t="shared" si="30"/>
        <v>23.443521253861029</v>
      </c>
      <c r="E98" s="16">
        <f t="shared" si="25"/>
        <v>189.50503951714131</v>
      </c>
      <c r="F98" s="17">
        <f t="shared" si="18"/>
        <v>89</v>
      </c>
      <c r="G98" s="44">
        <f t="shared" si="37"/>
        <v>269.60000000000002</v>
      </c>
      <c r="H98" s="19">
        <f t="shared" si="26"/>
        <v>243.93407999999999</v>
      </c>
      <c r="I98" s="19">
        <f t="shared" si="27"/>
        <v>59.285164329617594</v>
      </c>
      <c r="J98" s="19">
        <f t="shared" si="28"/>
        <v>528.10685054075066</v>
      </c>
      <c r="K98" s="20">
        <f t="shared" si="32"/>
        <v>96</v>
      </c>
      <c r="L98" s="36"/>
    </row>
    <row r="99" spans="1:12" x14ac:dyDescent="0.35">
      <c r="A99" s="15">
        <v>97</v>
      </c>
      <c r="B99" s="15">
        <f t="shared" si="29"/>
        <v>97</v>
      </c>
      <c r="C99" s="16">
        <f t="shared" si="24"/>
        <v>86.252399999999994</v>
      </c>
      <c r="D99" s="16">
        <f t="shared" si="30"/>
        <v>23.659169019590802</v>
      </c>
      <c r="E99" s="16">
        <f t="shared" si="25"/>
        <v>191.42931604245396</v>
      </c>
      <c r="F99" s="17">
        <f t="shared" si="18"/>
        <v>90</v>
      </c>
      <c r="G99" s="44">
        <f>254+21</f>
        <v>275</v>
      </c>
      <c r="H99" s="19">
        <f t="shared" si="26"/>
        <v>248.82</v>
      </c>
      <c r="I99" s="19">
        <f t="shared" si="27"/>
        <v>60.333192077890068</v>
      </c>
      <c r="J99" s="19">
        <f t="shared" si="28"/>
        <v>538.44180953565854</v>
      </c>
      <c r="K99" s="20">
        <f t="shared" si="32"/>
        <v>97</v>
      </c>
      <c r="L99" s="36"/>
    </row>
    <row r="100" spans="1:12" x14ac:dyDescent="0.35">
      <c r="A100" s="15">
        <v>98</v>
      </c>
      <c r="B100" s="15">
        <f t="shared" si="29"/>
        <v>98</v>
      </c>
      <c r="C100" s="16">
        <f t="shared" si="24"/>
        <v>87.141599999999997</v>
      </c>
      <c r="D100" s="16">
        <f t="shared" si="30"/>
        <v>23.874558158360944</v>
      </c>
      <c r="E100" s="16">
        <f t="shared" si="25"/>
        <v>193.35314212581196</v>
      </c>
      <c r="F100" s="17">
        <f t="shared" ref="F100:F163" si="38">F99+1</f>
        <v>91</v>
      </c>
      <c r="G100" s="44">
        <f>$G$99+(F100-$F$99)*($G$104-$G$99)/($F$104-$F$99)</f>
        <v>280</v>
      </c>
      <c r="H100" s="19">
        <f t="shared" si="26"/>
        <v>253.34399999999999</v>
      </c>
      <c r="I100" s="19">
        <f t="shared" si="27"/>
        <v>61.301453431926305</v>
      </c>
      <c r="J100" s="19">
        <f t="shared" si="28"/>
        <v>548.00749806060492</v>
      </c>
      <c r="K100" s="20">
        <f t="shared" si="32"/>
        <v>98</v>
      </c>
      <c r="L100" s="36"/>
    </row>
    <row r="101" spans="1:12" x14ac:dyDescent="0.35">
      <c r="A101" s="15">
        <v>99</v>
      </c>
      <c r="B101" s="15">
        <f t="shared" si="29"/>
        <v>99</v>
      </c>
      <c r="C101" s="16">
        <f t="shared" si="24"/>
        <v>88.030799999999985</v>
      </c>
      <c r="D101" s="16">
        <f t="shared" si="30"/>
        <v>24.089691614761261</v>
      </c>
      <c r="E101" s="16">
        <f t="shared" si="25"/>
        <v>195.27652289570918</v>
      </c>
      <c r="F101" s="17">
        <f t="shared" si="38"/>
        <v>92</v>
      </c>
      <c r="G101" s="44">
        <f t="shared" ref="G101:G103" si="39">$G$99+(F101-$F$99)*($G$104-$G$99)/($F$104-$F$99)</f>
        <v>285</v>
      </c>
      <c r="H101" s="19">
        <f t="shared" si="26"/>
        <v>257.86799999999999</v>
      </c>
      <c r="I101" s="19">
        <f t="shared" si="27"/>
        <v>62.267704162827528</v>
      </c>
      <c r="J101" s="19">
        <f t="shared" si="28"/>
        <v>557.56968475025803</v>
      </c>
      <c r="K101" s="20">
        <f t="shared" si="32"/>
        <v>99</v>
      </c>
      <c r="L101" s="36"/>
    </row>
    <row r="102" spans="1:12" x14ac:dyDescent="0.35">
      <c r="A102" s="15">
        <v>100</v>
      </c>
      <c r="B102" s="15">
        <f t="shared" si="29"/>
        <v>100</v>
      </c>
      <c r="C102" s="16">
        <f t="shared" si="24"/>
        <v>88.919999999999987</v>
      </c>
      <c r="D102" s="16">
        <f t="shared" si="30"/>
        <v>24.30457227046648</v>
      </c>
      <c r="E102" s="16">
        <f t="shared" si="25"/>
        <v>197.19946337106239</v>
      </c>
      <c r="F102" s="17">
        <f t="shared" si="38"/>
        <v>93</v>
      </c>
      <c r="G102" s="44">
        <f t="shared" si="39"/>
        <v>290</v>
      </c>
      <c r="H102" s="19">
        <f t="shared" si="26"/>
        <v>262.392</v>
      </c>
      <c r="I102" s="19">
        <f t="shared" si="27"/>
        <v>63.231983614474942</v>
      </c>
      <c r="J102" s="19">
        <f t="shared" si="28"/>
        <v>567.12843812854373</v>
      </c>
      <c r="K102" s="20">
        <f t="shared" si="32"/>
        <v>100</v>
      </c>
      <c r="L102" s="36"/>
    </row>
    <row r="103" spans="1:12" x14ac:dyDescent="0.35">
      <c r="A103" s="15">
        <v>101</v>
      </c>
      <c r="B103" s="15">
        <f t="shared" si="29"/>
        <v>101</v>
      </c>
      <c r="C103" s="16">
        <f t="shared" si="24"/>
        <v>89.80919999999999</v>
      </c>
      <c r="D103" s="16">
        <f t="shared" si="30"/>
        <v>24.519202946196106</v>
      </c>
      <c r="E103" s="16">
        <f t="shared" si="25"/>
        <v>199.12196846462484</v>
      </c>
      <c r="F103" s="17">
        <f t="shared" si="38"/>
        <v>94</v>
      </c>
      <c r="G103" s="44">
        <f t="shared" si="39"/>
        <v>295</v>
      </c>
      <c r="H103" s="19">
        <f t="shared" si="26"/>
        <v>266.916</v>
      </c>
      <c r="I103" s="19">
        <f t="shared" si="27"/>
        <v>64.194329696332176</v>
      </c>
      <c r="J103" s="19">
        <f t="shared" si="28"/>
        <v>576.68382422111188</v>
      </c>
      <c r="K103" s="20">
        <f t="shared" si="32"/>
        <v>101</v>
      </c>
      <c r="L103" s="36"/>
    </row>
    <row r="104" spans="1:12" x14ac:dyDescent="0.35">
      <c r="A104" s="15">
        <v>102</v>
      </c>
      <c r="B104" s="15">
        <f t="shared" si="29"/>
        <v>102</v>
      </c>
      <c r="C104" s="16">
        <f t="shared" si="24"/>
        <v>90.698399999999992</v>
      </c>
      <c r="D104" s="16">
        <f t="shared" si="30"/>
        <v>24.733586403594185</v>
      </c>
      <c r="E104" s="16">
        <f t="shared" si="25"/>
        <v>201.04404298625983</v>
      </c>
      <c r="F104" s="17">
        <f t="shared" si="38"/>
        <v>95</v>
      </c>
      <c r="G104" s="44">
        <f>258+21+21</f>
        <v>300</v>
      </c>
      <c r="H104" s="19">
        <f t="shared" si="26"/>
        <v>271.44</v>
      </c>
      <c r="I104" s="19">
        <f t="shared" si="27"/>
        <v>65.154778959151173</v>
      </c>
      <c r="J104" s="19">
        <f t="shared" si="28"/>
        <v>586.23590668718828</v>
      </c>
      <c r="K104" s="20">
        <f t="shared" si="32"/>
        <v>102</v>
      </c>
      <c r="L104" s="36"/>
    </row>
    <row r="105" spans="1:12" x14ac:dyDescent="0.35">
      <c r="A105" s="15">
        <v>103</v>
      </c>
      <c r="B105" s="15">
        <f t="shared" si="29"/>
        <v>103</v>
      </c>
      <c r="C105" s="16">
        <f t="shared" si="24"/>
        <v>91.587599999999995</v>
      </c>
      <c r="D105" s="16">
        <f t="shared" si="30"/>
        <v>24.947725347033259</v>
      </c>
      <c r="E105" s="16">
        <f t="shared" si="25"/>
        <v>202.96569164608289</v>
      </c>
      <c r="F105" s="17">
        <v>95</v>
      </c>
      <c r="G105" s="44">
        <v>258</v>
      </c>
      <c r="H105" s="19">
        <f t="shared" si="26"/>
        <v>233.4384</v>
      </c>
      <c r="I105" s="19">
        <f t="shared" si="27"/>
        <v>57.025500710931624</v>
      </c>
      <c r="J105" s="19">
        <f t="shared" si="28"/>
        <v>505.89129373820583</v>
      </c>
      <c r="K105" s="20">
        <f t="shared" si="32"/>
        <v>103</v>
      </c>
      <c r="L105" s="36"/>
    </row>
    <row r="106" spans="1:12" x14ac:dyDescent="0.35">
      <c r="A106" s="15">
        <v>104</v>
      </c>
      <c r="B106" s="15">
        <f t="shared" si="29"/>
        <v>104</v>
      </c>
      <c r="C106" s="16">
        <f t="shared" si="24"/>
        <v>92.476799999999997</v>
      </c>
      <c r="D106" s="16">
        <f t="shared" si="30"/>
        <v>25.161622425346422</v>
      </c>
      <c r="E106" s="16">
        <f t="shared" si="25"/>
        <v>204.88691905747837</v>
      </c>
      <c r="F106" s="17">
        <f t="shared" si="38"/>
        <v>96</v>
      </c>
      <c r="G106" s="44">
        <f>$G$105+(F106-$F$105)*($G$110-$G$105)/($F$110-$F$105)</f>
        <v>262.8</v>
      </c>
      <c r="H106" s="19">
        <f t="shared" si="26"/>
        <v>237.78144</v>
      </c>
      <c r="I106" s="19">
        <f t="shared" si="27"/>
        <v>57.96193879691095</v>
      </c>
      <c r="J106" s="19">
        <f t="shared" si="28"/>
        <v>515.08638473795327</v>
      </c>
      <c r="K106" s="20">
        <f t="shared" si="32"/>
        <v>104</v>
      </c>
      <c r="L106" s="36"/>
    </row>
    <row r="107" spans="1:12" x14ac:dyDescent="0.35">
      <c r="A107" s="15">
        <v>105</v>
      </c>
      <c r="B107" s="15">
        <f t="shared" si="29"/>
        <v>105</v>
      </c>
      <c r="C107" s="16">
        <f t="shared" si="24"/>
        <v>93.366</v>
      </c>
      <c r="D107" s="16">
        <f t="shared" si="30"/>
        <v>25.375280233490678</v>
      </c>
      <c r="E107" s="16">
        <f t="shared" si="25"/>
        <v>206.80772973999626</v>
      </c>
      <c r="F107" s="17">
        <f t="shared" si="38"/>
        <v>97</v>
      </c>
      <c r="G107" s="44">
        <f t="shared" ref="G107:G109" si="40">$G$105+(F107-$F$105)*($G$110-$G$105)/($F$110-$F$105)</f>
        <v>267.60000000000002</v>
      </c>
      <c r="H107" s="19">
        <f t="shared" si="26"/>
        <v>242.12448000000003</v>
      </c>
      <c r="I107" s="19">
        <f t="shared" si="27"/>
        <v>58.896387987806008</v>
      </c>
      <c r="J107" s="19">
        <f t="shared" si="28"/>
        <v>524.27801174542878</v>
      </c>
      <c r="K107" s="20">
        <f t="shared" si="32"/>
        <v>105</v>
      </c>
      <c r="L107" s="36"/>
    </row>
    <row r="108" spans="1:12" x14ac:dyDescent="0.35">
      <c r="A108" s="15">
        <v>106</v>
      </c>
      <c r="B108" s="15">
        <f t="shared" si="29"/>
        <v>106</v>
      </c>
      <c r="C108" s="16">
        <f t="shared" si="24"/>
        <v>94.255199999999988</v>
      </c>
      <c r="D108" s="16">
        <f t="shared" si="30"/>
        <v>25.588701314145247</v>
      </c>
      <c r="E108" s="16">
        <f t="shared" si="25"/>
        <v>208.72812812213627</v>
      </c>
      <c r="F108" s="17">
        <f t="shared" si="38"/>
        <v>98</v>
      </c>
      <c r="G108" s="44">
        <f t="shared" si="40"/>
        <v>272.39999999999998</v>
      </c>
      <c r="H108" s="19">
        <f t="shared" si="26"/>
        <v>246.46751999999995</v>
      </c>
      <c r="I108" s="19">
        <f t="shared" si="27"/>
        <v>59.828888074216977</v>
      </c>
      <c r="J108" s="19">
        <f t="shared" si="28"/>
        <v>533.46624406259446</v>
      </c>
      <c r="K108" s="20">
        <f t="shared" si="32"/>
        <v>106</v>
      </c>
      <c r="L108" s="36"/>
    </row>
    <row r="109" spans="1:12" x14ac:dyDescent="0.35">
      <c r="A109" s="15">
        <v>107</v>
      </c>
      <c r="B109" s="15">
        <f t="shared" si="29"/>
        <v>107</v>
      </c>
      <c r="C109" s="16">
        <f t="shared" si="24"/>
        <v>95.14439999999999</v>
      </c>
      <c r="D109" s="16">
        <f t="shared" si="30"/>
        <v>25.801888159247703</v>
      </c>
      <c r="E109" s="16">
        <f t="shared" si="25"/>
        <v>210.64811854402308</v>
      </c>
      <c r="F109" s="17">
        <f t="shared" si="38"/>
        <v>99</v>
      </c>
      <c r="G109" s="44">
        <f t="shared" si="40"/>
        <v>277.2</v>
      </c>
      <c r="H109" s="19">
        <f t="shared" si="26"/>
        <v>250.81055999999998</v>
      </c>
      <c r="I109" s="19">
        <f t="shared" si="27"/>
        <v>60.75947736410869</v>
      </c>
      <c r="J109" s="19">
        <f t="shared" si="28"/>
        <v>542.65114840915601</v>
      </c>
      <c r="K109" s="20">
        <f t="shared" si="32"/>
        <v>107</v>
      </c>
      <c r="L109" s="36"/>
    </row>
    <row r="110" spans="1:12" x14ac:dyDescent="0.35">
      <c r="A110" s="15">
        <v>108</v>
      </c>
      <c r="B110" s="15">
        <f t="shared" si="29"/>
        <v>108</v>
      </c>
      <c r="C110" s="16">
        <f t="shared" si="24"/>
        <v>96.033599999999993</v>
      </c>
      <c r="D110" s="16">
        <f t="shared" si="30"/>
        <v>26.014843211471206</v>
      </c>
      <c r="E110" s="16">
        <f t="shared" si="25"/>
        <v>212.56770525997899</v>
      </c>
      <c r="F110" s="17">
        <f t="shared" si="38"/>
        <v>100</v>
      </c>
      <c r="G110" s="44">
        <f>261+21</f>
        <v>282</v>
      </c>
      <c r="H110" s="19">
        <f t="shared" si="26"/>
        <v>255.15359999999998</v>
      </c>
      <c r="I110" s="19">
        <f t="shared" si="27"/>
        <v>61.688192762754426</v>
      </c>
      <c r="J110" s="19">
        <f t="shared" si="28"/>
        <v>551.83278906179714</v>
      </c>
      <c r="K110" s="20">
        <f t="shared" si="32"/>
        <v>108</v>
      </c>
      <c r="L110" s="36"/>
    </row>
    <row r="111" spans="1:12" x14ac:dyDescent="0.35">
      <c r="A111" s="15">
        <v>109</v>
      </c>
      <c r="B111" s="15">
        <f t="shared" si="29"/>
        <v>109</v>
      </c>
      <c r="C111" s="16">
        <f t="shared" si="24"/>
        <v>96.922799999999995</v>
      </c>
      <c r="D111" s="16">
        <f t="shared" si="30"/>
        <v>26.227568865645353</v>
      </c>
      <c r="E111" s="16">
        <f t="shared" si="25"/>
        <v>214.48689244099899</v>
      </c>
      <c r="F111" s="17">
        <f t="shared" si="38"/>
        <v>101</v>
      </c>
      <c r="G111" s="44">
        <f>$G$110+(F111-$F$110)*($G$115-$G$110)/($F$115-$F$110)</f>
        <v>286.60000000000002</v>
      </c>
      <c r="H111" s="19">
        <f t="shared" si="26"/>
        <v>259.31568000000004</v>
      </c>
      <c r="I111" s="19">
        <f t="shared" si="27"/>
        <v>62.576486219623845</v>
      </c>
      <c r="J111" s="19">
        <f t="shared" si="28"/>
        <v>560.62885616584492</v>
      </c>
      <c r="K111" s="20">
        <f t="shared" si="32"/>
        <v>109</v>
      </c>
      <c r="L111" s="36"/>
    </row>
    <row r="112" spans="1:12" x14ac:dyDescent="0.35">
      <c r="A112" s="15">
        <v>110</v>
      </c>
      <c r="B112" s="15">
        <f t="shared" si="29"/>
        <v>110</v>
      </c>
      <c r="C112" s="16">
        <f t="shared" si="24"/>
        <v>97.811999999999998</v>
      </c>
      <c r="D112" s="16">
        <f t="shared" si="30"/>
        <v>26.44006747012326</v>
      </c>
      <c r="E112" s="16">
        <f t="shared" si="25"/>
        <v>216.40568417713132</v>
      </c>
      <c r="F112" s="17">
        <f t="shared" si="38"/>
        <v>102</v>
      </c>
      <c r="G112" s="44">
        <f t="shared" ref="G112:G114" si="41">$G$110+(F112-$F$110)*($G$115-$G$110)/($F$115-$F$110)</f>
        <v>291.2</v>
      </c>
      <c r="H112" s="19">
        <f t="shared" si="26"/>
        <v>263.47775999999999</v>
      </c>
      <c r="I112" s="19">
        <f t="shared" si="27"/>
        <v>63.46312159763346</v>
      </c>
      <c r="J112" s="19">
        <f t="shared" si="28"/>
        <v>569.42203544921153</v>
      </c>
      <c r="K112" s="20">
        <f t="shared" si="32"/>
        <v>110</v>
      </c>
      <c r="L112" s="36"/>
    </row>
    <row r="113" spans="1:12" x14ac:dyDescent="0.35">
      <c r="A113" s="15">
        <v>111</v>
      </c>
      <c r="B113" s="15">
        <f t="shared" si="29"/>
        <v>111</v>
      </c>
      <c r="C113" s="16">
        <f t="shared" si="24"/>
        <v>98.7012</v>
      </c>
      <c r="D113" s="16">
        <f t="shared" si="30"/>
        <v>26.652341328097943</v>
      </c>
      <c r="E113" s="16">
        <f t="shared" si="25"/>
        <v>218.32408447977059</v>
      </c>
      <c r="F113" s="17">
        <f t="shared" si="38"/>
        <v>103</v>
      </c>
      <c r="G113" s="44">
        <f t="shared" si="41"/>
        <v>295.8</v>
      </c>
      <c r="H113" s="19">
        <f t="shared" si="26"/>
        <v>267.63983999999999</v>
      </c>
      <c r="I113" s="19">
        <f t="shared" si="27"/>
        <v>64.348128113313663</v>
      </c>
      <c r="J113" s="19">
        <f t="shared" si="28"/>
        <v>578.21237779735463</v>
      </c>
      <c r="K113" s="20">
        <f t="shared" si="32"/>
        <v>111</v>
      </c>
      <c r="L113" s="36"/>
    </row>
    <row r="114" spans="1:12" x14ac:dyDescent="0.35">
      <c r="A114" s="15">
        <v>112</v>
      </c>
      <c r="B114" s="15">
        <f t="shared" si="29"/>
        <v>112</v>
      </c>
      <c r="C114" s="16">
        <f t="shared" si="24"/>
        <v>99.590400000000002</v>
      </c>
      <c r="D114" s="16">
        <f t="shared" si="30"/>
        <v>26.864392698869324</v>
      </c>
      <c r="E114" s="16">
        <f t="shared" si="25"/>
        <v>220.24209728386407</v>
      </c>
      <c r="F114" s="17">
        <f t="shared" si="38"/>
        <v>104</v>
      </c>
      <c r="G114" s="44">
        <f t="shared" si="41"/>
        <v>300.39999999999998</v>
      </c>
      <c r="H114" s="19">
        <f t="shared" si="26"/>
        <v>271.80191999999994</v>
      </c>
      <c r="I114" s="19">
        <f t="shared" si="27"/>
        <v>65.231534022367498</v>
      </c>
      <c r="J114" s="19">
        <f t="shared" si="28"/>
        <v>586.99993242228993</v>
      </c>
      <c r="K114" s="20">
        <f t="shared" si="32"/>
        <v>112</v>
      </c>
      <c r="L114" s="36"/>
    </row>
    <row r="115" spans="1:12" x14ac:dyDescent="0.35">
      <c r="A115" s="15">
        <v>113</v>
      </c>
      <c r="B115" s="15">
        <f t="shared" si="29"/>
        <v>113</v>
      </c>
      <c r="C115" s="16">
        <f t="shared" si="24"/>
        <v>100.4796</v>
      </c>
      <c r="D115" s="16">
        <f t="shared" si="30"/>
        <v>27.076223799065229</v>
      </c>
      <c r="E115" s="16">
        <f t="shared" si="25"/>
        <v>222.15972645003862</v>
      </c>
      <c r="F115" s="17">
        <f t="shared" si="38"/>
        <v>105</v>
      </c>
      <c r="G115" s="44">
        <f>264+21+20</f>
        <v>305</v>
      </c>
      <c r="H115" s="19">
        <f t="shared" si="26"/>
        <v>275.964</v>
      </c>
      <c r="I115" s="19">
        <f t="shared" si="27"/>
        <v>66.113366665488911</v>
      </c>
      <c r="J115" s="19">
        <f t="shared" si="28"/>
        <v>595.7847469423931</v>
      </c>
      <c r="K115" s="20">
        <f t="shared" si="32"/>
        <v>113</v>
      </c>
      <c r="L115" s="36"/>
    </row>
    <row r="116" spans="1:12" x14ac:dyDescent="0.35">
      <c r="A116" s="15">
        <v>114</v>
      </c>
      <c r="B116" s="15">
        <f t="shared" si="29"/>
        <v>114</v>
      </c>
      <c r="C116" s="16">
        <f t="shared" si="24"/>
        <v>101.36879999999999</v>
      </c>
      <c r="D116" s="16">
        <f t="shared" si="30"/>
        <v>27.287836803817452</v>
      </c>
      <c r="E116" s="16">
        <f t="shared" si="25"/>
        <v>224.0769757666487</v>
      </c>
      <c r="F116" s="17">
        <v>105</v>
      </c>
      <c r="G116" s="44">
        <v>264</v>
      </c>
      <c r="H116" s="19">
        <f t="shared" si="26"/>
        <v>238.8672</v>
      </c>
      <c r="I116" s="19">
        <f t="shared" si="27"/>
        <v>58.195735973104156</v>
      </c>
      <c r="J116" s="19">
        <f t="shared" si="28"/>
        <v>517.38461348648968</v>
      </c>
      <c r="K116" s="20">
        <f t="shared" si="32"/>
        <v>114</v>
      </c>
      <c r="L116" s="36"/>
    </row>
    <row r="117" spans="1:12" x14ac:dyDescent="0.35">
      <c r="A117" s="15">
        <v>115</v>
      </c>
      <c r="B117" s="15">
        <f t="shared" si="29"/>
        <v>115</v>
      </c>
      <c r="C117" s="16">
        <f t="shared" si="24"/>
        <v>102.258</v>
      </c>
      <c r="D117" s="16">
        <f t="shared" si="30"/>
        <v>27.499233847895859</v>
      </c>
      <c r="E117" s="16">
        <f t="shared" si="25"/>
        <v>225.99384895175194</v>
      </c>
      <c r="F117" s="17">
        <f t="shared" si="38"/>
        <v>106</v>
      </c>
      <c r="G117" s="44">
        <f>$G$116+(F117-$F$116)*($G$121-$G$116)/($F$121-$F$116)</f>
        <v>268.2</v>
      </c>
      <c r="H117" s="19">
        <f t="shared" si="26"/>
        <v>242.66735999999997</v>
      </c>
      <c r="I117" s="19">
        <f t="shared" si="27"/>
        <v>59.013056290731797</v>
      </c>
      <c r="J117" s="19">
        <f t="shared" si="28"/>
        <v>525.42672503969118</v>
      </c>
      <c r="K117" s="20">
        <f t="shared" si="32"/>
        <v>115</v>
      </c>
      <c r="L117" s="36"/>
    </row>
    <row r="118" spans="1:12" x14ac:dyDescent="0.35">
      <c r="A118" s="15">
        <v>116</v>
      </c>
      <c r="B118" s="15">
        <f t="shared" si="29"/>
        <v>116</v>
      </c>
      <c r="C118" s="16">
        <f t="shared" si="24"/>
        <v>103.14719999999998</v>
      </c>
      <c r="D118" s="16">
        <f t="shared" si="30"/>
        <v>27.710417026801451</v>
      </c>
      <c r="E118" s="16">
        <f t="shared" si="25"/>
        <v>227.91034965501251</v>
      </c>
      <c r="F118" s="17">
        <f t="shared" si="38"/>
        <v>107</v>
      </c>
      <c r="G118" s="44">
        <f t="shared" ref="G118:G120" si="42">$G$116+(F118-$F$116)*($G$121-$G$116)/($F$121-$F$116)</f>
        <v>272.39999999999998</v>
      </c>
      <c r="H118" s="19">
        <f t="shared" si="26"/>
        <v>246.46751999999995</v>
      </c>
      <c r="I118" s="19">
        <f t="shared" si="27"/>
        <v>59.828888074216977</v>
      </c>
      <c r="J118" s="19">
        <f t="shared" si="28"/>
        <v>533.46624406259446</v>
      </c>
      <c r="K118" s="20">
        <f t="shared" si="32"/>
        <v>116</v>
      </c>
      <c r="L118" s="36"/>
    </row>
    <row r="119" spans="1:12" x14ac:dyDescent="0.35">
      <c r="A119" s="15">
        <v>117</v>
      </c>
      <c r="B119" s="15">
        <f t="shared" si="29"/>
        <v>117</v>
      </c>
      <c r="C119" s="16">
        <f t="shared" si="24"/>
        <v>104.0364</v>
      </c>
      <c r="D119" s="16">
        <f t="shared" si="30"/>
        <v>27.921388397820998</v>
      </c>
      <c r="E119" s="16">
        <f t="shared" si="25"/>
        <v>229.8264814595382</v>
      </c>
      <c r="F119" s="17">
        <f t="shared" si="38"/>
        <v>108</v>
      </c>
      <c r="G119" s="44">
        <f t="shared" si="42"/>
        <v>276.60000000000002</v>
      </c>
      <c r="H119" s="19">
        <f t="shared" si="26"/>
        <v>250.26768000000001</v>
      </c>
      <c r="I119" s="19">
        <f t="shared" si="27"/>
        <v>60.643256925083442</v>
      </c>
      <c r="J119" s="19">
        <f t="shared" si="28"/>
        <v>541.50321514452025</v>
      </c>
      <c r="K119" s="20">
        <f t="shared" si="32"/>
        <v>117</v>
      </c>
      <c r="L119" s="36"/>
    </row>
    <row r="120" spans="1:12" x14ac:dyDescent="0.35">
      <c r="A120" s="15">
        <v>118</v>
      </c>
      <c r="B120" s="15">
        <f t="shared" si="29"/>
        <v>118</v>
      </c>
      <c r="C120" s="16">
        <f t="shared" si="24"/>
        <v>104.92559999999999</v>
      </c>
      <c r="D120" s="16">
        <f t="shared" si="30"/>
        <v>28.132149981044343</v>
      </c>
      <c r="E120" s="16">
        <f t="shared" si="25"/>
        <v>231.7422478836522</v>
      </c>
      <c r="F120" s="17">
        <f t="shared" si="38"/>
        <v>109</v>
      </c>
      <c r="G120" s="44">
        <f t="shared" si="42"/>
        <v>280.8</v>
      </c>
      <c r="H120" s="19">
        <f t="shared" si="26"/>
        <v>254.06784000000002</v>
      </c>
      <c r="I120" s="19">
        <f t="shared" si="27"/>
        <v>61.456187622750775</v>
      </c>
      <c r="J120" s="19">
        <f t="shared" si="28"/>
        <v>549.53768144295771</v>
      </c>
      <c r="K120" s="20">
        <f t="shared" si="32"/>
        <v>118</v>
      </c>
      <c r="L120" s="36"/>
    </row>
    <row r="121" spans="1:12" x14ac:dyDescent="0.35">
      <c r="A121" s="15">
        <v>119</v>
      </c>
      <c r="B121" s="15">
        <f t="shared" si="29"/>
        <v>119</v>
      </c>
      <c r="C121" s="16">
        <f t="shared" si="24"/>
        <v>105.81480000000001</v>
      </c>
      <c r="D121" s="16">
        <f t="shared" si="30"/>
        <v>28.342703760346488</v>
      </c>
      <c r="E121" s="16">
        <f t="shared" si="25"/>
        <v>233.65765238260346</v>
      </c>
      <c r="F121" s="17">
        <f t="shared" si="38"/>
        <v>110</v>
      </c>
      <c r="G121" s="44">
        <f>266+19</f>
        <v>285</v>
      </c>
      <c r="H121" s="19">
        <f t="shared" si="26"/>
        <v>257.86799999999999</v>
      </c>
      <c r="I121" s="19">
        <f t="shared" si="27"/>
        <v>62.267704162827528</v>
      </c>
      <c r="J121" s="19">
        <f t="shared" si="28"/>
        <v>557.56968475025803</v>
      </c>
      <c r="K121" s="20">
        <f t="shared" si="32"/>
        <v>119</v>
      </c>
      <c r="L121" s="36"/>
    </row>
    <row r="122" spans="1:12" x14ac:dyDescent="0.35">
      <c r="A122" s="15">
        <v>120</v>
      </c>
      <c r="B122" s="15">
        <f t="shared" si="29"/>
        <v>120</v>
      </c>
      <c r="C122" s="16">
        <f t="shared" si="24"/>
        <v>106.70399999999999</v>
      </c>
      <c r="D122" s="16">
        <f t="shared" si="30"/>
        <v>28.55305168433533</v>
      </c>
      <c r="E122" s="16">
        <f t="shared" si="25"/>
        <v>235.57269835021734</v>
      </c>
      <c r="F122" s="17">
        <f t="shared" si="38"/>
        <v>111</v>
      </c>
      <c r="G122" s="44">
        <f>$G$121+(F122-$F$121)*($G$126-$G$121)/($F$126-$F$121)</f>
        <v>288.8</v>
      </c>
      <c r="H122" s="19">
        <f t="shared" si="26"/>
        <v>261.30624</v>
      </c>
      <c r="I122" s="19">
        <f t="shared" si="27"/>
        <v>63.000734275359655</v>
      </c>
      <c r="J122" s="19">
        <f t="shared" si="28"/>
        <v>564.83464686291802</v>
      </c>
      <c r="K122" s="20">
        <f t="shared" si="32"/>
        <v>120</v>
      </c>
      <c r="L122" s="36"/>
    </row>
    <row r="123" spans="1:12" x14ac:dyDescent="0.35">
      <c r="A123" s="15">
        <v>121</v>
      </c>
      <c r="B123" s="15">
        <f t="shared" si="29"/>
        <v>121</v>
      </c>
      <c r="C123" s="16">
        <f t="shared" si="24"/>
        <v>107.5932</v>
      </c>
      <c r="D123" s="16">
        <f t="shared" si="30"/>
        <v>28.763195667267496</v>
      </c>
      <c r="E123" s="16">
        <f t="shared" si="25"/>
        <v>237.48738912049089</v>
      </c>
      <c r="F123" s="17">
        <f t="shared" si="38"/>
        <v>112</v>
      </c>
      <c r="G123" s="44">
        <f t="shared" ref="G123:G125" si="43">$G$121+(F123-$F$121)*($G$126-$G$121)/($F$126-$F$121)</f>
        <v>292.60000000000002</v>
      </c>
      <c r="H123" s="19">
        <f t="shared" si="26"/>
        <v>264.74448000000001</v>
      </c>
      <c r="I123" s="19">
        <f t="shared" si="27"/>
        <v>63.732642519480834</v>
      </c>
      <c r="J123" s="19">
        <f t="shared" si="28"/>
        <v>572.09765505476253</v>
      </c>
      <c r="K123" s="20">
        <f t="shared" si="32"/>
        <v>121</v>
      </c>
      <c r="L123" s="36"/>
    </row>
    <row r="124" spans="1:12" x14ac:dyDescent="0.35">
      <c r="A124" s="15">
        <v>122</v>
      </c>
      <c r="B124" s="15">
        <f t="shared" si="29"/>
        <v>122</v>
      </c>
      <c r="C124" s="16">
        <f t="shared" si="24"/>
        <v>108.4824</v>
      </c>
      <c r="D124" s="16">
        <f t="shared" si="30"/>
        <v>28.973137589932367</v>
      </c>
      <c r="E124" s="16">
        <f t="shared" si="25"/>
        <v>239.40172796913217</v>
      </c>
      <c r="F124" s="17">
        <f t="shared" si="38"/>
        <v>113</v>
      </c>
      <c r="G124" s="44">
        <f t="shared" si="43"/>
        <v>296.39999999999998</v>
      </c>
      <c r="H124" s="19">
        <f t="shared" si="26"/>
        <v>268.18271999999996</v>
      </c>
      <c r="I124" s="19">
        <f t="shared" si="27"/>
        <v>64.463445149457328</v>
      </c>
      <c r="J124" s="19">
        <f t="shared" si="28"/>
        <v>579.35873763530469</v>
      </c>
      <c r="K124" s="20">
        <f t="shared" si="32"/>
        <v>122</v>
      </c>
      <c r="L124" s="36"/>
    </row>
    <row r="125" spans="1:12" x14ac:dyDescent="0.35">
      <c r="A125" s="15">
        <v>123</v>
      </c>
      <c r="B125" s="15">
        <f t="shared" si="29"/>
        <v>123</v>
      </c>
      <c r="C125" s="16">
        <f t="shared" si="24"/>
        <v>109.3716</v>
      </c>
      <c r="D125" s="16">
        <f t="shared" si="30"/>
        <v>29.182879300506716</v>
      </c>
      <c r="E125" s="16">
        <f t="shared" si="25"/>
        <v>241.31571811504921</v>
      </c>
      <c r="F125" s="17">
        <f t="shared" si="38"/>
        <v>114</v>
      </c>
      <c r="G125" s="44">
        <f t="shared" si="43"/>
        <v>300.2</v>
      </c>
      <c r="H125" s="19">
        <f t="shared" si="26"/>
        <v>271.62095999999997</v>
      </c>
      <c r="I125" s="19">
        <f t="shared" si="27"/>
        <v>65.193157978815663</v>
      </c>
      <c r="J125" s="19">
        <f t="shared" si="28"/>
        <v>586.61792214643719</v>
      </c>
      <c r="K125" s="20">
        <f t="shared" si="32"/>
        <v>123</v>
      </c>
      <c r="L125" s="36"/>
    </row>
    <row r="126" spans="1:12" x14ac:dyDescent="0.35">
      <c r="A126" s="15">
        <v>124</v>
      </c>
      <c r="B126" s="15">
        <f t="shared" si="29"/>
        <v>124</v>
      </c>
      <c r="C126" s="16">
        <f t="shared" si="24"/>
        <v>110.26079999999999</v>
      </c>
      <c r="D126" s="16">
        <f t="shared" si="30"/>
        <v>29.392422615380774</v>
      </c>
      <c r="E126" s="16">
        <f t="shared" si="25"/>
        <v>243.22936272178819</v>
      </c>
      <c r="F126" s="17">
        <f t="shared" si="38"/>
        <v>115</v>
      </c>
      <c r="G126" s="44">
        <f>267+19+18</f>
        <v>304</v>
      </c>
      <c r="H126" s="19">
        <f t="shared" si="26"/>
        <v>275.05919999999998</v>
      </c>
      <c r="I126" s="19">
        <f t="shared" si="27"/>
        <v>65.921796397718381</v>
      </c>
      <c r="J126" s="19">
        <f t="shared" si="28"/>
        <v>593.87523539269284</v>
      </c>
      <c r="K126" s="20">
        <f t="shared" si="32"/>
        <v>124</v>
      </c>
      <c r="L126" s="36"/>
    </row>
    <row r="127" spans="1:12" x14ac:dyDescent="0.35">
      <c r="A127" s="15">
        <v>125</v>
      </c>
      <c r="B127" s="15">
        <f t="shared" si="29"/>
        <v>125</v>
      </c>
      <c r="C127" s="16">
        <f t="shared" si="24"/>
        <v>111.15</v>
      </c>
      <c r="D127" s="16">
        <f t="shared" si="30"/>
        <v>29.601769319956546</v>
      </c>
      <c r="E127" s="16">
        <f t="shared" si="25"/>
        <v>245.14266489892438</v>
      </c>
      <c r="F127" s="17">
        <v>115</v>
      </c>
      <c r="G127" s="44">
        <v>267</v>
      </c>
      <c r="H127" s="19">
        <f t="shared" si="26"/>
        <v>241.58160000000001</v>
      </c>
      <c r="I127" s="19">
        <f t="shared" si="27"/>
        <v>58.779689232021951</v>
      </c>
      <c r="J127" s="19">
        <f t="shared" si="28"/>
        <v>523.12924541243819</v>
      </c>
      <c r="K127" s="20">
        <f t="shared" si="32"/>
        <v>125</v>
      </c>
      <c r="L127" s="36"/>
    </row>
    <row r="128" spans="1:12" x14ac:dyDescent="0.35">
      <c r="A128" s="15">
        <v>126</v>
      </c>
      <c r="B128" s="15">
        <f t="shared" si="29"/>
        <v>126</v>
      </c>
      <c r="C128" s="16">
        <f t="shared" si="24"/>
        <v>112.03919999999999</v>
      </c>
      <c r="D128" s="16">
        <f t="shared" si="30"/>
        <v>29.810921169420201</v>
      </c>
      <c r="E128" s="16">
        <f t="shared" si="25"/>
        <v>247.05562770340683</v>
      </c>
      <c r="F128" s="17">
        <f t="shared" si="38"/>
        <v>116</v>
      </c>
      <c r="G128" s="44">
        <f>$G$127+(F128-$F$127)*($G$132-$G$127)/($F$132-$F$127)</f>
        <v>270.60000000000002</v>
      </c>
      <c r="H128" s="19">
        <f t="shared" si="26"/>
        <v>244.83887999999999</v>
      </c>
      <c r="I128" s="19">
        <f t="shared" si="27"/>
        <v>59.479426489427787</v>
      </c>
      <c r="J128" s="19">
        <f t="shared" si="28"/>
        <v>530.02105046908662</v>
      </c>
      <c r="K128" s="20">
        <f t="shared" si="32"/>
        <v>126</v>
      </c>
      <c r="L128" s="36"/>
    </row>
    <row r="129" spans="1:12" x14ac:dyDescent="0.35">
      <c r="A129" s="15">
        <v>127</v>
      </c>
      <c r="B129" s="15">
        <f t="shared" si="29"/>
        <v>127</v>
      </c>
      <c r="C129" s="16">
        <f t="shared" si="24"/>
        <v>112.92840000000001</v>
      </c>
      <c r="D129" s="16">
        <f t="shared" si="30"/>
        <v>30.019879889488983</v>
      </c>
      <c r="E129" s="16">
        <f t="shared" si="25"/>
        <v>248.96825414086001</v>
      </c>
      <c r="F129" s="17">
        <f t="shared" si="38"/>
        <v>117</v>
      </c>
      <c r="G129" s="44">
        <f t="shared" ref="G129:G131" si="44">$G$127+(F129-$F$127)*($G$132-$G$127)/($F$132-$F$127)</f>
        <v>274.2</v>
      </c>
      <c r="H129" s="19">
        <f t="shared" si="26"/>
        <v>248.09616</v>
      </c>
      <c r="I129" s="19">
        <f t="shared" si="27"/>
        <v>60.178080967364686</v>
      </c>
      <c r="J129" s="19">
        <f t="shared" si="28"/>
        <v>536.91096968482668</v>
      </c>
      <c r="K129" s="20">
        <f t="shared" si="32"/>
        <v>127</v>
      </c>
      <c r="L129" s="36"/>
    </row>
    <row r="130" spans="1:12" x14ac:dyDescent="0.35">
      <c r="A130" s="15">
        <v>128</v>
      </c>
      <c r="B130" s="15">
        <f t="shared" si="29"/>
        <v>128</v>
      </c>
      <c r="C130" s="16">
        <f t="shared" si="24"/>
        <v>113.8176</v>
      </c>
      <c r="D130" s="16">
        <f t="shared" si="30"/>
        <v>30.228647177134196</v>
      </c>
      <c r="E130" s="16">
        <f t="shared" si="25"/>
        <v>250.88054716684209</v>
      </c>
      <c r="F130" s="17">
        <f t="shared" si="38"/>
        <v>118</v>
      </c>
      <c r="G130" s="44">
        <f t="shared" si="44"/>
        <v>277.8</v>
      </c>
      <c r="H130" s="19">
        <f t="shared" si="26"/>
        <v>251.35344000000001</v>
      </c>
      <c r="I130" s="19">
        <f t="shared" si="27"/>
        <v>60.875668525285015</v>
      </c>
      <c r="J130" s="19">
        <f t="shared" si="28"/>
        <v>543.79903068153806</v>
      </c>
      <c r="K130" s="20">
        <f t="shared" si="32"/>
        <v>128</v>
      </c>
      <c r="L130" s="36"/>
    </row>
    <row r="131" spans="1:12" x14ac:dyDescent="0.35">
      <c r="A131" s="15">
        <v>129</v>
      </c>
      <c r="B131" s="15">
        <f t="shared" si="29"/>
        <v>129</v>
      </c>
      <c r="C131" s="16">
        <f t="shared" ref="C131:C152" si="45">B131*$Y$1*1.56</f>
        <v>114.70679999999999</v>
      </c>
      <c r="D131" s="16">
        <f t="shared" si="30"/>
        <v>30.43722470128062</v>
      </c>
      <c r="E131" s="16">
        <f t="shared" ref="E131:E152" si="46">(C131+D131)*0.475*44/12</f>
        <v>252.79250968806375</v>
      </c>
      <c r="F131" s="17">
        <f t="shared" si="38"/>
        <v>119</v>
      </c>
      <c r="G131" s="44">
        <f t="shared" si="44"/>
        <v>281.39999999999998</v>
      </c>
      <c r="H131" s="19">
        <f t="shared" ref="H131:H165" si="47">G131*1.56*$W$1</f>
        <v>254.61071999999996</v>
      </c>
      <c r="I131" s="19">
        <f t="shared" ref="I131:I164" si="48">EXP(-1.0587+0.8836*LN(H131)+0.284)</f>
        <v>61.572204587965679</v>
      </c>
      <c r="J131" s="19">
        <f t="shared" ref="J131:J165" si="49">(H131+I131)*0.475*44/12</f>
        <v>550.68526032404009</v>
      </c>
      <c r="K131" s="20">
        <f t="shared" si="32"/>
        <v>129</v>
      </c>
      <c r="L131" s="36"/>
    </row>
    <row r="132" spans="1:12" x14ac:dyDescent="0.35">
      <c r="A132" s="15">
        <v>130</v>
      </c>
      <c r="B132" s="15">
        <f t="shared" ref="B132:B152" si="50">B131+1</f>
        <v>130</v>
      </c>
      <c r="C132" s="16">
        <f t="shared" si="45"/>
        <v>115.59599999999999</v>
      </c>
      <c r="D132" s="16">
        <f t="shared" ref="D132:D152" si="51">EXP(-1.0587+0.8836*LN(C132)+0.284)</f>
        <v>30.645614103483879</v>
      </c>
      <c r="E132" s="16">
        <f t="shared" si="46"/>
        <v>254.70414456356775</v>
      </c>
      <c r="F132" s="17">
        <f t="shared" si="38"/>
        <v>120</v>
      </c>
      <c r="G132" s="44">
        <f>268+17</f>
        <v>285</v>
      </c>
      <c r="H132" s="19">
        <f t="shared" si="47"/>
        <v>257.86799999999999</v>
      </c>
      <c r="I132" s="19">
        <f t="shared" si="48"/>
        <v>62.267704162827528</v>
      </c>
      <c r="J132" s="19">
        <f t="shared" si="49"/>
        <v>557.56968475025803</v>
      </c>
      <c r="K132" s="20">
        <f t="shared" ref="K132:K155" si="52">K131+1</f>
        <v>130</v>
      </c>
      <c r="L132" s="36"/>
    </row>
    <row r="133" spans="1:12" x14ac:dyDescent="0.35">
      <c r="A133" s="15">
        <v>131</v>
      </c>
      <c r="B133" s="15">
        <f t="shared" si="50"/>
        <v>131</v>
      </c>
      <c r="C133" s="16">
        <f t="shared" si="45"/>
        <v>116.48519999999998</v>
      </c>
      <c r="D133" s="16">
        <f t="shared" si="51"/>
        <v>30.853816998586236</v>
      </c>
      <c r="E133" s="16">
        <f t="shared" si="46"/>
        <v>256.61545460587098</v>
      </c>
      <c r="F133" s="17">
        <f t="shared" si="38"/>
        <v>121</v>
      </c>
      <c r="G133" s="44">
        <f>$G$132+(F133-$F$132)*($G$137-$G$132)/($F$137-$F$132)</f>
        <v>288.2</v>
      </c>
      <c r="H133" s="19">
        <f t="shared" si="47"/>
        <v>260.76335999999998</v>
      </c>
      <c r="I133" s="19">
        <f t="shared" si="48"/>
        <v>62.885067686032009</v>
      </c>
      <c r="J133" s="19">
        <f t="shared" si="49"/>
        <v>563.68767821983909</v>
      </c>
      <c r="K133" s="20">
        <f t="shared" si="52"/>
        <v>131</v>
      </c>
      <c r="L133" s="36"/>
    </row>
    <row r="134" spans="1:12" x14ac:dyDescent="0.35">
      <c r="A134" s="15">
        <v>132</v>
      </c>
      <c r="B134" s="15">
        <f t="shared" si="50"/>
        <v>132</v>
      </c>
      <c r="C134" s="16">
        <f t="shared" si="45"/>
        <v>117.37439999999999</v>
      </c>
      <c r="D134" s="16">
        <f t="shared" si="51"/>
        <v>31.061834975351903</v>
      </c>
      <c r="E134" s="16">
        <f t="shared" si="46"/>
        <v>258.52644258207124</v>
      </c>
      <c r="F134" s="17">
        <f t="shared" si="38"/>
        <v>122</v>
      </c>
      <c r="G134" s="44">
        <f t="shared" ref="G134:G136" si="53">$G$132+(F134-$F$132)*($G$137-$G$132)/($F$137-$F$132)</f>
        <v>291.39999999999998</v>
      </c>
      <c r="H134" s="19">
        <f t="shared" si="47"/>
        <v>263.65871999999996</v>
      </c>
      <c r="I134" s="19">
        <f t="shared" si="48"/>
        <v>63.501633804581523</v>
      </c>
      <c r="J134" s="19">
        <f t="shared" si="49"/>
        <v>569.80428287631264</v>
      </c>
      <c r="K134" s="20">
        <f t="shared" si="52"/>
        <v>132</v>
      </c>
      <c r="L134" s="36"/>
    </row>
    <row r="135" spans="1:12" x14ac:dyDescent="0.35">
      <c r="A135" s="15">
        <v>133</v>
      </c>
      <c r="B135" s="15">
        <f t="shared" si="50"/>
        <v>133</v>
      </c>
      <c r="C135" s="16">
        <f t="shared" si="45"/>
        <v>118.26359999999998</v>
      </c>
      <c r="D135" s="16">
        <f t="shared" si="51"/>
        <v>31.269669597082324</v>
      </c>
      <c r="E135" s="16">
        <f t="shared" si="46"/>
        <v>260.43711121491833</v>
      </c>
      <c r="F135" s="17">
        <f t="shared" si="38"/>
        <v>123</v>
      </c>
      <c r="G135" s="44">
        <f t="shared" si="53"/>
        <v>294.60000000000002</v>
      </c>
      <c r="H135" s="19">
        <f t="shared" si="47"/>
        <v>266.55408</v>
      </c>
      <c r="I135" s="19">
        <f t="shared" si="48"/>
        <v>64.117412288576645</v>
      </c>
      <c r="J135" s="19">
        <f t="shared" si="49"/>
        <v>575.91951573593758</v>
      </c>
      <c r="K135" s="20">
        <f t="shared" si="52"/>
        <v>133</v>
      </c>
      <c r="L135" s="36"/>
    </row>
    <row r="136" spans="1:12" x14ac:dyDescent="0.35">
      <c r="A136" s="15">
        <v>134</v>
      </c>
      <c r="B136" s="15">
        <f t="shared" si="50"/>
        <v>134</v>
      </c>
      <c r="C136" s="16">
        <f t="shared" si="45"/>
        <v>119.1528</v>
      </c>
      <c r="D136" s="16">
        <f t="shared" si="51"/>
        <v>31.477322402212724</v>
      </c>
      <c r="E136" s="16">
        <f t="shared" si="46"/>
        <v>262.34746318385379</v>
      </c>
      <c r="F136" s="17">
        <f t="shared" si="38"/>
        <v>124</v>
      </c>
      <c r="G136" s="44">
        <f t="shared" si="53"/>
        <v>297.8</v>
      </c>
      <c r="H136" s="19">
        <f t="shared" si="47"/>
        <v>269.44943999999998</v>
      </c>
      <c r="I136" s="19">
        <f t="shared" si="48"/>
        <v>64.732412683644569</v>
      </c>
      <c r="J136" s="19">
        <f t="shared" si="49"/>
        <v>582.03339342401421</v>
      </c>
      <c r="K136" s="20">
        <f t="shared" si="52"/>
        <v>134</v>
      </c>
      <c r="L136" s="36"/>
    </row>
    <row r="137" spans="1:12" x14ac:dyDescent="0.35">
      <c r="A137" s="15">
        <v>135</v>
      </c>
      <c r="B137" s="15">
        <f t="shared" si="50"/>
        <v>135</v>
      </c>
      <c r="C137" s="16">
        <f t="shared" si="45"/>
        <v>120.04199999999999</v>
      </c>
      <c r="D137" s="16">
        <f t="shared" si="51"/>
        <v>31.684794904890058</v>
      </c>
      <c r="E137" s="16">
        <f t="shared" si="46"/>
        <v>264.25750112601685</v>
      </c>
      <c r="F137" s="17">
        <f t="shared" si="38"/>
        <v>125</v>
      </c>
      <c r="G137" s="44">
        <f>268+17+16</f>
        <v>301</v>
      </c>
      <c r="H137" s="19">
        <f t="shared" si="47"/>
        <v>272.34479999999996</v>
      </c>
      <c r="I137" s="19">
        <f t="shared" si="48"/>
        <v>65.346644318451652</v>
      </c>
      <c r="J137" s="19">
        <f t="shared" si="49"/>
        <v>588.14593218796983</v>
      </c>
      <c r="K137" s="20">
        <f t="shared" si="52"/>
        <v>135</v>
      </c>
      <c r="L137" s="36"/>
    </row>
    <row r="138" spans="1:12" x14ac:dyDescent="0.35">
      <c r="A138" s="15">
        <v>136</v>
      </c>
      <c r="B138" s="15">
        <f t="shared" si="50"/>
        <v>136</v>
      </c>
      <c r="C138" s="16">
        <f t="shared" si="45"/>
        <v>120.9312</v>
      </c>
      <c r="D138" s="16">
        <f t="shared" si="51"/>
        <v>31.892088595533622</v>
      </c>
      <c r="E138" s="16">
        <f t="shared" si="46"/>
        <v>266.16722763722106</v>
      </c>
      <c r="F138" s="17">
        <v>125</v>
      </c>
      <c r="G138" s="44">
        <v>268</v>
      </c>
      <c r="H138" s="19">
        <f t="shared" si="47"/>
        <v>242.4864</v>
      </c>
      <c r="I138" s="19">
        <f t="shared" si="48"/>
        <v>58.974170235372419</v>
      </c>
      <c r="J138" s="19">
        <f t="shared" si="49"/>
        <v>525.04382649327351</v>
      </c>
      <c r="K138" s="20">
        <f t="shared" si="52"/>
        <v>136</v>
      </c>
      <c r="L138" s="36"/>
    </row>
    <row r="139" spans="1:12" x14ac:dyDescent="0.35">
      <c r="A139" s="15">
        <v>137</v>
      </c>
      <c r="B139" s="15">
        <f t="shared" si="50"/>
        <v>137</v>
      </c>
      <c r="C139" s="16">
        <f t="shared" si="45"/>
        <v>121.82039999999999</v>
      </c>
      <c r="D139" s="16">
        <f t="shared" si="51"/>
        <v>32.099204941378403</v>
      </c>
      <c r="E139" s="16">
        <f t="shared" si="46"/>
        <v>268.07664527290075</v>
      </c>
      <c r="F139" s="17">
        <f t="shared" si="38"/>
        <v>126</v>
      </c>
      <c r="G139" s="44">
        <f>$G$138+(F139-$F$138)*($G$143-$G$138)/($F$143-$F$138)</f>
        <v>271.2</v>
      </c>
      <c r="H139" s="19">
        <f t="shared" si="47"/>
        <v>245.38175999999999</v>
      </c>
      <c r="I139" s="19">
        <f t="shared" si="48"/>
        <v>59.595943661626769</v>
      </c>
      <c r="J139" s="19">
        <f t="shared" si="49"/>
        <v>531.1695005439999</v>
      </c>
      <c r="K139" s="20">
        <f t="shared" si="52"/>
        <v>137</v>
      </c>
      <c r="L139" s="36"/>
    </row>
    <row r="140" spans="1:12" x14ac:dyDescent="0.35">
      <c r="A140" s="15">
        <v>138</v>
      </c>
      <c r="B140" s="15">
        <f t="shared" si="50"/>
        <v>138</v>
      </c>
      <c r="C140" s="16">
        <f t="shared" si="45"/>
        <v>122.70959999999999</v>
      </c>
      <c r="D140" s="16">
        <f t="shared" si="51"/>
        <v>32.306145387002253</v>
      </c>
      <c r="E140" s="16">
        <f t="shared" si="46"/>
        <v>269.98575654902891</v>
      </c>
      <c r="F140" s="17">
        <f t="shared" si="38"/>
        <v>127</v>
      </c>
      <c r="G140" s="44">
        <f t="shared" ref="G140:G142" si="54">$G$138+(F140-$F$138)*($G$143-$G$138)/($F$143-$F$138)</f>
        <v>274.39999999999998</v>
      </c>
      <c r="H140" s="19">
        <f t="shared" si="47"/>
        <v>248.27711999999997</v>
      </c>
      <c r="I140" s="19">
        <f t="shared" si="48"/>
        <v>60.216863677580314</v>
      </c>
      <c r="J140" s="19">
        <f t="shared" si="49"/>
        <v>537.29368823845232</v>
      </c>
      <c r="K140" s="20">
        <f t="shared" si="52"/>
        <v>138</v>
      </c>
      <c r="L140" s="36"/>
    </row>
    <row r="141" spans="1:12" x14ac:dyDescent="0.35">
      <c r="A141" s="15">
        <v>139</v>
      </c>
      <c r="B141" s="15">
        <f t="shared" si="50"/>
        <v>139</v>
      </c>
      <c r="C141" s="16">
        <f t="shared" si="45"/>
        <v>123.59879999999998</v>
      </c>
      <c r="D141" s="16">
        <f t="shared" si="51"/>
        <v>32.512911354837584</v>
      </c>
      <c r="E141" s="16">
        <f t="shared" si="46"/>
        <v>271.89456394300873</v>
      </c>
      <c r="F141" s="17">
        <f t="shared" si="38"/>
        <v>128</v>
      </c>
      <c r="G141" s="44">
        <f t="shared" si="54"/>
        <v>277.60000000000002</v>
      </c>
      <c r="H141" s="19">
        <f t="shared" si="47"/>
        <v>251.17248000000001</v>
      </c>
      <c r="I141" s="19">
        <f t="shared" si="48"/>
        <v>60.836941386956681</v>
      </c>
      <c r="J141" s="19">
        <f t="shared" si="49"/>
        <v>543.4164089156161</v>
      </c>
      <c r="K141" s="20">
        <f t="shared" si="52"/>
        <v>139</v>
      </c>
      <c r="L141" s="36"/>
    </row>
    <row r="142" spans="1:12" x14ac:dyDescent="0.35">
      <c r="A142" s="15">
        <v>140</v>
      </c>
      <c r="B142" s="15">
        <f t="shared" si="50"/>
        <v>140</v>
      </c>
      <c r="C142" s="16">
        <f t="shared" si="45"/>
        <v>124.488</v>
      </c>
      <c r="D142" s="16">
        <f t="shared" si="51"/>
        <v>32.719504245667267</v>
      </c>
      <c r="E142" s="16">
        <f t="shared" si="46"/>
        <v>273.80306989453715</v>
      </c>
      <c r="F142" s="17">
        <f t="shared" si="38"/>
        <v>129</v>
      </c>
      <c r="G142" s="44">
        <f t="shared" si="54"/>
        <v>280.8</v>
      </c>
      <c r="H142" s="19">
        <f t="shared" si="47"/>
        <v>254.06784000000002</v>
      </c>
      <c r="I142" s="19">
        <f t="shared" si="48"/>
        <v>61.456187622750775</v>
      </c>
      <c r="J142" s="19">
        <f t="shared" si="49"/>
        <v>549.53768144295771</v>
      </c>
      <c r="K142" s="20">
        <f t="shared" si="52"/>
        <v>140</v>
      </c>
      <c r="L142" s="36"/>
    </row>
    <row r="143" spans="1:12" x14ac:dyDescent="0.35">
      <c r="A143" s="15">
        <v>141</v>
      </c>
      <c r="B143" s="15">
        <f t="shared" si="50"/>
        <v>141</v>
      </c>
      <c r="C143" s="16">
        <f t="shared" si="45"/>
        <v>125.37719999999999</v>
      </c>
      <c r="D143" s="16">
        <f t="shared" si="51"/>
        <v>32.925925439106848</v>
      </c>
      <c r="E143" s="16">
        <f t="shared" si="46"/>
        <v>275.71127680644446</v>
      </c>
      <c r="F143" s="17">
        <f t="shared" si="38"/>
        <v>130</v>
      </c>
      <c r="G143" s="44">
        <f>269+15</f>
        <v>284</v>
      </c>
      <c r="H143" s="19">
        <f t="shared" si="47"/>
        <v>256.96319999999997</v>
      </c>
      <c r="I143" s="19">
        <f t="shared" si="48"/>
        <v>62.074612956838024</v>
      </c>
      <c r="J143" s="19">
        <f t="shared" si="49"/>
        <v>555.65752423315951</v>
      </c>
      <c r="K143" s="20">
        <f t="shared" si="52"/>
        <v>141</v>
      </c>
      <c r="L143" s="36"/>
    </row>
    <row r="144" spans="1:12" x14ac:dyDescent="0.35">
      <c r="A144" s="15">
        <v>142</v>
      </c>
      <c r="B144" s="15">
        <f t="shared" si="50"/>
        <v>142</v>
      </c>
      <c r="C144" s="16">
        <f t="shared" si="45"/>
        <v>126.2664</v>
      </c>
      <c r="D144" s="16">
        <f t="shared" si="51"/>
        <v>33.132176294071812</v>
      </c>
      <c r="E144" s="16">
        <f t="shared" si="46"/>
        <v>277.6191870455084</v>
      </c>
      <c r="F144" s="17">
        <f t="shared" si="38"/>
        <v>131</v>
      </c>
      <c r="G144" s="44">
        <f>$G$143+(F144-$F$143)*($G$148-$G$143)/($F$148-$F$143)</f>
        <v>286.8</v>
      </c>
      <c r="H144" s="19">
        <f t="shared" si="47"/>
        <v>259.49664000000001</v>
      </c>
      <c r="I144" s="19">
        <f t="shared" si="48"/>
        <v>62.615069847082587</v>
      </c>
      <c r="J144" s="19">
        <f t="shared" si="49"/>
        <v>561.01122798366885</v>
      </c>
      <c r="K144" s="20">
        <f t="shared" si="52"/>
        <v>142</v>
      </c>
      <c r="L144" s="36"/>
    </row>
    <row r="145" spans="1:12" x14ac:dyDescent="0.35">
      <c r="A145" s="15">
        <v>143</v>
      </c>
      <c r="B145" s="15">
        <f t="shared" si="50"/>
        <v>143</v>
      </c>
      <c r="C145" s="16">
        <f t="shared" si="45"/>
        <v>127.15559999999999</v>
      </c>
      <c r="D145" s="16">
        <f t="shared" si="51"/>
        <v>33.338258149231912</v>
      </c>
      <c r="E145" s="16">
        <f t="shared" si="46"/>
        <v>279.52680294324551</v>
      </c>
      <c r="F145" s="17">
        <f t="shared" si="38"/>
        <v>132</v>
      </c>
      <c r="G145" s="44">
        <f t="shared" ref="G145:G147" si="55">$G$143+(F145-$F$143)*($G$148-$G$143)/($F$148-$F$143)</f>
        <v>289.60000000000002</v>
      </c>
      <c r="H145" s="19">
        <f t="shared" si="47"/>
        <v>262.03008</v>
      </c>
      <c r="I145" s="19">
        <f t="shared" si="48"/>
        <v>63.154912899742641</v>
      </c>
      <c r="J145" s="19">
        <f t="shared" si="49"/>
        <v>566.36386263371833</v>
      </c>
      <c r="K145" s="20">
        <f t="shared" si="52"/>
        <v>143</v>
      </c>
      <c r="L145" s="36"/>
    </row>
    <row r="146" spans="1:12" x14ac:dyDescent="0.35">
      <c r="A146" s="15">
        <v>144</v>
      </c>
      <c r="B146" s="15">
        <f t="shared" si="50"/>
        <v>144</v>
      </c>
      <c r="C146" s="16">
        <f t="shared" si="45"/>
        <v>128.04480000000001</v>
      </c>
      <c r="D146" s="16">
        <f t="shared" si="51"/>
        <v>33.544172323452209</v>
      </c>
      <c r="E146" s="16">
        <f t="shared" si="46"/>
        <v>281.43412679667932</v>
      </c>
      <c r="F146" s="17">
        <f t="shared" si="38"/>
        <v>133</v>
      </c>
      <c r="G146" s="44">
        <f t="shared" si="55"/>
        <v>292.39999999999998</v>
      </c>
      <c r="H146" s="19">
        <f t="shared" si="47"/>
        <v>264.56351999999998</v>
      </c>
      <c r="I146" s="19">
        <f t="shared" si="48"/>
        <v>63.694148737013862</v>
      </c>
      <c r="J146" s="19">
        <f t="shared" si="49"/>
        <v>571.71543971696565</v>
      </c>
      <c r="K146" s="20">
        <f t="shared" si="52"/>
        <v>144</v>
      </c>
      <c r="L146" s="36"/>
    </row>
    <row r="147" spans="1:12" x14ac:dyDescent="0.35">
      <c r="A147" s="15">
        <v>145</v>
      </c>
      <c r="B147" s="15">
        <f t="shared" si="50"/>
        <v>145</v>
      </c>
      <c r="C147" s="16">
        <f t="shared" si="45"/>
        <v>128.934</v>
      </c>
      <c r="D147" s="16">
        <f t="shared" si="51"/>
        <v>33.749920116221382</v>
      </c>
      <c r="E147" s="16">
        <f t="shared" si="46"/>
        <v>283.34116086908551</v>
      </c>
      <c r="F147" s="17">
        <f t="shared" si="38"/>
        <v>134</v>
      </c>
      <c r="G147" s="44">
        <f t="shared" si="55"/>
        <v>295.2</v>
      </c>
      <c r="H147" s="19">
        <f t="shared" si="47"/>
        <v>267.09695999999997</v>
      </c>
      <c r="I147" s="19">
        <f t="shared" si="48"/>
        <v>64.232783846951989</v>
      </c>
      <c r="J147" s="19">
        <f t="shared" si="49"/>
        <v>577.06597053344126</v>
      </c>
      <c r="K147" s="20">
        <f t="shared" si="52"/>
        <v>145</v>
      </c>
      <c r="L147" s="36"/>
    </row>
    <row r="148" spans="1:12" x14ac:dyDescent="0.35">
      <c r="A148" s="15">
        <v>146</v>
      </c>
      <c r="B148" s="15">
        <f t="shared" si="50"/>
        <v>146</v>
      </c>
      <c r="C148" s="16">
        <f t="shared" si="45"/>
        <v>129.82320000000001</v>
      </c>
      <c r="D148" s="16">
        <f t="shared" si="51"/>
        <v>33.955502808068275</v>
      </c>
      <c r="E148" s="16">
        <f t="shared" si="46"/>
        <v>285.24790739071892</v>
      </c>
      <c r="F148" s="17">
        <f t="shared" si="38"/>
        <v>135</v>
      </c>
      <c r="G148" s="44">
        <f>269+15+14</f>
        <v>298</v>
      </c>
      <c r="H148" s="19">
        <f t="shared" si="47"/>
        <v>269.63039999999995</v>
      </c>
      <c r="I148" s="19">
        <f t="shared" si="48"/>
        <v>64.770824587436138</v>
      </c>
      <c r="J148" s="19">
        <f t="shared" si="49"/>
        <v>582.4154661564512</v>
      </c>
      <c r="K148" s="20">
        <f t="shared" si="52"/>
        <v>146</v>
      </c>
      <c r="L148" s="36"/>
    </row>
    <row r="149" spans="1:12" x14ac:dyDescent="0.35">
      <c r="A149" s="15">
        <v>147</v>
      </c>
      <c r="B149" s="15">
        <f t="shared" si="50"/>
        <v>147</v>
      </c>
      <c r="C149" s="16">
        <f t="shared" si="45"/>
        <v>130.7124</v>
      </c>
      <c r="D149" s="16">
        <f t="shared" si="51"/>
        <v>34.160921660966139</v>
      </c>
      <c r="E149" s="16">
        <f t="shared" si="46"/>
        <v>287.15436855951606</v>
      </c>
      <c r="F149" s="17">
        <v>135</v>
      </c>
      <c r="G149" s="44">
        <v>269</v>
      </c>
      <c r="H149" s="19">
        <f t="shared" si="47"/>
        <v>243.39119999999997</v>
      </c>
      <c r="I149" s="19">
        <f t="shared" si="48"/>
        <v>59.168566788241527</v>
      </c>
      <c r="J149" s="19">
        <f t="shared" si="49"/>
        <v>526.95826048952063</v>
      </c>
      <c r="K149" s="20">
        <f t="shared" si="52"/>
        <v>147</v>
      </c>
      <c r="L149" s="36"/>
    </row>
    <row r="150" spans="1:12" x14ac:dyDescent="0.35">
      <c r="A150" s="15">
        <v>148</v>
      </c>
      <c r="B150" s="15">
        <f t="shared" si="50"/>
        <v>148</v>
      </c>
      <c r="C150" s="16">
        <f t="shared" si="45"/>
        <v>131.60159999999999</v>
      </c>
      <c r="D150" s="16">
        <f t="shared" si="51"/>
        <v>34.366177918726088</v>
      </c>
      <c r="E150" s="16">
        <f t="shared" si="46"/>
        <v>289.06054654178126</v>
      </c>
      <c r="F150" s="17">
        <f t="shared" si="38"/>
        <v>136</v>
      </c>
      <c r="G150" s="44">
        <f>$G$149+(F150-$F$149)*($G$154-$G$149)/($F$154-$F$149)</f>
        <v>271.60000000000002</v>
      </c>
      <c r="H150" s="19">
        <f t="shared" si="47"/>
        <v>245.74368000000001</v>
      </c>
      <c r="I150" s="19">
        <f t="shared" si="48"/>
        <v>59.673605104126452</v>
      </c>
      <c r="J150" s="19">
        <f t="shared" si="49"/>
        <v>531.93510488968684</v>
      </c>
      <c r="K150" s="20">
        <f t="shared" si="52"/>
        <v>148</v>
      </c>
      <c r="L150" s="36"/>
    </row>
    <row r="151" spans="1:12" x14ac:dyDescent="0.35">
      <c r="A151" s="15">
        <v>149</v>
      </c>
      <c r="B151" s="15">
        <f t="shared" si="50"/>
        <v>149</v>
      </c>
      <c r="C151" s="16">
        <f t="shared" si="45"/>
        <v>132.49079999999998</v>
      </c>
      <c r="D151" s="16">
        <f t="shared" si="51"/>
        <v>34.571272807379401</v>
      </c>
      <c r="E151" s="16">
        <f t="shared" si="46"/>
        <v>290.9664434728524</v>
      </c>
      <c r="F151" s="17">
        <f t="shared" si="38"/>
        <v>137</v>
      </c>
      <c r="G151" s="44">
        <f t="shared" ref="G151:G153" si="56">$G$149+(F151-$F$149)*($G$154-$G$149)/($F$154-$F$149)</f>
        <v>274.2</v>
      </c>
      <c r="H151" s="19">
        <f t="shared" si="47"/>
        <v>248.09616</v>
      </c>
      <c r="I151" s="19">
        <f t="shared" si="48"/>
        <v>60.178080967364686</v>
      </c>
      <c r="J151" s="19">
        <f t="shared" si="49"/>
        <v>536.91096968482668</v>
      </c>
      <c r="K151" s="20">
        <f t="shared" si="52"/>
        <v>149</v>
      </c>
      <c r="L151" s="36"/>
    </row>
    <row r="152" spans="1:12" x14ac:dyDescent="0.35">
      <c r="A152" s="15">
        <v>150</v>
      </c>
      <c r="B152" s="15">
        <f t="shared" si="50"/>
        <v>150</v>
      </c>
      <c r="C152" s="16">
        <f t="shared" si="45"/>
        <v>133.38</v>
      </c>
      <c r="D152" s="16">
        <f t="shared" si="51"/>
        <v>34.776207535548991</v>
      </c>
      <c r="E152" s="16">
        <f t="shared" si="46"/>
        <v>292.8720614577478</v>
      </c>
      <c r="F152" s="17">
        <f t="shared" si="38"/>
        <v>138</v>
      </c>
      <c r="G152" s="44">
        <f t="shared" si="56"/>
        <v>276.8</v>
      </c>
      <c r="H152" s="19">
        <f t="shared" si="47"/>
        <v>250.44864000000001</v>
      </c>
      <c r="I152" s="19">
        <f t="shared" si="48"/>
        <v>60.682000328890055</v>
      </c>
      <c r="J152" s="19">
        <f t="shared" si="49"/>
        <v>541.88586523948345</v>
      </c>
      <c r="K152" s="20">
        <f t="shared" si="52"/>
        <v>150</v>
      </c>
      <c r="L152" s="36"/>
    </row>
    <row r="153" spans="1:12" x14ac:dyDescent="0.35">
      <c r="A153" s="22"/>
      <c r="B153" s="22"/>
      <c r="C153" s="22"/>
      <c r="D153" s="22"/>
      <c r="E153" s="23"/>
      <c r="F153" s="17">
        <f t="shared" si="38"/>
        <v>139</v>
      </c>
      <c r="G153" s="44">
        <f t="shared" si="56"/>
        <v>279.39999999999998</v>
      </c>
      <c r="H153" s="19">
        <f t="shared" si="47"/>
        <v>252.80111999999997</v>
      </c>
      <c r="I153" s="19">
        <f t="shared" si="48"/>
        <v>61.185369021394209</v>
      </c>
      <c r="J153" s="19">
        <f t="shared" si="49"/>
        <v>546.8598017122614</v>
      </c>
      <c r="K153" s="20">
        <f t="shared" si="52"/>
        <v>151</v>
      </c>
      <c r="L153" s="36"/>
    </row>
    <row r="154" spans="1:12" x14ac:dyDescent="0.35">
      <c r="A154" s="22"/>
      <c r="B154" s="22"/>
      <c r="C154" s="22"/>
      <c r="D154" s="22"/>
      <c r="E154" s="23"/>
      <c r="F154" s="17">
        <f t="shared" si="38"/>
        <v>140</v>
      </c>
      <c r="G154" s="44">
        <f>269+13</f>
        <v>282</v>
      </c>
      <c r="H154" s="19">
        <f t="shared" si="47"/>
        <v>255.15359999999998</v>
      </c>
      <c r="I154" s="19">
        <f t="shared" si="48"/>
        <v>61.688192762754426</v>
      </c>
      <c r="J154" s="19">
        <f t="shared" si="49"/>
        <v>551.83278906179714</v>
      </c>
      <c r="K154" s="20">
        <f t="shared" si="52"/>
        <v>152</v>
      </c>
      <c r="L154" s="36"/>
    </row>
    <row r="155" spans="1:12" x14ac:dyDescent="0.35">
      <c r="A155" s="22"/>
      <c r="B155" s="22"/>
      <c r="C155" s="22"/>
      <c r="D155" s="22"/>
      <c r="E155" s="23"/>
      <c r="F155" s="17">
        <f t="shared" si="38"/>
        <v>141</v>
      </c>
      <c r="G155" s="44">
        <f>$G$154+(F155-$F$154)*($G$159-$G$154)/($F$159-$F$154)</f>
        <v>284.60000000000002</v>
      </c>
      <c r="H155" s="19">
        <f t="shared" si="47"/>
        <v>257.50608</v>
      </c>
      <c r="I155" s="19">
        <f t="shared" si="48"/>
        <v>62.190477159330463</v>
      </c>
      <c r="J155" s="19">
        <f t="shared" si="49"/>
        <v>556.80483705250049</v>
      </c>
      <c r="K155" s="20">
        <f t="shared" si="52"/>
        <v>153</v>
      </c>
      <c r="L155" s="36"/>
    </row>
    <row r="156" spans="1:12" x14ac:dyDescent="0.35">
      <c r="A156" s="22"/>
      <c r="B156" s="22"/>
      <c r="C156" s="22"/>
      <c r="D156" s="22"/>
      <c r="E156" s="23"/>
      <c r="F156" s="17">
        <f t="shared" si="38"/>
        <v>142</v>
      </c>
      <c r="G156" s="44">
        <f t="shared" ref="G156:G158" si="57">$G$154+(F156-$F$154)*($G$159-$G$154)/($F$159-$F$154)</f>
        <v>287.2</v>
      </c>
      <c r="H156" s="19">
        <f t="shared" si="47"/>
        <v>259.85855999999995</v>
      </c>
      <c r="I156" s="19">
        <f t="shared" si="48"/>
        <v>62.692227709138479</v>
      </c>
      <c r="J156" s="19">
        <f t="shared" si="49"/>
        <v>561.7759552600827</v>
      </c>
      <c r="K156" s="22"/>
    </row>
    <row r="157" spans="1:12" x14ac:dyDescent="0.35">
      <c r="A157" s="22"/>
      <c r="B157" s="22"/>
      <c r="C157" s="22"/>
      <c r="D157" s="22"/>
      <c r="E157" s="23"/>
      <c r="F157" s="17">
        <f t="shared" si="38"/>
        <v>143</v>
      </c>
      <c r="G157" s="44">
        <f t="shared" si="57"/>
        <v>289.8</v>
      </c>
      <c r="H157" s="19">
        <f t="shared" si="47"/>
        <v>262.21103999999997</v>
      </c>
      <c r="I157" s="19">
        <f t="shared" si="48"/>
        <v>63.193449804905853</v>
      </c>
      <c r="J157" s="19">
        <f t="shared" si="49"/>
        <v>566.7461530768777</v>
      </c>
      <c r="K157" s="22"/>
    </row>
    <row r="158" spans="1:12" x14ac:dyDescent="0.35">
      <c r="A158" s="22"/>
      <c r="B158" s="22"/>
      <c r="C158" s="22"/>
      <c r="D158" s="22"/>
      <c r="E158" s="23"/>
      <c r="F158" s="17">
        <f t="shared" si="38"/>
        <v>144</v>
      </c>
      <c r="G158" s="44">
        <f t="shared" si="57"/>
        <v>292.39999999999998</v>
      </c>
      <c r="H158" s="19">
        <f t="shared" si="47"/>
        <v>264.56351999999998</v>
      </c>
      <c r="I158" s="19">
        <f t="shared" si="48"/>
        <v>63.694148737013862</v>
      </c>
      <c r="J158" s="19">
        <f t="shared" si="49"/>
        <v>571.71543971696565</v>
      </c>
      <c r="K158" s="22"/>
    </row>
    <row r="159" spans="1:12" x14ac:dyDescent="0.35">
      <c r="A159" s="22"/>
      <c r="B159" s="22"/>
      <c r="C159" s="22"/>
      <c r="D159" s="22"/>
      <c r="E159" s="23"/>
      <c r="F159" s="17">
        <f t="shared" si="38"/>
        <v>145</v>
      </c>
      <c r="G159" s="44">
        <f>269+13+13</f>
        <v>295</v>
      </c>
      <c r="H159" s="19">
        <f t="shared" si="47"/>
        <v>266.916</v>
      </c>
      <c r="I159" s="19">
        <f t="shared" si="48"/>
        <v>64.194329696332176</v>
      </c>
      <c r="J159" s="19">
        <f t="shared" si="49"/>
        <v>576.68382422111188</v>
      </c>
      <c r="K159" s="22"/>
    </row>
    <row r="160" spans="1:12" x14ac:dyDescent="0.35">
      <c r="A160" s="22"/>
      <c r="B160" s="22"/>
      <c r="C160" s="22"/>
      <c r="D160" s="22"/>
      <c r="E160" s="23"/>
      <c r="F160" s="17">
        <f t="shared" si="38"/>
        <v>146</v>
      </c>
      <c r="G160" s="44">
        <f>$G$159+(F160-$F$159)*($G$164-$G$159)/($F$164-$F$159)</f>
        <v>297.2</v>
      </c>
      <c r="H160" s="19">
        <f t="shared" si="47"/>
        <v>268.90655999999996</v>
      </c>
      <c r="I160" s="19">
        <f t="shared" si="48"/>
        <v>64.617158945843769</v>
      </c>
      <c r="J160" s="19">
        <f t="shared" si="49"/>
        <v>580.88714383067781</v>
      </c>
      <c r="K160" s="22"/>
    </row>
    <row r="161" spans="1:11" x14ac:dyDescent="0.35">
      <c r="A161" s="22"/>
      <c r="B161" s="22"/>
      <c r="C161" s="22"/>
      <c r="D161" s="22"/>
      <c r="E161" s="23"/>
      <c r="F161" s="17">
        <f t="shared" si="38"/>
        <v>147</v>
      </c>
      <c r="G161" s="44">
        <f t="shared" ref="G161:G163" si="58">$G$159+(F161-$F$159)*($G$164-$G$159)/($F$164-$F$159)</f>
        <v>299.39999999999998</v>
      </c>
      <c r="H161" s="19">
        <f t="shared" si="47"/>
        <v>270.89711999999997</v>
      </c>
      <c r="I161" s="19">
        <f t="shared" si="48"/>
        <v>65.039624021315475</v>
      </c>
      <c r="J161" s="19">
        <f t="shared" si="49"/>
        <v>585.08982917045773</v>
      </c>
      <c r="K161" s="22"/>
    </row>
    <row r="162" spans="1:11" x14ac:dyDescent="0.35">
      <c r="A162" s="22"/>
      <c r="B162" s="22"/>
      <c r="C162" s="22"/>
      <c r="D162" s="22"/>
      <c r="E162" s="23"/>
      <c r="F162" s="17">
        <f t="shared" si="38"/>
        <v>148</v>
      </c>
      <c r="G162" s="44">
        <f t="shared" si="58"/>
        <v>301.60000000000002</v>
      </c>
      <c r="H162" s="19">
        <f t="shared" si="47"/>
        <v>272.88767999999999</v>
      </c>
      <c r="I162" s="19">
        <f t="shared" si="48"/>
        <v>65.461727908967418</v>
      </c>
      <c r="J162" s="19">
        <f t="shared" si="49"/>
        <v>589.29188544145154</v>
      </c>
      <c r="K162" s="22"/>
    </row>
    <row r="163" spans="1:11" x14ac:dyDescent="0.35">
      <c r="A163" s="22"/>
      <c r="B163" s="22"/>
      <c r="C163" s="22"/>
      <c r="D163" s="22"/>
      <c r="E163" s="23"/>
      <c r="F163" s="17">
        <f t="shared" si="38"/>
        <v>149</v>
      </c>
      <c r="G163" s="44">
        <f t="shared" si="58"/>
        <v>303.8</v>
      </c>
      <c r="H163" s="19">
        <f t="shared" si="47"/>
        <v>274.87824000000001</v>
      </c>
      <c r="I163" s="19">
        <f t="shared" si="48"/>
        <v>65.883473548937019</v>
      </c>
      <c r="J163" s="19">
        <f t="shared" si="49"/>
        <v>593.49331776439851</v>
      </c>
      <c r="K163" s="22"/>
    </row>
    <row r="164" spans="1:11" x14ac:dyDescent="0.35">
      <c r="A164" s="22"/>
      <c r="B164" s="22"/>
      <c r="C164" s="22"/>
      <c r="D164" s="22"/>
      <c r="E164" s="23"/>
      <c r="F164" s="17">
        <f t="shared" ref="F164" si="59">F163+1</f>
        <v>150</v>
      </c>
      <c r="G164" s="44">
        <f>268+13+13+12</f>
        <v>306</v>
      </c>
      <c r="H164" s="19">
        <f t="shared" si="47"/>
        <v>276.86879999999996</v>
      </c>
      <c r="I164" s="19">
        <f t="shared" si="48"/>
        <v>66.30486383631866</v>
      </c>
      <c r="J164" s="19">
        <f t="shared" si="49"/>
        <v>597.6941311815882</v>
      </c>
      <c r="K164" s="22"/>
    </row>
    <row r="165" spans="1:11" x14ac:dyDescent="0.35">
      <c r="A165" s="22"/>
      <c r="B165" s="22"/>
      <c r="C165" s="22"/>
      <c r="D165" s="22"/>
      <c r="E165" s="23"/>
      <c r="F165" s="17">
        <v>150</v>
      </c>
      <c r="G165" s="47">
        <v>0</v>
      </c>
      <c r="H165" s="19">
        <f t="shared" si="47"/>
        <v>0</v>
      </c>
      <c r="I165" s="19">
        <v>0</v>
      </c>
      <c r="J165" s="19">
        <f t="shared" si="49"/>
        <v>0</v>
      </c>
      <c r="K165" s="22"/>
    </row>
    <row r="166" spans="1:11" x14ac:dyDescent="0.35">
      <c r="A166" s="22"/>
      <c r="B166" s="22"/>
      <c r="C166" s="22"/>
      <c r="D166" s="22"/>
      <c r="E166" s="23"/>
      <c r="F166" s="22"/>
      <c r="G166" s="26"/>
      <c r="H166" s="23"/>
      <c r="I166" s="23"/>
      <c r="J166" s="23"/>
      <c r="K166" s="22"/>
    </row>
    <row r="167" spans="1:11" x14ac:dyDescent="0.35">
      <c r="A167" s="22"/>
      <c r="B167" s="22"/>
      <c r="C167" s="22"/>
      <c r="D167" s="22"/>
      <c r="E167" s="23"/>
    </row>
    <row r="168" spans="1:11" x14ac:dyDescent="0.35">
      <c r="A168" s="22"/>
      <c r="B168" s="22"/>
      <c r="C168" s="22"/>
      <c r="D168" s="22"/>
      <c r="E168" s="23"/>
    </row>
    <row r="169" spans="1:11" x14ac:dyDescent="0.35">
      <c r="A169" s="22"/>
      <c r="B169" s="22"/>
      <c r="C169" s="22"/>
      <c r="D169" s="22"/>
      <c r="E169" s="23"/>
    </row>
    <row r="170" spans="1:11" x14ac:dyDescent="0.35">
      <c r="F170" s="22"/>
    </row>
    <row r="171" spans="1:11" x14ac:dyDescent="0.35">
      <c r="F171" s="22"/>
    </row>
    <row r="172" spans="1:11" x14ac:dyDescent="0.35">
      <c r="F172" s="22"/>
    </row>
    <row r="173" spans="1:11" x14ac:dyDescent="0.35">
      <c r="F173" s="22"/>
    </row>
    <row r="174" spans="1:11" x14ac:dyDescent="0.35">
      <c r="F174" s="22"/>
    </row>
    <row r="175" spans="1:11" x14ac:dyDescent="0.35">
      <c r="F175" s="22"/>
    </row>
    <row r="176" spans="1:11" x14ac:dyDescent="0.35">
      <c r="F176" s="22"/>
    </row>
    <row r="177" spans="6:6" x14ac:dyDescent="0.35">
      <c r="F177" s="22"/>
    </row>
    <row r="178" spans="6:6" x14ac:dyDescent="0.35">
      <c r="F178" s="22"/>
    </row>
    <row r="179" spans="6:6" x14ac:dyDescent="0.35">
      <c r="F179" s="22"/>
    </row>
    <row r="180" spans="6:6" x14ac:dyDescent="0.35">
      <c r="F180" s="22"/>
    </row>
    <row r="181" spans="6:6" x14ac:dyDescent="0.35">
      <c r="F181" s="22"/>
    </row>
    <row r="182" spans="6:6" x14ac:dyDescent="0.35">
      <c r="F182" s="22"/>
    </row>
    <row r="183" spans="6:6" x14ac:dyDescent="0.35">
      <c r="F183" s="22"/>
    </row>
    <row r="184" spans="6:6" x14ac:dyDescent="0.35">
      <c r="F184" s="22"/>
    </row>
    <row r="185" spans="6:6" x14ac:dyDescent="0.35">
      <c r="F185" s="22"/>
    </row>
    <row r="186" spans="6:6" x14ac:dyDescent="0.35">
      <c r="F186" s="22"/>
    </row>
    <row r="187" spans="6:6" x14ac:dyDescent="0.35">
      <c r="F187" s="22"/>
    </row>
    <row r="188" spans="6:6" x14ac:dyDescent="0.35">
      <c r="F188" s="22"/>
    </row>
    <row r="189" spans="6:6" x14ac:dyDescent="0.35">
      <c r="F189" s="22"/>
    </row>
    <row r="190" spans="6:6" x14ac:dyDescent="0.35">
      <c r="F190" s="22"/>
    </row>
    <row r="191" spans="6:6" x14ac:dyDescent="0.35">
      <c r="F191" s="22"/>
    </row>
    <row r="192" spans="6:6" x14ac:dyDescent="0.35">
      <c r="F192" s="22"/>
    </row>
    <row r="193" spans="6:6" x14ac:dyDescent="0.35">
      <c r="F193" s="22"/>
    </row>
    <row r="194" spans="6:6" x14ac:dyDescent="0.35">
      <c r="F194" s="22"/>
    </row>
    <row r="195" spans="6:6" x14ac:dyDescent="0.35">
      <c r="F195" s="22"/>
    </row>
    <row r="196" spans="6:6" x14ac:dyDescent="0.35">
      <c r="F196" s="22"/>
    </row>
    <row r="197" spans="6:6" x14ac:dyDescent="0.35">
      <c r="F197" s="22"/>
    </row>
    <row r="198" spans="6:6" x14ac:dyDescent="0.35">
      <c r="F198" s="22"/>
    </row>
    <row r="199" spans="6:6" x14ac:dyDescent="0.35">
      <c r="F199" s="22"/>
    </row>
    <row r="200" spans="6:6" x14ac:dyDescent="0.35">
      <c r="F200" s="22"/>
    </row>
    <row r="201" spans="6:6" x14ac:dyDescent="0.35">
      <c r="F201" s="22"/>
    </row>
    <row r="202" spans="6:6" x14ac:dyDescent="0.35">
      <c r="F202" s="22"/>
    </row>
    <row r="203" spans="6:6" x14ac:dyDescent="0.35">
      <c r="F203" s="22"/>
    </row>
    <row r="204" spans="6:6" x14ac:dyDescent="0.35">
      <c r="F204" s="22"/>
    </row>
    <row r="205" spans="6:6" x14ac:dyDescent="0.35">
      <c r="F205" s="22"/>
    </row>
    <row r="206" spans="6:6" x14ac:dyDescent="0.35">
      <c r="F206" s="22"/>
    </row>
    <row r="207" spans="6:6" x14ac:dyDescent="0.35">
      <c r="F207" s="22"/>
    </row>
    <row r="208" spans="6:6" x14ac:dyDescent="0.35">
      <c r="F208" s="22"/>
    </row>
    <row r="209" spans="6:6" x14ac:dyDescent="0.35">
      <c r="F209" s="22"/>
    </row>
    <row r="210" spans="6:6" x14ac:dyDescent="0.35">
      <c r="F210" s="22"/>
    </row>
    <row r="211" spans="6:6" x14ac:dyDescent="0.35">
      <c r="F211" s="22"/>
    </row>
    <row r="212" spans="6:6" x14ac:dyDescent="0.35">
      <c r="F212" s="22"/>
    </row>
    <row r="213" spans="6:6" x14ac:dyDescent="0.35">
      <c r="F213" s="22"/>
    </row>
    <row r="214" spans="6:6" x14ac:dyDescent="0.35">
      <c r="F214" s="22"/>
    </row>
    <row r="215" spans="6:6" x14ac:dyDescent="0.35">
      <c r="F215" s="22"/>
    </row>
    <row r="216" spans="6:6" x14ac:dyDescent="0.35">
      <c r="F216" s="22"/>
    </row>
    <row r="217" spans="6:6" x14ac:dyDescent="0.35">
      <c r="F217" s="22"/>
    </row>
    <row r="218" spans="6:6" x14ac:dyDescent="0.35">
      <c r="F218" s="22"/>
    </row>
    <row r="219" spans="6:6" x14ac:dyDescent="0.35">
      <c r="F219" s="22"/>
    </row>
    <row r="220" spans="6:6" x14ac:dyDescent="0.35">
      <c r="F220" s="22"/>
    </row>
    <row r="221" spans="6:6" x14ac:dyDescent="0.35">
      <c r="F221" s="22"/>
    </row>
    <row r="222" spans="6:6" x14ac:dyDescent="0.35">
      <c r="F222" s="22"/>
    </row>
    <row r="223" spans="6:6" x14ac:dyDescent="0.35">
      <c r="F223" s="22"/>
    </row>
    <row r="224" spans="6:6" x14ac:dyDescent="0.35">
      <c r="F224" s="22"/>
    </row>
    <row r="225" spans="6:6" x14ac:dyDescent="0.35">
      <c r="F225" s="22"/>
    </row>
    <row r="226" spans="6:6" x14ac:dyDescent="0.35">
      <c r="F226" s="22"/>
    </row>
    <row r="227" spans="6:6" x14ac:dyDescent="0.35">
      <c r="F227" s="22"/>
    </row>
    <row r="228" spans="6:6" x14ac:dyDescent="0.35">
      <c r="F228" s="22"/>
    </row>
    <row r="229" spans="6:6" x14ac:dyDescent="0.35">
      <c r="F229" s="22"/>
    </row>
    <row r="230" spans="6:6" x14ac:dyDescent="0.35">
      <c r="F230" s="22"/>
    </row>
    <row r="231" spans="6:6" x14ac:dyDescent="0.35">
      <c r="F231" s="22"/>
    </row>
    <row r="232" spans="6:6" x14ac:dyDescent="0.35">
      <c r="F232" s="22"/>
    </row>
    <row r="233" spans="6:6" x14ac:dyDescent="0.35">
      <c r="F233" s="22"/>
    </row>
    <row r="234" spans="6:6" x14ac:dyDescent="0.35">
      <c r="F234" s="22"/>
    </row>
    <row r="235" spans="6:6" x14ac:dyDescent="0.35">
      <c r="F235" s="22"/>
    </row>
    <row r="236" spans="6:6" x14ac:dyDescent="0.35">
      <c r="F236" s="22"/>
    </row>
    <row r="237" spans="6:6" x14ac:dyDescent="0.35">
      <c r="F237" s="22"/>
    </row>
    <row r="238" spans="6:6" x14ac:dyDescent="0.35">
      <c r="F238" s="22"/>
    </row>
    <row r="239" spans="6:6" x14ac:dyDescent="0.35">
      <c r="F239" s="22"/>
    </row>
    <row r="240" spans="6:6" x14ac:dyDescent="0.35">
      <c r="F240" s="22"/>
    </row>
    <row r="241" spans="6:6" x14ac:dyDescent="0.35">
      <c r="F241" s="22"/>
    </row>
    <row r="242" spans="6:6" x14ac:dyDescent="0.35">
      <c r="F242" s="22"/>
    </row>
    <row r="243" spans="6:6" x14ac:dyDescent="0.35">
      <c r="F243" s="22"/>
    </row>
  </sheetData>
  <mergeCells count="1">
    <mergeCell ref="Z1:Z1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C27F9-5D86-4A9A-AB67-83BAE3CB892A}">
  <dimension ref="A1:R33"/>
  <sheetViews>
    <sheetView workbookViewId="0">
      <selection activeCell="Q7" sqref="Q7"/>
    </sheetView>
  </sheetViews>
  <sheetFormatPr baseColWidth="10" defaultRowHeight="14.5" x14ac:dyDescent="0.35"/>
  <cols>
    <col min="17" max="17" width="17.7265625" bestFit="1" customWidth="1"/>
    <col min="18" max="18" width="37.26953125" bestFit="1" customWidth="1"/>
  </cols>
  <sheetData>
    <row r="1" spans="1:18" ht="21" x14ac:dyDescent="0.35">
      <c r="A1" s="48" t="s">
        <v>45</v>
      </c>
      <c r="B1" s="48" t="s">
        <v>46</v>
      </c>
      <c r="C1" s="48" t="s">
        <v>47</v>
      </c>
      <c r="D1" s="48" t="s">
        <v>48</v>
      </c>
      <c r="E1" s="48" t="s">
        <v>49</v>
      </c>
      <c r="F1" s="49"/>
      <c r="G1" s="49"/>
      <c r="H1" s="49"/>
      <c r="I1" s="49"/>
      <c r="J1" s="49"/>
      <c r="K1" s="49"/>
      <c r="L1" s="49"/>
      <c r="M1" s="49"/>
      <c r="N1" s="49"/>
      <c r="O1" s="49"/>
    </row>
    <row r="2" spans="1:18" ht="21" x14ac:dyDescent="0.35">
      <c r="A2" s="49" t="s">
        <v>50</v>
      </c>
      <c r="B2" s="50">
        <v>6</v>
      </c>
      <c r="C2" s="49" t="s">
        <v>51</v>
      </c>
      <c r="D2" s="50">
        <v>1.2</v>
      </c>
      <c r="E2" s="50">
        <v>1</v>
      </c>
      <c r="F2" s="49"/>
      <c r="G2" s="49"/>
      <c r="H2" s="49"/>
      <c r="I2" s="49"/>
      <c r="J2" s="49"/>
      <c r="K2" s="49"/>
      <c r="L2" s="49"/>
      <c r="M2" s="49"/>
      <c r="N2" s="49"/>
      <c r="O2" s="49"/>
    </row>
    <row r="3" spans="1:18" ht="21" x14ac:dyDescent="0.35">
      <c r="A3" s="48" t="s">
        <v>52</v>
      </c>
      <c r="B3" s="48" t="s">
        <v>53</v>
      </c>
      <c r="C3" s="48" t="s">
        <v>54</v>
      </c>
      <c r="D3" s="48" t="s">
        <v>55</v>
      </c>
      <c r="E3" s="48" t="s">
        <v>56</v>
      </c>
      <c r="F3" s="48" t="s">
        <v>57</v>
      </c>
      <c r="G3" s="48" t="s">
        <v>58</v>
      </c>
      <c r="H3" s="48" t="s">
        <v>59</v>
      </c>
      <c r="I3" s="49"/>
      <c r="J3" s="49"/>
      <c r="K3" s="49"/>
      <c r="L3" s="49"/>
      <c r="M3" s="49"/>
      <c r="N3" s="49"/>
      <c r="O3" s="49"/>
    </row>
    <row r="4" spans="1:18" ht="21" x14ac:dyDescent="0.35">
      <c r="A4" s="49" t="s">
        <v>60</v>
      </c>
      <c r="B4" s="49" t="s">
        <v>61</v>
      </c>
      <c r="C4" s="49" t="s">
        <v>62</v>
      </c>
      <c r="D4" s="49" t="s">
        <v>63</v>
      </c>
      <c r="E4" s="49" t="s">
        <v>64</v>
      </c>
      <c r="F4" s="49" t="s">
        <v>61</v>
      </c>
      <c r="G4" s="49" t="s">
        <v>65</v>
      </c>
      <c r="H4" s="49" t="s">
        <v>65</v>
      </c>
      <c r="I4" s="49"/>
      <c r="J4" s="49"/>
      <c r="K4" s="49"/>
      <c r="L4" s="49"/>
      <c r="M4" s="49"/>
      <c r="N4" s="49"/>
      <c r="O4" s="49"/>
    </row>
    <row r="5" spans="1:18" x14ac:dyDescent="0.35">
      <c r="A5" s="48"/>
      <c r="B5" s="48"/>
      <c r="C5" s="128" t="s">
        <v>66</v>
      </c>
      <c r="D5" s="128"/>
      <c r="E5" s="128"/>
      <c r="F5" s="128"/>
      <c r="G5" s="128"/>
      <c r="H5" s="128" t="s">
        <v>67</v>
      </c>
      <c r="I5" s="128"/>
      <c r="J5" s="128"/>
      <c r="K5" s="128"/>
      <c r="L5" s="128"/>
      <c r="M5" s="128" t="s">
        <v>68</v>
      </c>
      <c r="N5" s="128"/>
      <c r="O5" s="51" t="s">
        <v>69</v>
      </c>
    </row>
    <row r="6" spans="1:18" ht="21" x14ac:dyDescent="0.35">
      <c r="A6" s="51" t="s">
        <v>70</v>
      </c>
      <c r="B6" s="51" t="s">
        <v>71</v>
      </c>
      <c r="C6" s="51" t="s">
        <v>72</v>
      </c>
      <c r="D6" s="51" t="s">
        <v>73</v>
      </c>
      <c r="E6" s="51" t="s">
        <v>74</v>
      </c>
      <c r="F6" s="51" t="s">
        <v>75</v>
      </c>
      <c r="G6" s="51" t="s">
        <v>76</v>
      </c>
      <c r="H6" s="51" t="s">
        <v>72</v>
      </c>
      <c r="I6" s="51" t="s">
        <v>73</v>
      </c>
      <c r="J6" s="51" t="s">
        <v>74</v>
      </c>
      <c r="K6" s="51" t="s">
        <v>75</v>
      </c>
      <c r="L6" s="51" t="s">
        <v>76</v>
      </c>
      <c r="M6" s="51" t="s">
        <v>74</v>
      </c>
      <c r="N6" s="51" t="s">
        <v>76</v>
      </c>
      <c r="O6" s="51" t="s">
        <v>77</v>
      </c>
    </row>
    <row r="7" spans="1:18" x14ac:dyDescent="0.35">
      <c r="A7" s="52">
        <v>20</v>
      </c>
      <c r="B7" s="52">
        <v>8.4</v>
      </c>
      <c r="C7" s="52">
        <v>5115</v>
      </c>
      <c r="D7" s="52">
        <v>7</v>
      </c>
      <c r="E7" s="52">
        <v>19</v>
      </c>
      <c r="F7" s="52">
        <v>0.01</v>
      </c>
      <c r="G7" s="52">
        <v>42</v>
      </c>
      <c r="H7" s="52">
        <v>0</v>
      </c>
      <c r="I7" s="52">
        <v>0</v>
      </c>
      <c r="J7" s="52">
        <v>0</v>
      </c>
      <c r="K7" s="52">
        <v>0</v>
      </c>
      <c r="L7" s="52">
        <v>0</v>
      </c>
      <c r="M7" s="52">
        <v>19</v>
      </c>
      <c r="N7" s="52">
        <v>42</v>
      </c>
      <c r="O7" s="50">
        <v>2.1</v>
      </c>
      <c r="Q7" s="53" t="s">
        <v>78</v>
      </c>
      <c r="R7" s="54" t="s">
        <v>79</v>
      </c>
    </row>
    <row r="8" spans="1:18" x14ac:dyDescent="0.35">
      <c r="A8" s="52">
        <v>25</v>
      </c>
      <c r="B8" s="52">
        <v>10.4</v>
      </c>
      <c r="C8" s="52">
        <v>3529</v>
      </c>
      <c r="D8" s="52">
        <v>9</v>
      </c>
      <c r="E8" s="52">
        <v>20</v>
      </c>
      <c r="F8" s="52">
        <v>0.02</v>
      </c>
      <c r="G8" s="52">
        <v>62</v>
      </c>
      <c r="H8" s="52">
        <v>1585</v>
      </c>
      <c r="I8" s="52">
        <v>6</v>
      </c>
      <c r="J8" s="52">
        <v>5</v>
      </c>
      <c r="K8" s="52">
        <v>0.01</v>
      </c>
      <c r="L8" s="52">
        <v>8</v>
      </c>
      <c r="M8" s="52">
        <v>25</v>
      </c>
      <c r="N8" s="52">
        <v>71</v>
      </c>
      <c r="O8" s="50">
        <v>2.8</v>
      </c>
      <c r="Q8" s="55" t="s">
        <v>80</v>
      </c>
      <c r="R8" s="56" t="s">
        <v>81</v>
      </c>
    </row>
    <row r="9" spans="1:18" x14ac:dyDescent="0.35">
      <c r="A9" s="52">
        <v>30</v>
      </c>
      <c r="B9" s="52">
        <v>12.2</v>
      </c>
      <c r="C9" s="52">
        <v>2144</v>
      </c>
      <c r="D9" s="52">
        <v>11</v>
      </c>
      <c r="E9" s="52">
        <v>19</v>
      </c>
      <c r="F9" s="52">
        <v>0.04</v>
      </c>
      <c r="G9" s="52">
        <v>76</v>
      </c>
      <c r="H9" s="52">
        <v>1385</v>
      </c>
      <c r="I9" s="52">
        <v>8</v>
      </c>
      <c r="J9" s="52">
        <v>7</v>
      </c>
      <c r="K9" s="52">
        <v>0.02</v>
      </c>
      <c r="L9" s="52">
        <v>21</v>
      </c>
      <c r="M9" s="52">
        <v>31</v>
      </c>
      <c r="N9" s="52">
        <v>106</v>
      </c>
      <c r="O9" s="50">
        <v>3.5</v>
      </c>
      <c r="Q9" s="55" t="s">
        <v>82</v>
      </c>
      <c r="R9" s="54" t="s">
        <v>83</v>
      </c>
    </row>
    <row r="10" spans="1:18" x14ac:dyDescent="0.35">
      <c r="A10" s="52">
        <v>35</v>
      </c>
      <c r="B10" s="52">
        <v>13.9</v>
      </c>
      <c r="C10" s="52">
        <v>1459</v>
      </c>
      <c r="D10" s="52">
        <v>13</v>
      </c>
      <c r="E10" s="52">
        <v>19</v>
      </c>
      <c r="F10" s="52">
        <v>0.06</v>
      </c>
      <c r="G10" s="52">
        <v>95</v>
      </c>
      <c r="H10" s="52">
        <v>685</v>
      </c>
      <c r="I10" s="52">
        <v>10</v>
      </c>
      <c r="J10" s="52">
        <v>5</v>
      </c>
      <c r="K10" s="52">
        <v>0.03</v>
      </c>
      <c r="L10" s="52">
        <v>21</v>
      </c>
      <c r="M10" s="52">
        <v>36</v>
      </c>
      <c r="N10" s="52">
        <v>145</v>
      </c>
      <c r="O10" s="50">
        <v>4.0999999999999996</v>
      </c>
      <c r="Q10" s="55" t="s">
        <v>12</v>
      </c>
      <c r="R10" s="54">
        <v>1966</v>
      </c>
    </row>
    <row r="11" spans="1:18" x14ac:dyDescent="0.35">
      <c r="A11" s="52">
        <v>40</v>
      </c>
      <c r="B11" s="52">
        <v>15.4</v>
      </c>
      <c r="C11" s="52">
        <v>1073</v>
      </c>
      <c r="D11" s="52">
        <v>15</v>
      </c>
      <c r="E11" s="52">
        <v>20</v>
      </c>
      <c r="F11" s="52">
        <v>0.11</v>
      </c>
      <c r="G11" s="52">
        <v>116</v>
      </c>
      <c r="H11" s="52">
        <v>386</v>
      </c>
      <c r="I11" s="52">
        <v>11</v>
      </c>
      <c r="J11" s="52">
        <v>4</v>
      </c>
      <c r="K11" s="52">
        <v>0.05</v>
      </c>
      <c r="L11" s="52">
        <v>21</v>
      </c>
      <c r="M11" s="52">
        <v>41</v>
      </c>
      <c r="N11" s="52">
        <v>187</v>
      </c>
      <c r="O11" s="50">
        <v>4.7</v>
      </c>
      <c r="Q11" s="55" t="s">
        <v>84</v>
      </c>
      <c r="R11" s="54" t="s">
        <v>85</v>
      </c>
    </row>
    <row r="12" spans="1:18" x14ac:dyDescent="0.35">
      <c r="A12" s="52">
        <v>45</v>
      </c>
      <c r="B12" s="52">
        <v>16.8</v>
      </c>
      <c r="C12" s="52">
        <v>822</v>
      </c>
      <c r="D12" s="52">
        <v>18</v>
      </c>
      <c r="E12" s="52">
        <v>21</v>
      </c>
      <c r="F12" s="52">
        <v>0.17</v>
      </c>
      <c r="G12" s="52">
        <v>137</v>
      </c>
      <c r="H12" s="52">
        <v>252</v>
      </c>
      <c r="I12" s="52">
        <v>13</v>
      </c>
      <c r="J12" s="52">
        <v>4</v>
      </c>
      <c r="K12" s="52">
        <v>0.08</v>
      </c>
      <c r="L12" s="52">
        <v>21</v>
      </c>
      <c r="M12" s="52">
        <v>45</v>
      </c>
      <c r="N12" s="52">
        <v>229</v>
      </c>
      <c r="O12" s="50">
        <v>5.0999999999999996</v>
      </c>
      <c r="Q12" s="55" t="s">
        <v>86</v>
      </c>
      <c r="R12" s="54">
        <v>3</v>
      </c>
    </row>
    <row r="13" spans="1:18" x14ac:dyDescent="0.35">
      <c r="A13" s="52">
        <v>50</v>
      </c>
      <c r="B13" s="52">
        <v>18.100000000000001</v>
      </c>
      <c r="C13" s="52">
        <v>645</v>
      </c>
      <c r="D13" s="52">
        <v>20</v>
      </c>
      <c r="E13" s="52">
        <v>21</v>
      </c>
      <c r="F13" s="52">
        <v>0.24</v>
      </c>
      <c r="G13" s="52">
        <v>157</v>
      </c>
      <c r="H13" s="52">
        <v>176</v>
      </c>
      <c r="I13" s="52">
        <v>15</v>
      </c>
      <c r="J13" s="52">
        <v>3</v>
      </c>
      <c r="K13" s="52">
        <v>0.12</v>
      </c>
      <c r="L13" s="52">
        <v>21</v>
      </c>
      <c r="M13" s="52">
        <v>49</v>
      </c>
      <c r="N13" s="52">
        <v>271</v>
      </c>
      <c r="O13" s="50">
        <v>5.4</v>
      </c>
      <c r="Q13" s="55" t="s">
        <v>87</v>
      </c>
      <c r="R13" s="54">
        <v>2</v>
      </c>
    </row>
    <row r="14" spans="1:18" x14ac:dyDescent="0.35">
      <c r="A14" s="52">
        <v>55</v>
      </c>
      <c r="B14" s="52">
        <v>19.2</v>
      </c>
      <c r="C14" s="52">
        <v>524</v>
      </c>
      <c r="D14" s="52">
        <v>23</v>
      </c>
      <c r="E14" s="52">
        <v>22</v>
      </c>
      <c r="F14" s="52">
        <v>0.34</v>
      </c>
      <c r="G14" s="52">
        <v>176</v>
      </c>
      <c r="H14" s="52">
        <v>121</v>
      </c>
      <c r="I14" s="52">
        <v>17</v>
      </c>
      <c r="J14" s="52">
        <v>3</v>
      </c>
      <c r="K14" s="52">
        <v>0.17</v>
      </c>
      <c r="L14" s="52">
        <v>21</v>
      </c>
      <c r="M14" s="52">
        <v>52</v>
      </c>
      <c r="N14" s="52">
        <v>311</v>
      </c>
      <c r="O14" s="50">
        <v>5.6</v>
      </c>
      <c r="Q14" s="55" t="s">
        <v>88</v>
      </c>
      <c r="R14" s="54" t="s">
        <v>89</v>
      </c>
    </row>
    <row r="15" spans="1:18" x14ac:dyDescent="0.35">
      <c r="A15" s="52">
        <v>60</v>
      </c>
      <c r="B15" s="52">
        <v>20.2</v>
      </c>
      <c r="C15" s="52">
        <v>436</v>
      </c>
      <c r="D15" s="52">
        <v>25</v>
      </c>
      <c r="E15" s="52">
        <v>22</v>
      </c>
      <c r="F15" s="52">
        <v>0.44</v>
      </c>
      <c r="G15" s="52">
        <v>193</v>
      </c>
      <c r="H15" s="52">
        <v>89</v>
      </c>
      <c r="I15" s="52">
        <v>20</v>
      </c>
      <c r="J15" s="52">
        <v>3</v>
      </c>
      <c r="K15" s="52">
        <v>0.24</v>
      </c>
      <c r="L15" s="52">
        <v>21</v>
      </c>
      <c r="M15" s="52">
        <v>55</v>
      </c>
      <c r="N15" s="52">
        <v>349</v>
      </c>
      <c r="O15" s="50">
        <v>5.8</v>
      </c>
      <c r="Q15" s="55" t="s">
        <v>90</v>
      </c>
      <c r="R15" s="54" t="s">
        <v>91</v>
      </c>
    </row>
    <row r="16" spans="1:18" x14ac:dyDescent="0.35">
      <c r="A16" s="52">
        <v>65</v>
      </c>
      <c r="B16" s="52">
        <v>21.1</v>
      </c>
      <c r="C16" s="52">
        <v>370</v>
      </c>
      <c r="D16" s="52">
        <v>28</v>
      </c>
      <c r="E16" s="52">
        <v>23</v>
      </c>
      <c r="F16" s="52">
        <v>0.56000000000000005</v>
      </c>
      <c r="G16" s="52">
        <v>208</v>
      </c>
      <c r="H16" s="52">
        <v>66</v>
      </c>
      <c r="I16" s="52">
        <v>22</v>
      </c>
      <c r="J16" s="52">
        <v>2</v>
      </c>
      <c r="K16" s="52">
        <v>0.32</v>
      </c>
      <c r="L16" s="52">
        <v>21</v>
      </c>
      <c r="M16" s="52">
        <v>58</v>
      </c>
      <c r="N16" s="52">
        <v>384</v>
      </c>
      <c r="O16" s="50">
        <v>5.9</v>
      </c>
    </row>
    <row r="17" spans="1:15" x14ac:dyDescent="0.35">
      <c r="A17" s="52">
        <v>70</v>
      </c>
      <c r="B17" s="52">
        <v>21.9</v>
      </c>
      <c r="C17" s="52">
        <v>319</v>
      </c>
      <c r="D17" s="52">
        <v>30</v>
      </c>
      <c r="E17" s="52">
        <v>23</v>
      </c>
      <c r="F17" s="52">
        <v>0.69</v>
      </c>
      <c r="G17" s="52">
        <v>221</v>
      </c>
      <c r="H17" s="52">
        <v>51</v>
      </c>
      <c r="I17" s="52">
        <v>24</v>
      </c>
      <c r="J17" s="52">
        <v>2</v>
      </c>
      <c r="K17" s="52">
        <v>0.41</v>
      </c>
      <c r="L17" s="52">
        <v>21</v>
      </c>
      <c r="M17" s="52">
        <v>61</v>
      </c>
      <c r="N17" s="52">
        <v>418</v>
      </c>
      <c r="O17" s="50">
        <v>6</v>
      </c>
    </row>
    <row r="18" spans="1:15" x14ac:dyDescent="0.35">
      <c r="A18" s="52">
        <v>75</v>
      </c>
      <c r="B18" s="52">
        <v>22.7</v>
      </c>
      <c r="C18" s="52">
        <v>279</v>
      </c>
      <c r="D18" s="52">
        <v>33</v>
      </c>
      <c r="E18" s="52">
        <v>23</v>
      </c>
      <c r="F18" s="52">
        <v>0.83</v>
      </c>
      <c r="G18" s="52">
        <v>231</v>
      </c>
      <c r="H18" s="52">
        <v>40</v>
      </c>
      <c r="I18" s="52">
        <v>26</v>
      </c>
      <c r="J18" s="52">
        <v>2</v>
      </c>
      <c r="K18" s="52">
        <v>0.53</v>
      </c>
      <c r="L18" s="52">
        <v>21</v>
      </c>
      <c r="M18" s="52">
        <v>63</v>
      </c>
      <c r="N18" s="52">
        <v>450</v>
      </c>
      <c r="O18" s="50">
        <v>6</v>
      </c>
    </row>
    <row r="19" spans="1:15" x14ac:dyDescent="0.35">
      <c r="A19" s="52">
        <v>80</v>
      </c>
      <c r="B19" s="52">
        <v>23.3</v>
      </c>
      <c r="C19" s="52">
        <v>246</v>
      </c>
      <c r="D19" s="52">
        <v>35</v>
      </c>
      <c r="E19" s="52">
        <v>24</v>
      </c>
      <c r="F19" s="52">
        <v>0.98</v>
      </c>
      <c r="G19" s="52">
        <v>240</v>
      </c>
      <c r="H19" s="52">
        <v>33</v>
      </c>
      <c r="I19" s="52">
        <v>28</v>
      </c>
      <c r="J19" s="52">
        <v>2</v>
      </c>
      <c r="K19" s="52">
        <v>0.63</v>
      </c>
      <c r="L19" s="52">
        <v>21</v>
      </c>
      <c r="M19" s="52">
        <v>66</v>
      </c>
      <c r="N19" s="52">
        <v>480</v>
      </c>
      <c r="O19" s="50">
        <v>6</v>
      </c>
    </row>
    <row r="20" spans="1:15" x14ac:dyDescent="0.35">
      <c r="A20" s="52">
        <v>85</v>
      </c>
      <c r="B20" s="52">
        <v>23.9</v>
      </c>
      <c r="C20" s="52">
        <v>218</v>
      </c>
      <c r="D20" s="52">
        <v>37</v>
      </c>
      <c r="E20" s="52">
        <v>24</v>
      </c>
      <c r="F20" s="52">
        <v>1.1399999999999999</v>
      </c>
      <c r="G20" s="52">
        <v>248</v>
      </c>
      <c r="H20" s="52">
        <v>28</v>
      </c>
      <c r="I20" s="52">
        <v>30</v>
      </c>
      <c r="J20" s="52">
        <v>2</v>
      </c>
      <c r="K20" s="52">
        <v>0.75</v>
      </c>
      <c r="L20" s="52">
        <v>21</v>
      </c>
      <c r="M20" s="52">
        <v>68</v>
      </c>
      <c r="N20" s="52">
        <v>508</v>
      </c>
      <c r="O20" s="50">
        <v>6</v>
      </c>
    </row>
    <row r="21" spans="1:15" x14ac:dyDescent="0.35">
      <c r="A21" s="52">
        <v>90</v>
      </c>
      <c r="B21" s="52">
        <v>24.4</v>
      </c>
      <c r="C21" s="52">
        <v>194</v>
      </c>
      <c r="D21" s="52">
        <v>39</v>
      </c>
      <c r="E21" s="52">
        <v>24</v>
      </c>
      <c r="F21" s="52">
        <v>1.31</v>
      </c>
      <c r="G21" s="52">
        <v>254</v>
      </c>
      <c r="H21" s="52">
        <v>24</v>
      </c>
      <c r="I21" s="52">
        <v>32</v>
      </c>
      <c r="J21" s="52">
        <v>2</v>
      </c>
      <c r="K21" s="52">
        <v>0.89</v>
      </c>
      <c r="L21" s="52">
        <v>21</v>
      </c>
      <c r="M21" s="52">
        <v>70</v>
      </c>
      <c r="N21" s="52">
        <v>535</v>
      </c>
      <c r="O21" s="50">
        <v>5.9</v>
      </c>
    </row>
    <row r="22" spans="1:15" x14ac:dyDescent="0.35">
      <c r="A22" s="52">
        <v>95</v>
      </c>
      <c r="B22" s="52">
        <v>24.8</v>
      </c>
      <c r="C22" s="52">
        <v>173</v>
      </c>
      <c r="D22" s="52">
        <v>42</v>
      </c>
      <c r="E22" s="52">
        <v>24</v>
      </c>
      <c r="F22" s="52">
        <v>1.49</v>
      </c>
      <c r="G22" s="52">
        <v>258</v>
      </c>
      <c r="H22" s="52">
        <v>20</v>
      </c>
      <c r="I22" s="52">
        <v>35</v>
      </c>
      <c r="J22" s="52">
        <v>2</v>
      </c>
      <c r="K22" s="52">
        <v>1.03</v>
      </c>
      <c r="L22" s="52">
        <v>21</v>
      </c>
      <c r="M22" s="52">
        <v>72</v>
      </c>
      <c r="N22" s="52">
        <v>560</v>
      </c>
      <c r="O22" s="50">
        <v>5.9</v>
      </c>
    </row>
    <row r="23" spans="1:15" x14ac:dyDescent="0.35">
      <c r="A23" s="52">
        <v>100</v>
      </c>
      <c r="B23" s="52">
        <v>25.2</v>
      </c>
      <c r="C23" s="52">
        <v>156</v>
      </c>
      <c r="D23" s="52">
        <v>44</v>
      </c>
      <c r="E23" s="52">
        <v>23</v>
      </c>
      <c r="F23" s="52">
        <v>1.67</v>
      </c>
      <c r="G23" s="52">
        <v>261</v>
      </c>
      <c r="H23" s="52">
        <v>17</v>
      </c>
      <c r="I23" s="52">
        <v>37</v>
      </c>
      <c r="J23" s="52">
        <v>2</v>
      </c>
      <c r="K23" s="52">
        <v>1.21</v>
      </c>
      <c r="L23" s="52">
        <v>21</v>
      </c>
      <c r="M23" s="52">
        <v>73</v>
      </c>
      <c r="N23" s="52">
        <v>584</v>
      </c>
      <c r="O23" s="50">
        <v>5.8</v>
      </c>
    </row>
    <row r="24" spans="1:15" x14ac:dyDescent="0.35">
      <c r="A24" s="52">
        <v>105</v>
      </c>
      <c r="B24" s="52">
        <v>25.6</v>
      </c>
      <c r="C24" s="52">
        <v>142</v>
      </c>
      <c r="D24" s="52">
        <v>46</v>
      </c>
      <c r="E24" s="52">
        <v>23</v>
      </c>
      <c r="F24" s="52">
        <v>1.85</v>
      </c>
      <c r="G24" s="52">
        <v>264</v>
      </c>
      <c r="H24" s="52">
        <v>14</v>
      </c>
      <c r="I24" s="52">
        <v>39</v>
      </c>
      <c r="J24" s="52">
        <v>2</v>
      </c>
      <c r="K24" s="52">
        <v>1.37</v>
      </c>
      <c r="L24" s="52">
        <v>20</v>
      </c>
      <c r="M24" s="52">
        <v>75</v>
      </c>
      <c r="N24" s="52">
        <v>606</v>
      </c>
      <c r="O24" s="50">
        <v>5.8</v>
      </c>
    </row>
    <row r="25" spans="1:15" x14ac:dyDescent="0.35">
      <c r="A25" s="52">
        <v>110</v>
      </c>
      <c r="B25" s="52">
        <v>25.9</v>
      </c>
      <c r="C25" s="52">
        <v>130</v>
      </c>
      <c r="D25" s="52">
        <v>47</v>
      </c>
      <c r="E25" s="52">
        <v>23</v>
      </c>
      <c r="F25" s="52">
        <v>2.04</v>
      </c>
      <c r="G25" s="52">
        <v>266</v>
      </c>
      <c r="H25" s="52">
        <v>12</v>
      </c>
      <c r="I25" s="52">
        <v>41</v>
      </c>
      <c r="J25" s="52">
        <v>2</v>
      </c>
      <c r="K25" s="52">
        <v>1.53</v>
      </c>
      <c r="L25" s="52">
        <v>19</v>
      </c>
      <c r="M25" s="52">
        <v>76</v>
      </c>
      <c r="N25" s="52">
        <v>627</v>
      </c>
      <c r="O25" s="50">
        <v>5.7</v>
      </c>
    </row>
    <row r="26" spans="1:15" x14ac:dyDescent="0.35">
      <c r="A26" s="52">
        <v>115</v>
      </c>
      <c r="B26" s="52">
        <v>26.2</v>
      </c>
      <c r="C26" s="52">
        <v>120</v>
      </c>
      <c r="D26" s="52">
        <v>49</v>
      </c>
      <c r="E26" s="52">
        <v>23</v>
      </c>
      <c r="F26" s="52">
        <v>2.2200000000000002</v>
      </c>
      <c r="G26" s="52">
        <v>267</v>
      </c>
      <c r="H26" s="52">
        <v>10</v>
      </c>
      <c r="I26" s="52">
        <v>43</v>
      </c>
      <c r="J26" s="52">
        <v>1</v>
      </c>
      <c r="K26" s="52">
        <v>1.76</v>
      </c>
      <c r="L26" s="52">
        <v>18</v>
      </c>
      <c r="M26" s="52">
        <v>77</v>
      </c>
      <c r="N26" s="52">
        <v>646</v>
      </c>
      <c r="O26" s="50">
        <v>5.6</v>
      </c>
    </row>
    <row r="27" spans="1:15" x14ac:dyDescent="0.35">
      <c r="A27" s="52">
        <v>120</v>
      </c>
      <c r="B27" s="52">
        <v>26.4</v>
      </c>
      <c r="C27" s="52">
        <v>112</v>
      </c>
      <c r="D27" s="52">
        <v>51</v>
      </c>
      <c r="E27" s="52">
        <v>23</v>
      </c>
      <c r="F27" s="52">
        <v>2.4</v>
      </c>
      <c r="G27" s="52">
        <v>268</v>
      </c>
      <c r="H27" s="52">
        <v>9</v>
      </c>
      <c r="I27" s="52">
        <v>45</v>
      </c>
      <c r="J27" s="52">
        <v>1</v>
      </c>
      <c r="K27" s="52">
        <v>1.94</v>
      </c>
      <c r="L27" s="52">
        <v>17</v>
      </c>
      <c r="M27" s="52">
        <v>79</v>
      </c>
      <c r="N27" s="52">
        <v>664</v>
      </c>
      <c r="O27" s="50">
        <v>5.5</v>
      </c>
    </row>
    <row r="28" spans="1:15" x14ac:dyDescent="0.35">
      <c r="A28" s="52">
        <v>125</v>
      </c>
      <c r="B28" s="52">
        <v>26.6</v>
      </c>
      <c r="C28" s="52">
        <v>105</v>
      </c>
      <c r="D28" s="52">
        <v>52</v>
      </c>
      <c r="E28" s="52">
        <v>22</v>
      </c>
      <c r="F28" s="52">
        <v>2.57</v>
      </c>
      <c r="G28" s="52">
        <v>268</v>
      </c>
      <c r="H28" s="52">
        <v>8</v>
      </c>
      <c r="I28" s="52">
        <v>46</v>
      </c>
      <c r="J28" s="52">
        <v>1</v>
      </c>
      <c r="K28" s="52">
        <v>2.0299999999999998</v>
      </c>
      <c r="L28" s="52">
        <v>16</v>
      </c>
      <c r="M28" s="52">
        <v>80</v>
      </c>
      <c r="N28" s="52">
        <v>680</v>
      </c>
      <c r="O28" s="50">
        <v>5.4</v>
      </c>
    </row>
    <row r="29" spans="1:15" x14ac:dyDescent="0.35">
      <c r="A29" s="52">
        <v>130</v>
      </c>
      <c r="B29" s="52">
        <v>26.8</v>
      </c>
      <c r="C29" s="52">
        <v>98</v>
      </c>
      <c r="D29" s="52">
        <v>54</v>
      </c>
      <c r="E29" s="52">
        <v>22</v>
      </c>
      <c r="F29" s="52">
        <v>2.75</v>
      </c>
      <c r="G29" s="52">
        <v>269</v>
      </c>
      <c r="H29" s="52">
        <v>7</v>
      </c>
      <c r="I29" s="52">
        <v>48</v>
      </c>
      <c r="J29" s="52">
        <v>1</v>
      </c>
      <c r="K29" s="52">
        <v>2.2200000000000002</v>
      </c>
      <c r="L29" s="52">
        <v>15</v>
      </c>
      <c r="M29" s="52">
        <v>81</v>
      </c>
      <c r="N29" s="52">
        <v>696</v>
      </c>
      <c r="O29" s="50">
        <v>5.4</v>
      </c>
    </row>
    <row r="30" spans="1:15" x14ac:dyDescent="0.35">
      <c r="A30" s="52">
        <v>135</v>
      </c>
      <c r="B30" s="52">
        <v>27</v>
      </c>
      <c r="C30" s="52">
        <v>92</v>
      </c>
      <c r="D30" s="52">
        <v>55</v>
      </c>
      <c r="E30" s="52">
        <v>22</v>
      </c>
      <c r="F30" s="52">
        <v>2.92</v>
      </c>
      <c r="G30" s="52">
        <v>269</v>
      </c>
      <c r="H30" s="52">
        <v>6</v>
      </c>
      <c r="I30" s="52">
        <v>50</v>
      </c>
      <c r="J30" s="52">
        <v>1</v>
      </c>
      <c r="K30" s="52">
        <v>2.41</v>
      </c>
      <c r="L30" s="52">
        <v>14</v>
      </c>
      <c r="M30" s="52">
        <v>82</v>
      </c>
      <c r="N30" s="52">
        <v>710</v>
      </c>
      <c r="O30" s="50">
        <v>5.3</v>
      </c>
    </row>
    <row r="31" spans="1:15" x14ac:dyDescent="0.35">
      <c r="A31" s="52">
        <v>140</v>
      </c>
      <c r="B31" s="52">
        <v>27.2</v>
      </c>
      <c r="C31" s="52">
        <v>87</v>
      </c>
      <c r="D31" s="52">
        <v>57</v>
      </c>
      <c r="E31" s="52">
        <v>22</v>
      </c>
      <c r="F31" s="52">
        <v>3.1</v>
      </c>
      <c r="G31" s="52">
        <v>269</v>
      </c>
      <c r="H31" s="52">
        <v>5</v>
      </c>
      <c r="I31" s="52">
        <v>52</v>
      </c>
      <c r="J31" s="52">
        <v>1</v>
      </c>
      <c r="K31" s="52">
        <v>2.58</v>
      </c>
      <c r="L31" s="52">
        <v>13</v>
      </c>
      <c r="M31" s="52">
        <v>83</v>
      </c>
      <c r="N31" s="52">
        <v>724</v>
      </c>
      <c r="O31" s="50">
        <v>5.2</v>
      </c>
    </row>
    <row r="32" spans="1:15" x14ac:dyDescent="0.35">
      <c r="A32" s="52">
        <v>145</v>
      </c>
      <c r="B32" s="52">
        <v>27.3</v>
      </c>
      <c r="C32" s="52">
        <v>82</v>
      </c>
      <c r="D32" s="52">
        <v>58</v>
      </c>
      <c r="E32" s="52">
        <v>22</v>
      </c>
      <c r="F32" s="52">
        <v>3.27</v>
      </c>
      <c r="G32" s="52">
        <v>269</v>
      </c>
      <c r="H32" s="52">
        <v>5</v>
      </c>
      <c r="I32" s="52">
        <v>54</v>
      </c>
      <c r="J32" s="52">
        <v>1</v>
      </c>
      <c r="K32" s="52">
        <v>2.78</v>
      </c>
      <c r="L32" s="52">
        <v>13</v>
      </c>
      <c r="M32" s="52">
        <v>83</v>
      </c>
      <c r="N32" s="52">
        <v>736</v>
      </c>
      <c r="O32" s="50">
        <v>5.0999999999999996</v>
      </c>
    </row>
    <row r="33" spans="1:15" x14ac:dyDescent="0.35">
      <c r="A33" s="52">
        <v>150</v>
      </c>
      <c r="B33" s="52">
        <v>27.4</v>
      </c>
      <c r="C33" s="52">
        <v>78</v>
      </c>
      <c r="D33" s="52">
        <v>59</v>
      </c>
      <c r="E33" s="52">
        <v>22</v>
      </c>
      <c r="F33" s="52">
        <v>3.43</v>
      </c>
      <c r="G33" s="52">
        <v>268</v>
      </c>
      <c r="H33" s="52">
        <v>4</v>
      </c>
      <c r="I33" s="52">
        <v>55</v>
      </c>
      <c r="J33" s="52">
        <v>1</v>
      </c>
      <c r="K33" s="52">
        <v>2.97</v>
      </c>
      <c r="L33" s="52">
        <v>12</v>
      </c>
      <c r="M33" s="52">
        <v>84</v>
      </c>
      <c r="N33" s="52">
        <v>747</v>
      </c>
      <c r="O33" s="50">
        <v>5</v>
      </c>
    </row>
  </sheetData>
  <mergeCells count="3">
    <mergeCell ref="C5:G5"/>
    <mergeCell ref="H5:L5"/>
    <mergeCell ref="M5:N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2B5A7-1957-45C9-8AFB-F91397218C97}">
  <dimension ref="A1:Z243"/>
  <sheetViews>
    <sheetView workbookViewId="0">
      <selection sqref="A1:XFD1048576"/>
    </sheetView>
  </sheetViews>
  <sheetFormatPr baseColWidth="10" defaultColWidth="10.81640625" defaultRowHeight="14.5" x14ac:dyDescent="0.35"/>
  <cols>
    <col min="1" max="1" width="6.81640625" style="62" bestFit="1" customWidth="1"/>
    <col min="2" max="2" width="9.54296875" style="62" bestFit="1" customWidth="1"/>
    <col min="3" max="5" width="10.81640625" style="62"/>
    <col min="6" max="6" width="6.81640625" style="62" bestFit="1" customWidth="1"/>
    <col min="7" max="7" width="9.54296875" style="62" bestFit="1" customWidth="1"/>
    <col min="8" max="9" width="9.453125" style="62" bestFit="1" customWidth="1"/>
    <col min="10" max="10" width="12.26953125" style="62" bestFit="1" customWidth="1"/>
    <col min="11" max="11" width="6.81640625" style="62" bestFit="1" customWidth="1"/>
    <col min="12" max="12" width="9" style="62" bestFit="1" customWidth="1"/>
    <col min="13" max="13" width="9.453125" style="62" bestFit="1" customWidth="1"/>
    <col min="14" max="14" width="11.81640625" style="62" bestFit="1" customWidth="1"/>
    <col min="15" max="15" width="9.1796875" style="62" bestFit="1" customWidth="1"/>
    <col min="16" max="16" width="9.453125" style="62" bestFit="1" customWidth="1"/>
    <col min="17" max="17" width="9.7265625" style="62" bestFit="1" customWidth="1"/>
    <col min="18" max="18" width="11" style="62" bestFit="1" customWidth="1"/>
    <col min="19" max="19" width="13.7265625" style="62" customWidth="1"/>
    <col min="20" max="20" width="23.26953125" style="62" customWidth="1"/>
    <col min="21" max="21" width="15.453125" style="62" bestFit="1" customWidth="1"/>
    <col min="22" max="22" width="29.7265625" style="62" bestFit="1" customWidth="1"/>
    <col min="23" max="23" width="12.1796875" style="62" bestFit="1" customWidth="1"/>
    <col min="24" max="24" width="39.81640625" style="62" customWidth="1"/>
    <col min="25" max="25" width="38.54296875" style="62" bestFit="1" customWidth="1"/>
    <col min="26" max="26" width="34.7265625" style="62" customWidth="1"/>
    <col min="27" max="16384" width="10.81640625" style="62"/>
  </cols>
  <sheetData>
    <row r="1" spans="1:26" ht="58" x14ac:dyDescent="0.35">
      <c r="A1" s="101" t="s">
        <v>12</v>
      </c>
      <c r="B1" s="101" t="s">
        <v>13</v>
      </c>
      <c r="C1" s="94" t="s">
        <v>14</v>
      </c>
      <c r="D1" s="94" t="s">
        <v>15</v>
      </c>
      <c r="E1" s="94" t="s">
        <v>16</v>
      </c>
      <c r="F1" s="69" t="s">
        <v>12</v>
      </c>
      <c r="G1" s="70" t="s">
        <v>17</v>
      </c>
      <c r="H1" s="68" t="s">
        <v>14</v>
      </c>
      <c r="I1" s="68" t="s">
        <v>15</v>
      </c>
      <c r="J1" s="68" t="s">
        <v>103</v>
      </c>
      <c r="K1" s="76" t="s">
        <v>12</v>
      </c>
      <c r="L1" s="77" t="s">
        <v>19</v>
      </c>
      <c r="M1" s="78" t="s">
        <v>20</v>
      </c>
      <c r="N1" s="78" t="s">
        <v>21</v>
      </c>
      <c r="O1" s="77" t="s">
        <v>22</v>
      </c>
      <c r="P1" s="77" t="s">
        <v>23</v>
      </c>
      <c r="Q1" s="77" t="s">
        <v>24</v>
      </c>
      <c r="R1" s="77" t="s">
        <v>25</v>
      </c>
      <c r="S1" s="77" t="s">
        <v>26</v>
      </c>
      <c r="T1" s="94" t="s">
        <v>104</v>
      </c>
      <c r="U1" s="95">
        <v>0.56999999999999995</v>
      </c>
      <c r="V1" s="68" t="s">
        <v>105</v>
      </c>
      <c r="W1" s="70">
        <v>0.43</v>
      </c>
      <c r="X1" s="127" t="s">
        <v>106</v>
      </c>
      <c r="Y1" s="61"/>
      <c r="Z1" s="61"/>
    </row>
    <row r="2" spans="1:26" x14ac:dyDescent="0.35">
      <c r="A2" s="102">
        <v>0</v>
      </c>
      <c r="B2" s="103">
        <v>0</v>
      </c>
      <c r="C2" s="104">
        <f>B2*1.56*$U$1</f>
        <v>0</v>
      </c>
      <c r="D2" s="104">
        <v>0</v>
      </c>
      <c r="E2" s="104">
        <f>(C2+D2)*0.475*44/12</f>
        <v>0</v>
      </c>
      <c r="F2" s="71">
        <v>0</v>
      </c>
      <c r="G2" s="72">
        <v>0</v>
      </c>
      <c r="H2" s="73">
        <f>G2*$W$1</f>
        <v>0</v>
      </c>
      <c r="I2" s="72">
        <v>0</v>
      </c>
      <c r="J2" s="72">
        <v>0</v>
      </c>
      <c r="K2" s="87">
        <v>0</v>
      </c>
      <c r="L2" s="79"/>
      <c r="M2" s="79"/>
      <c r="N2" s="79"/>
      <c r="O2" s="79"/>
      <c r="P2" s="79">
        <v>0</v>
      </c>
      <c r="Q2" s="79">
        <v>0</v>
      </c>
      <c r="R2" s="79">
        <v>0</v>
      </c>
      <c r="S2" s="79">
        <f>SUM(P2:R2)</f>
        <v>0</v>
      </c>
      <c r="U2" s="64" t="s">
        <v>9</v>
      </c>
      <c r="V2" s="64" t="s">
        <v>31</v>
      </c>
      <c r="W2" s="65">
        <f>AVERAGE(J2:J120)</f>
        <v>284.35918927956453</v>
      </c>
      <c r="X2" s="127"/>
      <c r="Y2" s="66"/>
    </row>
    <row r="3" spans="1:26" x14ac:dyDescent="0.35">
      <c r="A3" s="102">
        <v>1</v>
      </c>
      <c r="B3" s="103">
        <f>B2+1</f>
        <v>1</v>
      </c>
      <c r="C3" s="104">
        <f t="shared" ref="C3:C66" si="0">B3*1.56*$U$1</f>
        <v>0.88919999999999999</v>
      </c>
      <c r="D3" s="104">
        <f t="shared" ref="D3:D66" si="1">EXP(-1.0587+0.8836*LN(C3)+0.284)</f>
        <v>0.41542055579923082</v>
      </c>
      <c r="E3" s="104">
        <f t="shared" ref="E3:E66" si="2">(C3+D3)*0.475*44/12</f>
        <v>2.2722141346836602</v>
      </c>
      <c r="F3" s="71">
        <f>F2+1</f>
        <v>1</v>
      </c>
      <c r="G3" s="72">
        <v>1</v>
      </c>
      <c r="H3" s="73">
        <f t="shared" ref="H3:H66" si="3">G3*$W$1</f>
        <v>0.43</v>
      </c>
      <c r="I3" s="73">
        <f t="shared" ref="I3:I47" si="4">EXP(-1.0587+0.8836*LN(H3)+0.284)</f>
        <v>0.21861743385441934</v>
      </c>
      <c r="J3" s="73">
        <f>(H3+I3)*0.475*44/12</f>
        <v>1.1296753639631136</v>
      </c>
      <c r="K3" s="87">
        <f>K2+1</f>
        <v>1</v>
      </c>
      <c r="L3" s="79"/>
      <c r="M3" s="79"/>
      <c r="N3" s="79"/>
      <c r="O3" s="79"/>
      <c r="P3" s="80">
        <f>EXP(-LN(2)/35)*P2+(1-EXP(-LN(2)/35))/(LN(2)/35)*M3*L3*$W$1*0.475*44/12</f>
        <v>0</v>
      </c>
      <c r="Q3" s="80">
        <f>EXP(-LN(2)/25)*Q2+(1-EXP(-LN(2)/25))/(LN(2)/25)*N3*L3*$W$1*0.475*44/12</f>
        <v>0</v>
      </c>
      <c r="R3" s="80">
        <f>EXP(-LN(2)/2)*R2+(1-EXP(-LN(2)/2))/(LN(2)/2)*O3*L3*$W$1*0.475*44/12</f>
        <v>0</v>
      </c>
      <c r="S3" s="80">
        <f>SUM(P3:R3)</f>
        <v>0</v>
      </c>
      <c r="U3" s="64" t="s">
        <v>32</v>
      </c>
      <c r="V3" s="64" t="s">
        <v>31</v>
      </c>
      <c r="W3" s="65">
        <f>AVERAGE(E2:E112)</f>
        <v>109.61247992650179</v>
      </c>
      <c r="X3" s="127"/>
      <c r="Y3" s="64"/>
    </row>
    <row r="4" spans="1:26" x14ac:dyDescent="0.35">
      <c r="A4" s="102">
        <v>2</v>
      </c>
      <c r="B4" s="103">
        <f t="shared" ref="B4:B67" si="5">B3+1</f>
        <v>2</v>
      </c>
      <c r="C4" s="104">
        <f t="shared" si="0"/>
        <v>1.7784</v>
      </c>
      <c r="D4" s="104">
        <f t="shared" si="1"/>
        <v>0.76643986660078545</v>
      </c>
      <c r="E4" s="104">
        <f t="shared" si="2"/>
        <v>4.4322627676630342</v>
      </c>
      <c r="F4" s="71">
        <f t="shared" ref="F4:F67" si="6">F3+1</f>
        <v>2</v>
      </c>
      <c r="G4" s="72">
        <v>2</v>
      </c>
      <c r="H4" s="73">
        <f t="shared" si="3"/>
        <v>0.86</v>
      </c>
      <c r="I4" s="73">
        <f t="shared" si="4"/>
        <v>0.40334334567923058</v>
      </c>
      <c r="J4" s="73">
        <f t="shared" ref="J4:J67" si="7">(H4+I4)*0.475*44/12</f>
        <v>2.2003229937246598</v>
      </c>
      <c r="K4" s="87">
        <f t="shared" ref="K4:K32" si="8">K3+1</f>
        <v>2</v>
      </c>
      <c r="L4" s="79"/>
      <c r="M4" s="79"/>
      <c r="N4" s="79"/>
      <c r="O4" s="79"/>
      <c r="P4" s="80">
        <f t="shared" ref="P4:P32" si="9">EXP(-LN(2)/35)*P3+(1-EXP(-LN(2)/35))/(LN(2)/35)*M4*L4*$W$1*0.475*44/12</f>
        <v>0</v>
      </c>
      <c r="Q4" s="80">
        <f>EXP(-LN(2)/25)*Q3+(1-EXP(-LN(2)/25))/(LN(2)/25)*N4*L4*$W$1*0.475*44/12</f>
        <v>0</v>
      </c>
      <c r="R4" s="80">
        <f t="shared" ref="R4:R32" si="10">EXP(-LN(2)/2)*R3+(1-EXP(-LN(2)/2))/(LN(2)/2)*O4*L4*$W$1*0.475*44/12</f>
        <v>0</v>
      </c>
      <c r="S4" s="80">
        <f>SUM(P4:R4)</f>
        <v>0</v>
      </c>
      <c r="U4" s="64"/>
      <c r="V4" s="63" t="s">
        <v>33</v>
      </c>
      <c r="W4" s="65">
        <f>W2-W3</f>
        <v>174.74670935306273</v>
      </c>
      <c r="X4" s="127"/>
      <c r="Y4" s="64"/>
    </row>
    <row r="5" spans="1:26" x14ac:dyDescent="0.35">
      <c r="A5" s="102">
        <v>3</v>
      </c>
      <c r="B5" s="103">
        <f t="shared" si="5"/>
        <v>3</v>
      </c>
      <c r="C5" s="104">
        <f t="shared" si="0"/>
        <v>2.6675999999999997</v>
      </c>
      <c r="D5" s="104">
        <f t="shared" si="1"/>
        <v>1.0966608080083624</v>
      </c>
      <c r="E5" s="104">
        <f t="shared" si="2"/>
        <v>6.5560875739478979</v>
      </c>
      <c r="F5" s="71">
        <f t="shared" si="6"/>
        <v>3</v>
      </c>
      <c r="G5" s="72">
        <v>3</v>
      </c>
      <c r="H5" s="73">
        <f t="shared" si="3"/>
        <v>1.29</v>
      </c>
      <c r="I5" s="73">
        <f t="shared" si="4"/>
        <v>0.57712399713646079</v>
      </c>
      <c r="J5" s="73">
        <f t="shared" si="7"/>
        <v>3.2519076283460024</v>
      </c>
      <c r="K5" s="87">
        <f t="shared" si="8"/>
        <v>3</v>
      </c>
      <c r="L5" s="79"/>
      <c r="M5" s="79"/>
      <c r="N5" s="79"/>
      <c r="O5" s="79"/>
      <c r="P5" s="80">
        <f t="shared" si="9"/>
        <v>0</v>
      </c>
      <c r="Q5" s="80">
        <f t="shared" ref="Q5:Q32" si="11">EXP(-LN(2)/25)*Q4+(1-EXP(-LN(2)/25))/(LN(2)/25)*N5*L5*$W$1*0.475*44/12</f>
        <v>0</v>
      </c>
      <c r="R5" s="80">
        <f t="shared" si="10"/>
        <v>0</v>
      </c>
      <c r="S5" s="80">
        <f t="shared" ref="S5:S32" si="12">SUM(P5:R5)</f>
        <v>0</v>
      </c>
      <c r="U5" s="64"/>
      <c r="V5" s="64" t="s">
        <v>34</v>
      </c>
      <c r="W5" s="65">
        <f>J33-E32</f>
        <v>137.25352027238188</v>
      </c>
      <c r="X5" s="127"/>
      <c r="Y5" s="64"/>
    </row>
    <row r="6" spans="1:26" x14ac:dyDescent="0.35">
      <c r="A6" s="102">
        <v>4</v>
      </c>
      <c r="B6" s="103">
        <f t="shared" si="5"/>
        <v>4</v>
      </c>
      <c r="C6" s="104">
        <f t="shared" si="0"/>
        <v>3.5568</v>
      </c>
      <c r="D6" s="104">
        <f t="shared" si="1"/>
        <v>1.4140611505968179</v>
      </c>
      <c r="E6" s="104">
        <f t="shared" si="2"/>
        <v>8.6575831706227913</v>
      </c>
      <c r="F6" s="71">
        <f t="shared" si="6"/>
        <v>4</v>
      </c>
      <c r="G6" s="72">
        <v>4</v>
      </c>
      <c r="H6" s="73">
        <f t="shared" si="3"/>
        <v>1.72</v>
      </c>
      <c r="I6" s="73">
        <f t="shared" si="4"/>
        <v>0.74415773543499841</v>
      </c>
      <c r="J6" s="73">
        <f t="shared" si="7"/>
        <v>4.2917413892159546</v>
      </c>
      <c r="K6" s="87">
        <f t="shared" si="8"/>
        <v>4</v>
      </c>
      <c r="L6" s="79"/>
      <c r="M6" s="79"/>
      <c r="N6" s="79"/>
      <c r="O6" s="79"/>
      <c r="P6" s="80">
        <f t="shared" si="9"/>
        <v>0</v>
      </c>
      <c r="Q6" s="80">
        <f t="shared" si="11"/>
        <v>0</v>
      </c>
      <c r="R6" s="80">
        <f t="shared" si="10"/>
        <v>0</v>
      </c>
      <c r="S6" s="80">
        <f t="shared" si="12"/>
        <v>0</v>
      </c>
      <c r="U6" s="64"/>
      <c r="V6" s="64" t="s">
        <v>35</v>
      </c>
      <c r="W6" s="65">
        <f>W5</f>
        <v>137.25352027238188</v>
      </c>
      <c r="X6" s="127"/>
      <c r="Y6" s="64"/>
    </row>
    <row r="7" spans="1:26" x14ac:dyDescent="0.35">
      <c r="A7" s="102">
        <v>5</v>
      </c>
      <c r="B7" s="103">
        <f t="shared" si="5"/>
        <v>5</v>
      </c>
      <c r="C7" s="104">
        <f t="shared" si="0"/>
        <v>4.4459999999999997</v>
      </c>
      <c r="D7" s="104">
        <f t="shared" si="1"/>
        <v>1.7222566815192897</v>
      </c>
      <c r="E7" s="104">
        <f t="shared" si="2"/>
        <v>10.743047053646096</v>
      </c>
      <c r="F7" s="71">
        <f t="shared" si="6"/>
        <v>5</v>
      </c>
      <c r="G7" s="72">
        <f t="shared" ref="G7:G16" si="13">G6+G6-G5+1</f>
        <v>6</v>
      </c>
      <c r="H7" s="73">
        <f t="shared" si="3"/>
        <v>2.58</v>
      </c>
      <c r="I7" s="73">
        <f t="shared" si="4"/>
        <v>1.0647784111847272</v>
      </c>
      <c r="J7" s="73">
        <f t="shared" si="7"/>
        <v>6.3479890661467318</v>
      </c>
      <c r="K7" s="87">
        <f t="shared" si="8"/>
        <v>5</v>
      </c>
      <c r="L7" s="79"/>
      <c r="M7" s="79"/>
      <c r="N7" s="79"/>
      <c r="O7" s="79"/>
      <c r="P7" s="80">
        <f t="shared" si="9"/>
        <v>0</v>
      </c>
      <c r="Q7" s="80">
        <f t="shared" si="11"/>
        <v>0</v>
      </c>
      <c r="R7" s="80">
        <f t="shared" si="10"/>
        <v>0</v>
      </c>
      <c r="S7" s="80">
        <f t="shared" si="12"/>
        <v>0</v>
      </c>
      <c r="U7" s="64"/>
      <c r="V7" s="64" t="s">
        <v>36</v>
      </c>
      <c r="W7" s="91">
        <v>0</v>
      </c>
      <c r="X7" s="127"/>
    </row>
    <row r="8" spans="1:26" x14ac:dyDescent="0.35">
      <c r="A8" s="102">
        <v>6</v>
      </c>
      <c r="B8" s="103">
        <f t="shared" si="5"/>
        <v>6</v>
      </c>
      <c r="C8" s="104">
        <f t="shared" si="0"/>
        <v>5.3351999999999995</v>
      </c>
      <c r="D8" s="104">
        <f t="shared" si="1"/>
        <v>2.0233099967312578</v>
      </c>
      <c r="E8" s="104">
        <f t="shared" si="2"/>
        <v>12.816071577640272</v>
      </c>
      <c r="F8" s="71">
        <f t="shared" si="6"/>
        <v>6</v>
      </c>
      <c r="G8" s="72">
        <f t="shared" si="13"/>
        <v>9</v>
      </c>
      <c r="H8" s="73">
        <f t="shared" si="3"/>
        <v>3.87</v>
      </c>
      <c r="I8" s="73">
        <f t="shared" si="4"/>
        <v>1.5235386409876324</v>
      </c>
      <c r="J8" s="73">
        <f t="shared" si="7"/>
        <v>9.3937464663867924</v>
      </c>
      <c r="K8" s="87">
        <f t="shared" si="8"/>
        <v>6</v>
      </c>
      <c r="L8" s="79"/>
      <c r="M8" s="79"/>
      <c r="N8" s="79"/>
      <c r="O8" s="79"/>
      <c r="P8" s="80">
        <f t="shared" si="9"/>
        <v>0</v>
      </c>
      <c r="Q8" s="80">
        <f t="shared" si="11"/>
        <v>0</v>
      </c>
      <c r="R8" s="80">
        <f t="shared" si="10"/>
        <v>0</v>
      </c>
      <c r="S8" s="80">
        <f t="shared" si="12"/>
        <v>0</v>
      </c>
      <c r="U8" s="64"/>
      <c r="V8" s="64" t="s">
        <v>37</v>
      </c>
      <c r="W8" s="63">
        <v>0</v>
      </c>
      <c r="X8" s="127"/>
    </row>
    <row r="9" spans="1:26" x14ac:dyDescent="0.35">
      <c r="A9" s="102">
        <v>7</v>
      </c>
      <c r="B9" s="103">
        <f t="shared" si="5"/>
        <v>7</v>
      </c>
      <c r="C9" s="104">
        <f t="shared" si="0"/>
        <v>6.2243999999999993</v>
      </c>
      <c r="D9" s="104">
        <f t="shared" si="1"/>
        <v>2.3185507720937846</v>
      </c>
      <c r="E9" s="104">
        <f t="shared" si="2"/>
        <v>14.878972594730007</v>
      </c>
      <c r="F9" s="71">
        <f t="shared" si="6"/>
        <v>7</v>
      </c>
      <c r="G9" s="72">
        <f t="shared" si="13"/>
        <v>13</v>
      </c>
      <c r="H9" s="73">
        <f t="shared" si="3"/>
        <v>5.59</v>
      </c>
      <c r="I9" s="73">
        <f t="shared" si="4"/>
        <v>2.1084588929503831</v>
      </c>
      <c r="J9" s="73">
        <f t="shared" si="7"/>
        <v>13.408149238555248</v>
      </c>
      <c r="K9" s="87">
        <f t="shared" si="8"/>
        <v>7</v>
      </c>
      <c r="L9" s="79"/>
      <c r="M9" s="79"/>
      <c r="N9" s="79"/>
      <c r="O9" s="79"/>
      <c r="P9" s="80">
        <f t="shared" si="9"/>
        <v>0</v>
      </c>
      <c r="Q9" s="80">
        <f t="shared" si="11"/>
        <v>0</v>
      </c>
      <c r="R9" s="80">
        <f t="shared" si="10"/>
        <v>0</v>
      </c>
      <c r="S9" s="80">
        <f t="shared" si="12"/>
        <v>0</v>
      </c>
      <c r="U9" s="64"/>
      <c r="V9" s="64" t="s">
        <v>38</v>
      </c>
      <c r="W9" s="91">
        <v>0</v>
      </c>
      <c r="X9" s="127"/>
      <c r="Y9" s="64"/>
    </row>
    <row r="10" spans="1:26" x14ac:dyDescent="0.35">
      <c r="A10" s="102">
        <v>8</v>
      </c>
      <c r="B10" s="103">
        <f t="shared" si="5"/>
        <v>8</v>
      </c>
      <c r="C10" s="104">
        <f t="shared" si="0"/>
        <v>7.1135999999999999</v>
      </c>
      <c r="D10" s="104">
        <f t="shared" si="1"/>
        <v>2.6089051793396725</v>
      </c>
      <c r="E10" s="104">
        <f t="shared" si="2"/>
        <v>16.933363187349929</v>
      </c>
      <c r="F10" s="71">
        <f t="shared" si="6"/>
        <v>8</v>
      </c>
      <c r="G10" s="72">
        <f t="shared" si="13"/>
        <v>18</v>
      </c>
      <c r="H10" s="73">
        <f t="shared" si="3"/>
        <v>7.74</v>
      </c>
      <c r="I10" s="73">
        <f t="shared" si="4"/>
        <v>2.8108882347267459</v>
      </c>
      <c r="J10" s="73">
        <f t="shared" si="7"/>
        <v>18.376130342149079</v>
      </c>
      <c r="K10" s="87">
        <f t="shared" si="8"/>
        <v>8</v>
      </c>
      <c r="L10" s="79"/>
      <c r="M10" s="79"/>
      <c r="N10" s="79"/>
      <c r="O10" s="79"/>
      <c r="P10" s="80">
        <f t="shared" si="9"/>
        <v>0</v>
      </c>
      <c r="Q10" s="80">
        <f t="shared" si="11"/>
        <v>0</v>
      </c>
      <c r="R10" s="80">
        <f t="shared" si="10"/>
        <v>0</v>
      </c>
      <c r="S10" s="80">
        <f t="shared" si="12"/>
        <v>0</v>
      </c>
      <c r="U10" s="64"/>
      <c r="V10" s="67" t="s">
        <v>39</v>
      </c>
      <c r="W10" s="92">
        <f>SUM(W6:W9)</f>
        <v>137.25352027238188</v>
      </c>
      <c r="X10" s="127"/>
      <c r="Y10" s="64"/>
    </row>
    <row r="11" spans="1:26" x14ac:dyDescent="0.35">
      <c r="A11" s="102">
        <v>9</v>
      </c>
      <c r="B11" s="103">
        <f t="shared" si="5"/>
        <v>9</v>
      </c>
      <c r="C11" s="104">
        <f t="shared" si="0"/>
        <v>8.0028000000000006</v>
      </c>
      <c r="D11" s="104">
        <f t="shared" si="1"/>
        <v>2.8950539664743791</v>
      </c>
      <c r="E11" s="104">
        <f t="shared" si="2"/>
        <v>18.980428991609543</v>
      </c>
      <c r="F11" s="71">
        <f t="shared" si="6"/>
        <v>9</v>
      </c>
      <c r="G11" s="72">
        <f t="shared" si="13"/>
        <v>24</v>
      </c>
      <c r="H11" s="73">
        <f t="shared" si="3"/>
        <v>10.32</v>
      </c>
      <c r="I11" s="73">
        <f t="shared" si="4"/>
        <v>3.624427737702514</v>
      </c>
      <c r="J11" s="73">
        <f t="shared" si="7"/>
        <v>24.286544976498547</v>
      </c>
      <c r="K11" s="87">
        <f t="shared" si="8"/>
        <v>9</v>
      </c>
      <c r="L11" s="79"/>
      <c r="M11" s="79"/>
      <c r="N11" s="79"/>
      <c r="O11" s="79"/>
      <c r="P11" s="80">
        <f t="shared" si="9"/>
        <v>0</v>
      </c>
      <c r="Q11" s="80">
        <f t="shared" si="11"/>
        <v>0</v>
      </c>
      <c r="R11" s="80">
        <f t="shared" si="10"/>
        <v>0</v>
      </c>
      <c r="S11" s="80">
        <f t="shared" si="12"/>
        <v>0</v>
      </c>
      <c r="U11" s="64"/>
      <c r="V11" s="64" t="s">
        <v>40</v>
      </c>
      <c r="W11" s="65">
        <f>SUM(L2:L32)/1.56</f>
        <v>40.38461538461538</v>
      </c>
      <c r="X11" s="127"/>
      <c r="Y11" s="64"/>
    </row>
    <row r="12" spans="1:26" x14ac:dyDescent="0.35">
      <c r="A12" s="102">
        <v>10</v>
      </c>
      <c r="B12" s="103">
        <f t="shared" si="5"/>
        <v>10</v>
      </c>
      <c r="C12" s="104">
        <f t="shared" si="0"/>
        <v>8.8919999999999995</v>
      </c>
      <c r="D12" s="104">
        <f t="shared" si="1"/>
        <v>3.177517729464268</v>
      </c>
      <c r="E12" s="104">
        <f t="shared" si="2"/>
        <v>21.021076712150265</v>
      </c>
      <c r="F12" s="71">
        <f t="shared" si="6"/>
        <v>10</v>
      </c>
      <c r="G12" s="72">
        <f t="shared" si="13"/>
        <v>31</v>
      </c>
      <c r="H12" s="73">
        <f t="shared" si="3"/>
        <v>13.33</v>
      </c>
      <c r="I12" s="73">
        <f t="shared" si="4"/>
        <v>4.5441429489998528</v>
      </c>
      <c r="J12" s="73">
        <f t="shared" si="7"/>
        <v>31.130798969508078</v>
      </c>
      <c r="K12" s="87">
        <f t="shared" si="8"/>
        <v>10</v>
      </c>
      <c r="L12" s="79"/>
      <c r="M12" s="79"/>
      <c r="N12" s="79"/>
      <c r="O12" s="79"/>
      <c r="P12" s="80">
        <f t="shared" si="9"/>
        <v>0</v>
      </c>
      <c r="Q12" s="80">
        <f t="shared" si="11"/>
        <v>0</v>
      </c>
      <c r="R12" s="80">
        <f t="shared" si="10"/>
        <v>0</v>
      </c>
      <c r="S12" s="80">
        <f t="shared" si="12"/>
        <v>0</v>
      </c>
      <c r="U12" s="64"/>
      <c r="V12" s="64" t="s">
        <v>41</v>
      </c>
      <c r="W12" s="64">
        <v>0.25</v>
      </c>
      <c r="X12" s="127"/>
      <c r="Y12" s="64"/>
    </row>
    <row r="13" spans="1:26" x14ac:dyDescent="0.35">
      <c r="A13" s="102">
        <v>11</v>
      </c>
      <c r="B13" s="103">
        <f t="shared" si="5"/>
        <v>11</v>
      </c>
      <c r="C13" s="104">
        <f t="shared" si="0"/>
        <v>9.7812000000000001</v>
      </c>
      <c r="D13" s="104">
        <f t="shared" si="1"/>
        <v>3.4567069199829903</v>
      </c>
      <c r="E13" s="104">
        <f t="shared" si="2"/>
        <v>23.056021218970372</v>
      </c>
      <c r="F13" s="71">
        <f t="shared" si="6"/>
        <v>11</v>
      </c>
      <c r="G13" s="72">
        <f t="shared" si="13"/>
        <v>39</v>
      </c>
      <c r="H13" s="73">
        <f t="shared" si="3"/>
        <v>16.77</v>
      </c>
      <c r="I13" s="73">
        <f t="shared" si="4"/>
        <v>5.5660804476726025</v>
      </c>
      <c r="J13" s="73">
        <f>(H13+I13)*0.475*44/12</f>
        <v>38.902006779696443</v>
      </c>
      <c r="K13" s="87">
        <f t="shared" si="8"/>
        <v>11</v>
      </c>
      <c r="L13" s="79"/>
      <c r="M13" s="79"/>
      <c r="N13" s="79"/>
      <c r="O13" s="79"/>
      <c r="P13" s="80">
        <f t="shared" si="9"/>
        <v>0</v>
      </c>
      <c r="Q13" s="80">
        <f t="shared" si="11"/>
        <v>0</v>
      </c>
      <c r="R13" s="80">
        <f t="shared" si="10"/>
        <v>0</v>
      </c>
      <c r="S13" s="80">
        <f t="shared" si="12"/>
        <v>0</v>
      </c>
      <c r="U13" s="64"/>
      <c r="V13" s="67" t="s">
        <v>42</v>
      </c>
      <c r="W13" s="86">
        <f>W11*W12</f>
        <v>10.096153846153845</v>
      </c>
      <c r="X13" s="127"/>
      <c r="Y13" s="64"/>
    </row>
    <row r="14" spans="1:26" x14ac:dyDescent="0.35">
      <c r="A14" s="102">
        <v>12</v>
      </c>
      <c r="B14" s="103">
        <f t="shared" si="5"/>
        <v>12</v>
      </c>
      <c r="C14" s="104">
        <f t="shared" si="0"/>
        <v>10.670399999999999</v>
      </c>
      <c r="D14" s="104">
        <f t="shared" si="1"/>
        <v>3.7329530817348457</v>
      </c>
      <c r="E14" s="104">
        <f t="shared" si="2"/>
        <v>25.085839950688193</v>
      </c>
      <c r="F14" s="71">
        <f t="shared" si="6"/>
        <v>12</v>
      </c>
      <c r="G14" s="72">
        <f t="shared" si="13"/>
        <v>48</v>
      </c>
      <c r="H14" s="73">
        <f t="shared" si="3"/>
        <v>20.64</v>
      </c>
      <c r="I14" s="73">
        <f t="shared" si="4"/>
        <v>6.6869726907097018</v>
      </c>
      <c r="J14" s="73">
        <f t="shared" si="7"/>
        <v>47.594477436319387</v>
      </c>
      <c r="K14" s="87">
        <f t="shared" si="8"/>
        <v>12</v>
      </c>
      <c r="L14" s="79"/>
      <c r="M14" s="79"/>
      <c r="N14" s="79"/>
      <c r="O14" s="79"/>
      <c r="P14" s="80">
        <f t="shared" si="9"/>
        <v>0</v>
      </c>
      <c r="Q14" s="80">
        <f t="shared" si="11"/>
        <v>0</v>
      </c>
      <c r="R14" s="80">
        <f t="shared" si="10"/>
        <v>0</v>
      </c>
      <c r="S14" s="80">
        <f t="shared" si="12"/>
        <v>0</v>
      </c>
      <c r="U14" s="64"/>
      <c r="V14" s="67" t="s">
        <v>43</v>
      </c>
      <c r="W14" s="92">
        <f>AVERAGE(S2:S34)</f>
        <v>0</v>
      </c>
      <c r="X14" s="127"/>
      <c r="Y14" s="64"/>
    </row>
    <row r="15" spans="1:26" x14ac:dyDescent="0.35">
      <c r="A15" s="102">
        <v>13</v>
      </c>
      <c r="B15" s="103">
        <f t="shared" si="5"/>
        <v>13</v>
      </c>
      <c r="C15" s="104">
        <f t="shared" si="0"/>
        <v>11.5596</v>
      </c>
      <c r="D15" s="104">
        <f t="shared" si="1"/>
        <v>4.0065293501366055</v>
      </c>
      <c r="E15" s="104">
        <f t="shared" si="2"/>
        <v>27.111008618154589</v>
      </c>
      <c r="F15" s="71">
        <f t="shared" si="6"/>
        <v>13</v>
      </c>
      <c r="G15" s="72">
        <f t="shared" si="13"/>
        <v>58</v>
      </c>
      <c r="H15" s="73">
        <f t="shared" si="3"/>
        <v>24.94</v>
      </c>
      <c r="I15" s="73">
        <f t="shared" si="4"/>
        <v>7.9040516098186693</v>
      </c>
      <c r="J15" s="73">
        <f t="shared" si="7"/>
        <v>57.203389887100847</v>
      </c>
      <c r="K15" s="87">
        <f t="shared" si="8"/>
        <v>13</v>
      </c>
      <c r="L15" s="79"/>
      <c r="M15" s="79"/>
      <c r="N15" s="79"/>
      <c r="O15" s="79"/>
      <c r="P15" s="80">
        <f t="shared" si="9"/>
        <v>0</v>
      </c>
      <c r="Q15" s="80">
        <f t="shared" si="11"/>
        <v>0</v>
      </c>
      <c r="R15" s="80">
        <f t="shared" si="10"/>
        <v>0</v>
      </c>
      <c r="S15" s="80">
        <f t="shared" si="12"/>
        <v>0</v>
      </c>
      <c r="U15" s="64"/>
      <c r="X15" s="64"/>
      <c r="Y15" s="64"/>
    </row>
    <row r="16" spans="1:26" x14ac:dyDescent="0.35">
      <c r="A16" s="102">
        <v>14</v>
      </c>
      <c r="B16" s="103">
        <f t="shared" si="5"/>
        <v>14</v>
      </c>
      <c r="C16" s="104">
        <f t="shared" si="0"/>
        <v>12.448799999999999</v>
      </c>
      <c r="D16" s="104">
        <f t="shared" si="1"/>
        <v>4.2776644527179633</v>
      </c>
      <c r="E16" s="104">
        <f t="shared" si="2"/>
        <v>29.131925588483782</v>
      </c>
      <c r="F16" s="71">
        <f t="shared" si="6"/>
        <v>14</v>
      </c>
      <c r="G16" s="72">
        <f t="shared" si="13"/>
        <v>69</v>
      </c>
      <c r="H16" s="73">
        <f t="shared" si="3"/>
        <v>29.669999999999998</v>
      </c>
      <c r="I16" s="73">
        <f t="shared" si="4"/>
        <v>9.2149259322296668</v>
      </c>
      <c r="J16" s="73">
        <f t="shared" si="7"/>
        <v>67.724579331966666</v>
      </c>
      <c r="K16" s="87">
        <f t="shared" si="8"/>
        <v>14</v>
      </c>
      <c r="L16" s="79"/>
      <c r="M16" s="81"/>
      <c r="N16" s="81"/>
      <c r="O16" s="81"/>
      <c r="P16" s="80">
        <f t="shared" si="9"/>
        <v>0</v>
      </c>
      <c r="Q16" s="80">
        <f t="shared" si="11"/>
        <v>0</v>
      </c>
      <c r="R16" s="80">
        <f t="shared" si="10"/>
        <v>0</v>
      </c>
      <c r="S16" s="80">
        <f t="shared" si="12"/>
        <v>0</v>
      </c>
      <c r="U16" s="64"/>
      <c r="V16" s="97" t="s">
        <v>107</v>
      </c>
      <c r="W16" s="92">
        <f>W10+W13+W14</f>
        <v>147.34967411853572</v>
      </c>
      <c r="X16" s="64"/>
      <c r="Y16" s="64"/>
    </row>
    <row r="17" spans="1:25" x14ac:dyDescent="0.35">
      <c r="A17" s="102">
        <v>15</v>
      </c>
      <c r="B17" s="103">
        <f t="shared" si="5"/>
        <v>15</v>
      </c>
      <c r="C17" s="104">
        <f t="shared" si="0"/>
        <v>13.337999999999999</v>
      </c>
      <c r="D17" s="104">
        <f t="shared" si="1"/>
        <v>4.5465525901071517</v>
      </c>
      <c r="E17" s="104">
        <f t="shared" si="2"/>
        <v>31.148929094436621</v>
      </c>
      <c r="F17" s="71">
        <f t="shared" si="6"/>
        <v>15</v>
      </c>
      <c r="G17" s="105">
        <v>78</v>
      </c>
      <c r="H17" s="73">
        <f t="shared" si="3"/>
        <v>33.54</v>
      </c>
      <c r="I17" s="73">
        <f t="shared" si="4"/>
        <v>10.269270252156668</v>
      </c>
      <c r="J17" s="73">
        <f t="shared" si="7"/>
        <v>76.301145689172856</v>
      </c>
      <c r="K17" s="87">
        <f t="shared" si="8"/>
        <v>15</v>
      </c>
      <c r="L17" s="79"/>
      <c r="M17" s="79"/>
      <c r="N17" s="79"/>
      <c r="O17" s="79"/>
      <c r="P17" s="80">
        <f t="shared" si="9"/>
        <v>0</v>
      </c>
      <c r="Q17" s="80">
        <f t="shared" si="11"/>
        <v>0</v>
      </c>
      <c r="R17" s="80">
        <f t="shared" si="10"/>
        <v>0</v>
      </c>
      <c r="S17" s="80">
        <f t="shared" si="12"/>
        <v>0</v>
      </c>
    </row>
    <row r="18" spans="1:25" x14ac:dyDescent="0.35">
      <c r="A18" s="102">
        <v>16</v>
      </c>
      <c r="B18" s="103">
        <f t="shared" si="5"/>
        <v>16</v>
      </c>
      <c r="C18" s="104">
        <f t="shared" si="0"/>
        <v>14.2272</v>
      </c>
      <c r="D18" s="104">
        <f t="shared" si="1"/>
        <v>4.81336060460516</v>
      </c>
      <c r="E18" s="104">
        <f t="shared" si="2"/>
        <v>33.162309719687322</v>
      </c>
      <c r="F18" s="71">
        <f t="shared" si="6"/>
        <v>16</v>
      </c>
      <c r="G18" s="105">
        <f>$G$17+(F18-$F$17)*($G$22-$G$17)/($F$22-$F$17)</f>
        <v>90.8</v>
      </c>
      <c r="H18" s="73">
        <f t="shared" si="3"/>
        <v>39.043999999999997</v>
      </c>
      <c r="I18" s="73">
        <f t="shared" si="4"/>
        <v>11.744903368873258</v>
      </c>
      <c r="J18" s="73">
        <f t="shared" si="7"/>
        <v>88.457340034120918</v>
      </c>
      <c r="K18" s="87">
        <f t="shared" si="8"/>
        <v>16</v>
      </c>
      <c r="L18" s="79"/>
      <c r="M18" s="79"/>
      <c r="N18" s="81"/>
      <c r="O18" s="81"/>
      <c r="P18" s="80">
        <f t="shared" si="9"/>
        <v>0</v>
      </c>
      <c r="Q18" s="80">
        <f t="shared" si="11"/>
        <v>0</v>
      </c>
      <c r="R18" s="80">
        <f t="shared" si="10"/>
        <v>0</v>
      </c>
      <c r="S18" s="80">
        <f t="shared" si="12"/>
        <v>0</v>
      </c>
      <c r="X18" s="64"/>
      <c r="Y18" s="64"/>
    </row>
    <row r="19" spans="1:25" x14ac:dyDescent="0.35">
      <c r="A19" s="102">
        <v>17</v>
      </c>
      <c r="B19" s="103">
        <f t="shared" si="5"/>
        <v>17</v>
      </c>
      <c r="C19" s="104">
        <f t="shared" si="0"/>
        <v>15.116399999999999</v>
      </c>
      <c r="D19" s="104">
        <f t="shared" si="1"/>
        <v>5.0782333044806913</v>
      </c>
      <c r="E19" s="104">
        <f t="shared" si="2"/>
        <v>35.172319671970534</v>
      </c>
      <c r="F19" s="71">
        <f t="shared" si="6"/>
        <v>17</v>
      </c>
      <c r="G19" s="105">
        <f t="shared" ref="G19:G21" si="14">$G$17+(F19-$F$17)*($G$22-$G$17)/($F$22-$F$17)</f>
        <v>103.6</v>
      </c>
      <c r="H19" s="73">
        <f t="shared" si="3"/>
        <v>44.547999999999995</v>
      </c>
      <c r="I19" s="73">
        <f t="shared" si="4"/>
        <v>13.196436493358</v>
      </c>
      <c r="J19" s="73">
        <f t="shared" si="7"/>
        <v>100.57156022593183</v>
      </c>
      <c r="K19" s="87">
        <f t="shared" si="8"/>
        <v>17</v>
      </c>
      <c r="L19" s="79"/>
      <c r="M19" s="79"/>
      <c r="N19" s="79"/>
      <c r="O19" s="79"/>
      <c r="P19" s="80">
        <f t="shared" si="9"/>
        <v>0</v>
      </c>
      <c r="Q19" s="80">
        <f t="shared" si="11"/>
        <v>0</v>
      </c>
      <c r="R19" s="80">
        <f t="shared" si="10"/>
        <v>0</v>
      </c>
      <c r="S19" s="80">
        <f t="shared" si="12"/>
        <v>0</v>
      </c>
      <c r="X19" s="64"/>
      <c r="Y19" s="64"/>
    </row>
    <row r="20" spans="1:25" x14ac:dyDescent="0.35">
      <c r="A20" s="102">
        <v>18</v>
      </c>
      <c r="B20" s="103">
        <f t="shared" si="5"/>
        <v>18</v>
      </c>
      <c r="C20" s="104">
        <f t="shared" si="0"/>
        <v>16.005600000000001</v>
      </c>
      <c r="D20" s="104">
        <f t="shared" si="1"/>
        <v>5.3412974993444156</v>
      </c>
      <c r="E20" s="104">
        <f t="shared" si="2"/>
        <v>37.179179811358189</v>
      </c>
      <c r="F20" s="71">
        <f t="shared" si="6"/>
        <v>18</v>
      </c>
      <c r="G20" s="105">
        <f t="shared" si="14"/>
        <v>116.4</v>
      </c>
      <c r="H20" s="73">
        <f t="shared" si="3"/>
        <v>50.052</v>
      </c>
      <c r="I20" s="73">
        <f t="shared" si="4"/>
        <v>14.62718807768414</v>
      </c>
      <c r="J20" s="73">
        <f t="shared" si="7"/>
        <v>112.64958590196655</v>
      </c>
      <c r="K20" s="87">
        <f t="shared" si="8"/>
        <v>18</v>
      </c>
      <c r="L20" s="79"/>
      <c r="M20" s="81"/>
      <c r="N20" s="81"/>
      <c r="O20" s="81"/>
      <c r="P20" s="80">
        <f t="shared" si="9"/>
        <v>0</v>
      </c>
      <c r="Q20" s="80">
        <f t="shared" si="11"/>
        <v>0</v>
      </c>
      <c r="R20" s="80">
        <f t="shared" si="10"/>
        <v>0</v>
      </c>
      <c r="S20" s="80">
        <f t="shared" si="12"/>
        <v>0</v>
      </c>
      <c r="V20" s="66"/>
      <c r="W20" s="85"/>
    </row>
    <row r="21" spans="1:25" x14ac:dyDescent="0.35">
      <c r="A21" s="102">
        <v>19</v>
      </c>
      <c r="B21" s="103">
        <f t="shared" si="5"/>
        <v>19</v>
      </c>
      <c r="C21" s="104">
        <f t="shared" si="0"/>
        <v>16.8948</v>
      </c>
      <c r="D21" s="104">
        <f t="shared" si="1"/>
        <v>5.6026651130643454</v>
      </c>
      <c r="E21" s="104">
        <f t="shared" si="2"/>
        <v>39.183085071920395</v>
      </c>
      <c r="F21" s="71">
        <f t="shared" si="6"/>
        <v>19</v>
      </c>
      <c r="G21" s="105">
        <f t="shared" si="14"/>
        <v>129.19999999999999</v>
      </c>
      <c r="H21" s="73">
        <f t="shared" si="3"/>
        <v>55.555999999999997</v>
      </c>
      <c r="I21" s="73">
        <f t="shared" si="4"/>
        <v>16.039703993592667</v>
      </c>
      <c r="J21" s="73">
        <f t="shared" si="7"/>
        <v>124.69585112217389</v>
      </c>
      <c r="K21" s="87">
        <f t="shared" si="8"/>
        <v>19</v>
      </c>
      <c r="L21" s="82"/>
      <c r="M21" s="89"/>
      <c r="N21" s="89"/>
      <c r="O21" s="89"/>
      <c r="P21" s="80">
        <f t="shared" si="9"/>
        <v>0</v>
      </c>
      <c r="Q21" s="80">
        <f t="shared" si="11"/>
        <v>0</v>
      </c>
      <c r="R21" s="80">
        <f t="shared" si="10"/>
        <v>0</v>
      </c>
      <c r="S21" s="80">
        <f t="shared" si="12"/>
        <v>0</v>
      </c>
      <c r="W21" s="64"/>
    </row>
    <row r="22" spans="1:25" x14ac:dyDescent="0.35">
      <c r="A22" s="102">
        <v>20</v>
      </c>
      <c r="B22" s="103">
        <f t="shared" si="5"/>
        <v>20</v>
      </c>
      <c r="C22" s="104">
        <f t="shared" si="0"/>
        <v>17.783999999999999</v>
      </c>
      <c r="D22" s="104">
        <f t="shared" si="1"/>
        <v>5.862435622634961</v>
      </c>
      <c r="E22" s="104">
        <f t="shared" si="2"/>
        <v>41.184208709422556</v>
      </c>
      <c r="F22" s="71">
        <f t="shared" si="6"/>
        <v>20</v>
      </c>
      <c r="G22" s="73">
        <f>126+78-62</f>
        <v>142</v>
      </c>
      <c r="H22" s="73">
        <f t="shared" si="3"/>
        <v>61.06</v>
      </c>
      <c r="I22" s="73">
        <f t="shared" si="4"/>
        <v>17.43599650596687</v>
      </c>
      <c r="J22" s="73">
        <f t="shared" si="7"/>
        <v>136.71386058122562</v>
      </c>
      <c r="K22" s="87">
        <f t="shared" si="8"/>
        <v>20</v>
      </c>
      <c r="L22" s="79"/>
      <c r="M22" s="81"/>
      <c r="N22" s="93"/>
      <c r="O22" s="93"/>
      <c r="P22" s="80">
        <f t="shared" si="9"/>
        <v>0</v>
      </c>
      <c r="Q22" s="80">
        <f t="shared" si="11"/>
        <v>0</v>
      </c>
      <c r="R22" s="80">
        <f t="shared" si="10"/>
        <v>0</v>
      </c>
      <c r="S22" s="80">
        <f t="shared" si="12"/>
        <v>0</v>
      </c>
      <c r="W22" s="64"/>
    </row>
    <row r="23" spans="1:25" x14ac:dyDescent="0.35">
      <c r="A23" s="102">
        <v>21</v>
      </c>
      <c r="B23" s="103">
        <f t="shared" si="5"/>
        <v>21</v>
      </c>
      <c r="C23" s="104">
        <f t="shared" si="0"/>
        <v>18.673199999999998</v>
      </c>
      <c r="D23" s="104">
        <f t="shared" si="1"/>
        <v>6.120697995410775</v>
      </c>
      <c r="E23" s="104">
        <f t="shared" si="2"/>
        <v>43.182705675340429</v>
      </c>
      <c r="F23" s="71">
        <f t="shared" si="6"/>
        <v>21</v>
      </c>
      <c r="G23" s="73">
        <f>$G$22+(F23-$F$22)*($G$27-$G$22)/($F$27-$F$22)</f>
        <v>155.19999999999999</v>
      </c>
      <c r="H23" s="73">
        <f t="shared" si="3"/>
        <v>66.73599999999999</v>
      </c>
      <c r="I23" s="73">
        <f t="shared" si="4"/>
        <v>18.860652493535977</v>
      </c>
      <c r="J23" s="73">
        <f t="shared" si="7"/>
        <v>149.0808364262418</v>
      </c>
      <c r="K23" s="87">
        <f t="shared" si="8"/>
        <v>21</v>
      </c>
      <c r="L23" s="79"/>
      <c r="M23" s="81"/>
      <c r="N23" s="81"/>
      <c r="O23" s="81"/>
      <c r="P23" s="80">
        <f t="shared" si="9"/>
        <v>0</v>
      </c>
      <c r="Q23" s="80">
        <f t="shared" si="11"/>
        <v>0</v>
      </c>
      <c r="R23" s="80">
        <f t="shared" si="10"/>
        <v>0</v>
      </c>
      <c r="S23" s="80">
        <f t="shared" si="12"/>
        <v>0</v>
      </c>
      <c r="W23" s="64"/>
    </row>
    <row r="24" spans="1:25" x14ac:dyDescent="0.35">
      <c r="A24" s="102">
        <v>22</v>
      </c>
      <c r="B24" s="103">
        <f t="shared" si="5"/>
        <v>22</v>
      </c>
      <c r="C24" s="104">
        <f t="shared" si="0"/>
        <v>19.5624</v>
      </c>
      <c r="D24" s="104">
        <f t="shared" si="1"/>
        <v>6.3775322468881095</v>
      </c>
      <c r="E24" s="104">
        <f t="shared" si="2"/>
        <v>45.178715329996784</v>
      </c>
      <c r="F24" s="71">
        <f t="shared" si="6"/>
        <v>22</v>
      </c>
      <c r="G24" s="73">
        <f t="shared" ref="G24:G26" si="15">$G$22+(F24-$F$22)*($G$27-$G$22)/($F$27-$F$22)</f>
        <v>168.4</v>
      </c>
      <c r="H24" s="73">
        <f t="shared" si="3"/>
        <v>72.412000000000006</v>
      </c>
      <c r="I24" s="73">
        <f t="shared" si="4"/>
        <v>20.271256101526671</v>
      </c>
      <c r="J24" s="73">
        <f t="shared" si="7"/>
        <v>161.42333771015896</v>
      </c>
      <c r="K24" s="87">
        <f t="shared" si="8"/>
        <v>22</v>
      </c>
      <c r="L24" s="79"/>
      <c r="M24" s="79"/>
      <c r="N24" s="79"/>
      <c r="O24" s="79"/>
      <c r="P24" s="80">
        <f t="shared" si="9"/>
        <v>0</v>
      </c>
      <c r="Q24" s="80">
        <f t="shared" si="11"/>
        <v>0</v>
      </c>
      <c r="R24" s="80">
        <f t="shared" si="10"/>
        <v>0</v>
      </c>
      <c r="S24" s="80">
        <f t="shared" si="12"/>
        <v>0</v>
      </c>
      <c r="W24" s="64"/>
    </row>
    <row r="25" spans="1:25" x14ac:dyDescent="0.35">
      <c r="A25" s="102">
        <v>23</v>
      </c>
      <c r="B25" s="103">
        <f t="shared" si="5"/>
        <v>23</v>
      </c>
      <c r="C25" s="104">
        <f t="shared" si="0"/>
        <v>20.451599999999999</v>
      </c>
      <c r="D25" s="104">
        <f t="shared" si="1"/>
        <v>6.6330107072474558</v>
      </c>
      <c r="E25" s="104">
        <f t="shared" si="2"/>
        <v>47.172363648455985</v>
      </c>
      <c r="F25" s="71">
        <f t="shared" si="6"/>
        <v>23</v>
      </c>
      <c r="G25" s="73">
        <f t="shared" si="15"/>
        <v>181.6</v>
      </c>
      <c r="H25" s="73">
        <f t="shared" si="3"/>
        <v>78.087999999999994</v>
      </c>
      <c r="I25" s="73">
        <f t="shared" si="4"/>
        <v>21.669034056246403</v>
      </c>
      <c r="J25" s="73">
        <f t="shared" si="7"/>
        <v>173.7435009812958</v>
      </c>
      <c r="K25" s="87">
        <f t="shared" si="8"/>
        <v>23</v>
      </c>
      <c r="L25" s="79"/>
      <c r="M25" s="81"/>
      <c r="N25" s="81"/>
      <c r="O25" s="93"/>
      <c r="P25" s="80">
        <f t="shared" si="9"/>
        <v>0</v>
      </c>
      <c r="Q25" s="80">
        <f t="shared" si="11"/>
        <v>0</v>
      </c>
      <c r="R25" s="80">
        <f t="shared" si="10"/>
        <v>0</v>
      </c>
      <c r="S25" s="80">
        <f t="shared" si="12"/>
        <v>0</v>
      </c>
      <c r="W25" s="64"/>
    </row>
    <row r="26" spans="1:25" x14ac:dyDescent="0.35">
      <c r="A26" s="102">
        <v>24</v>
      </c>
      <c r="B26" s="103">
        <f t="shared" si="5"/>
        <v>24</v>
      </c>
      <c r="C26" s="104">
        <f t="shared" si="0"/>
        <v>21.340799999999998</v>
      </c>
      <c r="D26" s="104">
        <f t="shared" si="1"/>
        <v>6.8871990614123195</v>
      </c>
      <c r="E26" s="104">
        <f t="shared" si="2"/>
        <v>49.163765031959791</v>
      </c>
      <c r="F26" s="71">
        <f t="shared" si="6"/>
        <v>24</v>
      </c>
      <c r="G26" s="73">
        <f t="shared" si="15"/>
        <v>194.8</v>
      </c>
      <c r="H26" s="73">
        <f t="shared" si="3"/>
        <v>83.76400000000001</v>
      </c>
      <c r="I26" s="73">
        <f t="shared" si="4"/>
        <v>23.055024638911448</v>
      </c>
      <c r="J26" s="73">
        <f t="shared" si="7"/>
        <v>186.04313457943746</v>
      </c>
      <c r="K26" s="87">
        <f t="shared" si="8"/>
        <v>24</v>
      </c>
      <c r="L26" s="83"/>
      <c r="M26" s="84"/>
      <c r="N26" s="81"/>
      <c r="O26" s="81"/>
      <c r="P26" s="80">
        <f t="shared" si="9"/>
        <v>0</v>
      </c>
      <c r="Q26" s="80">
        <f t="shared" si="11"/>
        <v>0</v>
      </c>
      <c r="R26" s="80">
        <f t="shared" si="10"/>
        <v>0</v>
      </c>
      <c r="S26" s="80">
        <f t="shared" si="12"/>
        <v>0</v>
      </c>
      <c r="W26" s="64"/>
    </row>
    <row r="27" spans="1:25" x14ac:dyDescent="0.35">
      <c r="A27" s="102">
        <v>25</v>
      </c>
      <c r="B27" s="103">
        <f t="shared" si="5"/>
        <v>25</v>
      </c>
      <c r="C27" s="104">
        <f t="shared" si="0"/>
        <v>22.229999999999997</v>
      </c>
      <c r="D27" s="104">
        <f t="shared" si="1"/>
        <v>7.140157210880437</v>
      </c>
      <c r="E27" s="104">
        <f t="shared" si="2"/>
        <v>51.153023808950088</v>
      </c>
      <c r="F27" s="71">
        <f t="shared" si="6"/>
        <v>25</v>
      </c>
      <c r="G27" s="73">
        <f>170+126-104+78-62</f>
        <v>208</v>
      </c>
      <c r="H27" s="73">
        <f t="shared" si="3"/>
        <v>89.44</v>
      </c>
      <c r="I27" s="73">
        <f t="shared" si="4"/>
        <v>24.430117455867048</v>
      </c>
      <c r="J27" s="73">
        <f t="shared" si="7"/>
        <v>198.32378790230177</v>
      </c>
      <c r="K27" s="87">
        <f t="shared" si="8"/>
        <v>25</v>
      </c>
      <c r="L27" s="96">
        <f>G27-G28</f>
        <v>63</v>
      </c>
      <c r="M27" s="90">
        <v>0</v>
      </c>
      <c r="N27" s="90">
        <v>0</v>
      </c>
      <c r="O27" s="90">
        <v>0</v>
      </c>
      <c r="P27" s="80">
        <f>EXP(-LN(2)/35)*P26+(1-EXP(-LN(2)/35))/(LN(2)/35)*M27*L27*$W$1*0.475*44/12</f>
        <v>0</v>
      </c>
      <c r="Q27" s="80">
        <f t="shared" si="11"/>
        <v>0</v>
      </c>
      <c r="R27" s="80">
        <f t="shared" si="10"/>
        <v>0</v>
      </c>
      <c r="S27" s="80">
        <f t="shared" si="12"/>
        <v>0</v>
      </c>
      <c r="W27" s="64"/>
    </row>
    <row r="28" spans="1:25" x14ac:dyDescent="0.35">
      <c r="A28" s="102">
        <v>26</v>
      </c>
      <c r="B28" s="103">
        <f t="shared" si="5"/>
        <v>26</v>
      </c>
      <c r="C28" s="104">
        <f t="shared" si="0"/>
        <v>23.119199999999999</v>
      </c>
      <c r="D28" s="104">
        <f t="shared" si="1"/>
        <v>7.3919399937804329</v>
      </c>
      <c r="E28" s="104">
        <f t="shared" si="2"/>
        <v>53.140235489167587</v>
      </c>
      <c r="F28" s="71">
        <v>25</v>
      </c>
      <c r="G28" s="73">
        <v>145</v>
      </c>
      <c r="H28" s="73">
        <f t="shared" si="3"/>
        <v>62.35</v>
      </c>
      <c r="I28" s="73">
        <f t="shared" si="4"/>
        <v>17.761087711234602</v>
      </c>
      <c r="J28" s="73">
        <f t="shared" si="7"/>
        <v>139.52681109706691</v>
      </c>
      <c r="K28" s="87">
        <f t="shared" si="8"/>
        <v>26</v>
      </c>
      <c r="L28" s="83"/>
      <c r="M28" s="83"/>
      <c r="N28" s="79"/>
      <c r="O28" s="79"/>
      <c r="P28" s="80">
        <f t="shared" si="9"/>
        <v>0</v>
      </c>
      <c r="Q28" s="80">
        <f t="shared" si="11"/>
        <v>0</v>
      </c>
      <c r="R28" s="80">
        <f t="shared" si="10"/>
        <v>0</v>
      </c>
      <c r="S28" s="80">
        <f t="shared" si="12"/>
        <v>0</v>
      </c>
      <c r="W28" s="64"/>
    </row>
    <row r="29" spans="1:25" x14ac:dyDescent="0.35">
      <c r="A29" s="102">
        <v>27</v>
      </c>
      <c r="B29" s="103">
        <f t="shared" si="5"/>
        <v>27</v>
      </c>
      <c r="C29" s="104">
        <f t="shared" si="0"/>
        <v>24.008400000000002</v>
      </c>
      <c r="D29" s="104">
        <f t="shared" si="1"/>
        <v>7.6425977910346994</v>
      </c>
      <c r="E29" s="104">
        <f t="shared" si="2"/>
        <v>55.125487819385434</v>
      </c>
      <c r="F29" s="71">
        <f t="shared" si="6"/>
        <v>26</v>
      </c>
      <c r="G29" s="73">
        <f>$G$28+(F29-$F$28)*($G$33-$G$28)/($F$33-$F$28)</f>
        <v>157.6</v>
      </c>
      <c r="H29" s="73">
        <f t="shared" si="3"/>
        <v>67.768000000000001</v>
      </c>
      <c r="I29" s="73">
        <f t="shared" si="4"/>
        <v>19.118132278240573</v>
      </c>
      <c r="J29" s="73">
        <f t="shared" si="7"/>
        <v>151.32668038460233</v>
      </c>
      <c r="K29" s="87">
        <f t="shared" si="8"/>
        <v>27</v>
      </c>
      <c r="L29" s="83"/>
      <c r="M29" s="84"/>
      <c r="N29" s="81"/>
      <c r="O29" s="81"/>
      <c r="P29" s="80">
        <f t="shared" si="9"/>
        <v>0</v>
      </c>
      <c r="Q29" s="80">
        <f t="shared" si="11"/>
        <v>0</v>
      </c>
      <c r="R29" s="80">
        <f t="shared" si="10"/>
        <v>0</v>
      </c>
      <c r="S29" s="80">
        <f t="shared" si="12"/>
        <v>0</v>
      </c>
      <c r="W29" s="64"/>
    </row>
    <row r="30" spans="1:25" x14ac:dyDescent="0.35">
      <c r="A30" s="102">
        <v>28</v>
      </c>
      <c r="B30" s="103">
        <f t="shared" si="5"/>
        <v>28</v>
      </c>
      <c r="C30" s="104">
        <f t="shared" si="0"/>
        <v>24.897599999999997</v>
      </c>
      <c r="D30" s="104">
        <f t="shared" si="1"/>
        <v>7.8921770401958238</v>
      </c>
      <c r="E30" s="104">
        <f t="shared" si="2"/>
        <v>57.10886167834105</v>
      </c>
      <c r="F30" s="71">
        <f t="shared" si="6"/>
        <v>27</v>
      </c>
      <c r="G30" s="73">
        <f t="shared" ref="G30:G32" si="16">$G$28+(F30-$F$28)*($G$33-$G$28)/($F$33-$F$28)</f>
        <v>170.2</v>
      </c>
      <c r="H30" s="73">
        <f t="shared" si="3"/>
        <v>73.185999999999993</v>
      </c>
      <c r="I30" s="73">
        <f t="shared" si="4"/>
        <v>20.462592502396515</v>
      </c>
      <c r="J30" s="73">
        <f t="shared" si="7"/>
        <v>163.10463194167394</v>
      </c>
      <c r="K30" s="87">
        <f t="shared" si="8"/>
        <v>28</v>
      </c>
      <c r="L30" s="83"/>
      <c r="M30" s="83"/>
      <c r="N30" s="79"/>
      <c r="O30" s="79"/>
      <c r="P30" s="80">
        <f t="shared" si="9"/>
        <v>0</v>
      </c>
      <c r="Q30" s="80">
        <f t="shared" si="11"/>
        <v>0</v>
      </c>
      <c r="R30" s="80">
        <f t="shared" si="10"/>
        <v>0</v>
      </c>
      <c r="S30" s="80">
        <f t="shared" si="12"/>
        <v>0</v>
      </c>
      <c r="W30" s="64"/>
    </row>
    <row r="31" spans="1:25" x14ac:dyDescent="0.35">
      <c r="A31" s="102">
        <v>29</v>
      </c>
      <c r="B31" s="103">
        <f t="shared" si="5"/>
        <v>29</v>
      </c>
      <c r="C31" s="104">
        <f t="shared" si="0"/>
        <v>25.786799999999999</v>
      </c>
      <c r="D31" s="104">
        <f t="shared" si="1"/>
        <v>8.1407206738151334</v>
      </c>
      <c r="E31" s="104">
        <f t="shared" si="2"/>
        <v>59.090431840228007</v>
      </c>
      <c r="F31" s="71">
        <f t="shared" si="6"/>
        <v>28</v>
      </c>
      <c r="G31" s="73">
        <f t="shared" si="16"/>
        <v>182.8</v>
      </c>
      <c r="H31" s="73">
        <f t="shared" si="3"/>
        <v>78.603999999999999</v>
      </c>
      <c r="I31" s="73">
        <f t="shared" si="4"/>
        <v>21.795505948627731</v>
      </c>
      <c r="J31" s="73">
        <f t="shared" si="7"/>
        <v>174.86247286052662</v>
      </c>
      <c r="K31" s="87">
        <f t="shared" si="8"/>
        <v>29</v>
      </c>
      <c r="L31" s="83"/>
      <c r="M31" s="84"/>
      <c r="N31" s="81"/>
      <c r="O31" s="81"/>
      <c r="P31" s="80">
        <f t="shared" si="9"/>
        <v>0</v>
      </c>
      <c r="Q31" s="80">
        <f t="shared" si="11"/>
        <v>0</v>
      </c>
      <c r="R31" s="80">
        <f t="shared" si="10"/>
        <v>0</v>
      </c>
      <c r="S31" s="80">
        <f t="shared" si="12"/>
        <v>0</v>
      </c>
      <c r="W31" s="64"/>
    </row>
    <row r="32" spans="1:25" x14ac:dyDescent="0.35">
      <c r="A32" s="102">
        <v>30</v>
      </c>
      <c r="B32" s="103">
        <f t="shared" si="5"/>
        <v>30</v>
      </c>
      <c r="C32" s="104">
        <f t="shared" si="0"/>
        <v>26.675999999999998</v>
      </c>
      <c r="D32" s="104">
        <f t="shared" si="1"/>
        <v>8.388268495647786</v>
      </c>
      <c r="E32" s="104">
        <f t="shared" si="2"/>
        <v>61.07026762991989</v>
      </c>
      <c r="F32" s="71">
        <f t="shared" si="6"/>
        <v>29</v>
      </c>
      <c r="G32" s="73">
        <f t="shared" si="16"/>
        <v>195.4</v>
      </c>
      <c r="H32" s="73">
        <f t="shared" si="3"/>
        <v>84.022000000000006</v>
      </c>
      <c r="I32" s="73">
        <f t="shared" si="4"/>
        <v>23.117759050061025</v>
      </c>
      <c r="J32" s="73">
        <f t="shared" si="7"/>
        <v>186.60174701218963</v>
      </c>
      <c r="K32" s="87">
        <f t="shared" si="8"/>
        <v>30</v>
      </c>
      <c r="L32" s="83"/>
      <c r="M32" s="84"/>
      <c r="N32" s="81"/>
      <c r="O32" s="81"/>
      <c r="P32" s="80">
        <f t="shared" si="9"/>
        <v>0</v>
      </c>
      <c r="Q32" s="80">
        <f t="shared" si="11"/>
        <v>0</v>
      </c>
      <c r="R32" s="80">
        <f t="shared" si="10"/>
        <v>0</v>
      </c>
      <c r="S32" s="80">
        <f t="shared" si="12"/>
        <v>0</v>
      </c>
      <c r="W32" s="64"/>
    </row>
    <row r="33" spans="1:25" x14ac:dyDescent="0.35">
      <c r="A33" s="102">
        <v>31</v>
      </c>
      <c r="B33" s="103">
        <f t="shared" si="5"/>
        <v>31</v>
      </c>
      <c r="C33" s="104">
        <f t="shared" si="0"/>
        <v>27.565199999999997</v>
      </c>
      <c r="D33" s="104">
        <f t="shared" si="1"/>
        <v>8.6348575052881742</v>
      </c>
      <c r="E33" s="104">
        <f t="shared" si="2"/>
        <v>63.048433488376901</v>
      </c>
      <c r="F33" s="71">
        <f t="shared" si="6"/>
        <v>30</v>
      </c>
      <c r="G33" s="73">
        <v>208</v>
      </c>
      <c r="H33" s="73">
        <f t="shared" si="3"/>
        <v>89.44</v>
      </c>
      <c r="I33" s="73">
        <f t="shared" si="4"/>
        <v>24.430117455867048</v>
      </c>
      <c r="J33" s="73">
        <f t="shared" si="7"/>
        <v>198.32378790230177</v>
      </c>
      <c r="K33" s="64"/>
      <c r="L33" s="64"/>
      <c r="M33" s="106"/>
      <c r="N33" s="106"/>
      <c r="O33" s="106"/>
      <c r="P33" s="65"/>
      <c r="Q33" s="65"/>
      <c r="R33" s="65"/>
      <c r="S33" s="65"/>
      <c r="W33" s="64"/>
    </row>
    <row r="34" spans="1:25" x14ac:dyDescent="0.35">
      <c r="A34" s="102">
        <v>32</v>
      </c>
      <c r="B34" s="103">
        <f t="shared" si="5"/>
        <v>32</v>
      </c>
      <c r="C34" s="104">
        <f t="shared" si="0"/>
        <v>28.4544</v>
      </c>
      <c r="D34" s="104">
        <f t="shared" si="1"/>
        <v>8.8805221797401614</v>
      </c>
      <c r="E34" s="104">
        <f t="shared" si="2"/>
        <v>65.024989463047447</v>
      </c>
      <c r="F34" s="71">
        <f t="shared" si="6"/>
        <v>31</v>
      </c>
      <c r="G34" s="73">
        <f>$G$33+(F34-$F$33)*($G$38-$G$33)/($F$38-$F$33)</f>
        <v>220</v>
      </c>
      <c r="H34" s="73">
        <f t="shared" si="3"/>
        <v>94.6</v>
      </c>
      <c r="I34" s="73">
        <f t="shared" si="4"/>
        <v>25.671395227101225</v>
      </c>
      <c r="J34" s="73">
        <f t="shared" si="7"/>
        <v>209.47268002053463</v>
      </c>
      <c r="K34" s="64"/>
      <c r="L34" s="63"/>
      <c r="M34" s="107"/>
      <c r="N34" s="107"/>
      <c r="O34" s="107"/>
      <c r="P34" s="65"/>
      <c r="Q34" s="65"/>
      <c r="R34" s="65"/>
      <c r="S34" s="65"/>
      <c r="W34" s="64"/>
    </row>
    <row r="35" spans="1:25" x14ac:dyDescent="0.35">
      <c r="A35" s="102">
        <v>33</v>
      </c>
      <c r="B35" s="103">
        <f t="shared" si="5"/>
        <v>33</v>
      </c>
      <c r="C35" s="104">
        <f t="shared" si="0"/>
        <v>29.343599999999999</v>
      </c>
      <c r="D35" s="104">
        <f t="shared" si="1"/>
        <v>9.1252947188023139</v>
      </c>
      <c r="E35" s="104">
        <f t="shared" si="2"/>
        <v>66.999991635247355</v>
      </c>
      <c r="F35" s="71">
        <f t="shared" si="6"/>
        <v>32</v>
      </c>
      <c r="G35" s="73">
        <f t="shared" ref="G35:G37" si="17">$G$33+(F35-$F$33)*($G$38-$G$33)/($F$38-$F$33)</f>
        <v>232</v>
      </c>
      <c r="H35" s="73">
        <f t="shared" si="3"/>
        <v>99.76</v>
      </c>
      <c r="I35" s="73">
        <f t="shared" si="4"/>
        <v>26.904812864288012</v>
      </c>
      <c r="J35" s="73">
        <f t="shared" si="7"/>
        <v>220.60788240530164</v>
      </c>
      <c r="K35" s="64"/>
      <c r="L35" s="64"/>
      <c r="M35" s="64"/>
      <c r="N35" s="64"/>
      <c r="O35" s="64"/>
      <c r="P35" s="65"/>
      <c r="Q35" s="65"/>
      <c r="R35" s="65"/>
      <c r="S35" s="65"/>
      <c r="W35" s="64"/>
      <c r="X35" s="64"/>
      <c r="Y35" s="64"/>
    </row>
    <row r="36" spans="1:25" x14ac:dyDescent="0.35">
      <c r="A36" s="102">
        <v>34</v>
      </c>
      <c r="B36" s="103">
        <f t="shared" si="5"/>
        <v>34</v>
      </c>
      <c r="C36" s="104">
        <f t="shared" si="0"/>
        <v>30.232799999999997</v>
      </c>
      <c r="D36" s="104">
        <f t="shared" si="1"/>
        <v>9.3692052598737945</v>
      </c>
      <c r="E36" s="104">
        <f t="shared" si="2"/>
        <v>68.97349249428018</v>
      </c>
      <c r="F36" s="71">
        <f t="shared" si="6"/>
        <v>33</v>
      </c>
      <c r="G36" s="73">
        <f t="shared" si="17"/>
        <v>244</v>
      </c>
      <c r="H36" s="73">
        <f t="shared" si="3"/>
        <v>104.92</v>
      </c>
      <c r="I36" s="73">
        <f t="shared" si="4"/>
        <v>28.130823299932707</v>
      </c>
      <c r="J36" s="73">
        <f t="shared" si="7"/>
        <v>231.73018391404946</v>
      </c>
      <c r="K36" s="64"/>
      <c r="L36" s="64"/>
      <c r="M36" s="64"/>
      <c r="N36" s="64"/>
      <c r="O36" s="64"/>
      <c r="P36" s="65"/>
      <c r="Q36" s="65"/>
      <c r="R36" s="65"/>
      <c r="S36" s="65"/>
      <c r="W36" s="64"/>
      <c r="X36" s="64"/>
      <c r="Y36" s="64"/>
    </row>
    <row r="37" spans="1:25" x14ac:dyDescent="0.35">
      <c r="A37" s="102">
        <v>35</v>
      </c>
      <c r="B37" s="103">
        <f t="shared" si="5"/>
        <v>35</v>
      </c>
      <c r="C37" s="104">
        <f t="shared" si="0"/>
        <v>31.122</v>
      </c>
      <c r="D37" s="104">
        <f t="shared" si="1"/>
        <v>9.6122820667788016</v>
      </c>
      <c r="E37" s="104">
        <f t="shared" si="2"/>
        <v>70.945541266306407</v>
      </c>
      <c r="F37" s="71">
        <f t="shared" si="6"/>
        <v>34</v>
      </c>
      <c r="G37" s="73">
        <f t="shared" si="17"/>
        <v>256</v>
      </c>
      <c r="H37" s="73">
        <f t="shared" si="3"/>
        <v>110.08</v>
      </c>
      <c r="I37" s="73">
        <f t="shared" si="4"/>
        <v>29.349832398940979</v>
      </c>
      <c r="J37" s="73">
        <f t="shared" si="7"/>
        <v>242.84029142815555</v>
      </c>
      <c r="K37" s="64"/>
      <c r="L37" s="64"/>
      <c r="M37" s="64"/>
      <c r="N37" s="64"/>
      <c r="O37" s="64"/>
      <c r="P37" s="65"/>
      <c r="Q37" s="65"/>
      <c r="R37" s="65"/>
      <c r="S37" s="65"/>
      <c r="W37" s="64"/>
      <c r="X37" s="64"/>
      <c r="Y37" s="64"/>
    </row>
    <row r="38" spans="1:25" x14ac:dyDescent="0.35">
      <c r="A38" s="102">
        <v>36</v>
      </c>
      <c r="B38" s="103">
        <f t="shared" si="5"/>
        <v>36</v>
      </c>
      <c r="C38" s="104">
        <f t="shared" si="0"/>
        <v>32.011200000000002</v>
      </c>
      <c r="D38" s="104">
        <f t="shared" si="1"/>
        <v>9.8545516964045792</v>
      </c>
      <c r="E38" s="104">
        <f t="shared" si="2"/>
        <v>72.916184204571309</v>
      </c>
      <c r="F38" s="71">
        <f t="shared" si="6"/>
        <v>35</v>
      </c>
      <c r="G38" s="73">
        <f>242+208-182</f>
        <v>268</v>
      </c>
      <c r="H38" s="73">
        <f t="shared" si="3"/>
        <v>115.24</v>
      </c>
      <c r="I38" s="73">
        <f t="shared" si="4"/>
        <v>30.562205826107991</v>
      </c>
      <c r="J38" s="73">
        <f t="shared" si="7"/>
        <v>253.93884181380471</v>
      </c>
      <c r="K38" s="64"/>
      <c r="L38" s="64"/>
      <c r="M38" s="106"/>
      <c r="N38" s="106"/>
      <c r="O38" s="106"/>
      <c r="P38" s="65"/>
      <c r="Q38" s="65"/>
      <c r="R38" s="65"/>
      <c r="S38" s="65"/>
      <c r="W38" s="64"/>
      <c r="X38" s="64"/>
      <c r="Y38" s="64"/>
    </row>
    <row r="39" spans="1:25" x14ac:dyDescent="0.35">
      <c r="A39" s="102">
        <v>37</v>
      </c>
      <c r="B39" s="103">
        <f t="shared" si="5"/>
        <v>37</v>
      </c>
      <c r="C39" s="104">
        <f t="shared" si="0"/>
        <v>32.900399999999998</v>
      </c>
      <c r="D39" s="104">
        <f t="shared" si="1"/>
        <v>10.096039146303504</v>
      </c>
      <c r="E39" s="104">
        <f t="shared" si="2"/>
        <v>74.885464846478598</v>
      </c>
      <c r="F39" s="71">
        <v>35</v>
      </c>
      <c r="G39" s="73">
        <v>215</v>
      </c>
      <c r="H39" s="73">
        <f t="shared" si="3"/>
        <v>92.45</v>
      </c>
      <c r="I39" s="73">
        <f t="shared" si="4"/>
        <v>25.155179194747834</v>
      </c>
      <c r="J39" s="73">
        <f t="shared" si="7"/>
        <v>204.82902043085244</v>
      </c>
      <c r="K39" s="64"/>
      <c r="L39" s="64"/>
      <c r="M39" s="64"/>
      <c r="N39" s="64"/>
      <c r="O39" s="64"/>
      <c r="P39" s="65"/>
      <c r="Q39" s="65"/>
      <c r="R39" s="65"/>
      <c r="S39" s="65"/>
      <c r="W39" s="64"/>
      <c r="X39" s="64"/>
      <c r="Y39" s="64"/>
    </row>
    <row r="40" spans="1:25" x14ac:dyDescent="0.35">
      <c r="A40" s="102">
        <v>38</v>
      </c>
      <c r="B40" s="103">
        <f t="shared" si="5"/>
        <v>38</v>
      </c>
      <c r="C40" s="104">
        <f t="shared" si="0"/>
        <v>33.7896</v>
      </c>
      <c r="D40" s="104">
        <f t="shared" si="1"/>
        <v>10.3367679858895</v>
      </c>
      <c r="E40" s="104">
        <f t="shared" si="2"/>
        <v>76.853424242090881</v>
      </c>
      <c r="F40" s="71">
        <f t="shared" si="6"/>
        <v>36</v>
      </c>
      <c r="G40" s="73">
        <f>$G$39+(F40-$F$39)*($G$44-$G$39)/($F$44-$F$39)</f>
        <v>226.2</v>
      </c>
      <c r="H40" s="73">
        <f t="shared" si="3"/>
        <v>97.265999999999991</v>
      </c>
      <c r="I40" s="73">
        <f t="shared" si="4"/>
        <v>26.309612648745627</v>
      </c>
      <c r="J40" s="73">
        <f t="shared" si="7"/>
        <v>215.22752536323196</v>
      </c>
      <c r="K40" s="64"/>
      <c r="L40" s="64"/>
      <c r="M40" s="64"/>
      <c r="N40" s="64"/>
      <c r="O40" s="64"/>
      <c r="P40" s="65"/>
      <c r="Q40" s="65"/>
      <c r="R40" s="65"/>
      <c r="S40" s="65"/>
      <c r="W40" s="64"/>
      <c r="X40" s="64"/>
      <c r="Y40" s="64"/>
    </row>
    <row r="41" spans="1:25" x14ac:dyDescent="0.35">
      <c r="A41" s="102">
        <v>39</v>
      </c>
      <c r="B41" s="103">
        <f t="shared" si="5"/>
        <v>39</v>
      </c>
      <c r="C41" s="104">
        <f t="shared" si="0"/>
        <v>34.678800000000003</v>
      </c>
      <c r="D41" s="104">
        <f t="shared" si="1"/>
        <v>10.576760473435781</v>
      </c>
      <c r="E41" s="104">
        <f t="shared" si="2"/>
        <v>78.820101157900652</v>
      </c>
      <c r="F41" s="71">
        <f t="shared" si="6"/>
        <v>37</v>
      </c>
      <c r="G41" s="73">
        <f t="shared" ref="G41:G43" si="18">$G$39+(F41-$F$39)*($G$44-$G$39)/($F$44-$F$39)</f>
        <v>237.4</v>
      </c>
      <c r="H41" s="73">
        <f t="shared" si="3"/>
        <v>102.08200000000001</v>
      </c>
      <c r="I41" s="73">
        <f t="shared" si="4"/>
        <v>27.457408919716965</v>
      </c>
      <c r="J41" s="73">
        <f t="shared" si="7"/>
        <v>225.61447053517372</v>
      </c>
      <c r="K41" s="64"/>
      <c r="L41" s="63"/>
      <c r="M41" s="107"/>
      <c r="N41" s="107"/>
      <c r="O41" s="107"/>
      <c r="P41" s="65"/>
      <c r="Q41" s="65"/>
      <c r="R41" s="65"/>
      <c r="S41" s="65"/>
      <c r="W41" s="64"/>
      <c r="X41" s="64"/>
      <c r="Y41" s="64"/>
    </row>
    <row r="42" spans="1:25" x14ac:dyDescent="0.35">
      <c r="A42" s="102">
        <v>40</v>
      </c>
      <c r="B42" s="103">
        <f t="shared" si="5"/>
        <v>40</v>
      </c>
      <c r="C42" s="104">
        <f t="shared" si="0"/>
        <v>35.567999999999998</v>
      </c>
      <c r="D42" s="104">
        <f t="shared" si="1"/>
        <v>10.816037660735208</v>
      </c>
      <c r="E42" s="104">
        <f t="shared" si="2"/>
        <v>80.785532259113808</v>
      </c>
      <c r="F42" s="71">
        <f t="shared" si="6"/>
        <v>38</v>
      </c>
      <c r="G42" s="73">
        <f t="shared" si="18"/>
        <v>248.6</v>
      </c>
      <c r="H42" s="73">
        <f t="shared" si="3"/>
        <v>106.898</v>
      </c>
      <c r="I42" s="73">
        <f t="shared" si="4"/>
        <v>28.598916889719312</v>
      </c>
      <c r="J42" s="73">
        <f t="shared" si="7"/>
        <v>235.99046358292776</v>
      </c>
      <c r="K42" s="64"/>
      <c r="L42" s="64"/>
      <c r="M42" s="64"/>
      <c r="N42" s="64"/>
      <c r="O42" s="64"/>
      <c r="P42" s="65"/>
      <c r="Q42" s="65"/>
      <c r="R42" s="65"/>
      <c r="S42" s="65"/>
      <c r="W42" s="64"/>
      <c r="X42" s="64"/>
      <c r="Y42" s="64"/>
    </row>
    <row r="43" spans="1:25" x14ac:dyDescent="0.35">
      <c r="A43" s="102">
        <v>41</v>
      </c>
      <c r="B43" s="103">
        <f t="shared" si="5"/>
        <v>41</v>
      </c>
      <c r="C43" s="104">
        <f t="shared" si="0"/>
        <v>36.4572</v>
      </c>
      <c r="D43" s="104">
        <f t="shared" si="1"/>
        <v>11.054619486999963</v>
      </c>
      <c r="E43" s="104">
        <f t="shared" si="2"/>
        <v>82.749752273191604</v>
      </c>
      <c r="F43" s="71">
        <f t="shared" si="6"/>
        <v>39</v>
      </c>
      <c r="G43" s="73">
        <f t="shared" si="18"/>
        <v>259.8</v>
      </c>
      <c r="H43" s="73">
        <f t="shared" si="3"/>
        <v>111.714</v>
      </c>
      <c r="I43" s="73">
        <f t="shared" si="4"/>
        <v>29.734452227843956</v>
      </c>
      <c r="J43" s="73">
        <f t="shared" si="7"/>
        <v>246.3560542968282</v>
      </c>
      <c r="K43" s="64"/>
      <c r="L43" s="64"/>
      <c r="M43" s="64"/>
      <c r="N43" s="64"/>
      <c r="O43" s="64"/>
      <c r="P43" s="65"/>
      <c r="Q43" s="65"/>
      <c r="R43" s="65"/>
      <c r="S43" s="65"/>
      <c r="W43" s="64"/>
      <c r="X43" s="64"/>
      <c r="Y43" s="64"/>
    </row>
    <row r="44" spans="1:25" x14ac:dyDescent="0.35">
      <c r="A44" s="102">
        <v>42</v>
      </c>
      <c r="B44" s="103">
        <f t="shared" si="5"/>
        <v>42</v>
      </c>
      <c r="C44" s="104">
        <f t="shared" si="0"/>
        <v>37.346399999999996</v>
      </c>
      <c r="D44" s="104">
        <f t="shared" si="1"/>
        <v>11.292524863342392</v>
      </c>
      <c r="E44" s="104">
        <f t="shared" si="2"/>
        <v>84.712794136987995</v>
      </c>
      <c r="F44" s="71">
        <f t="shared" si="6"/>
        <v>40</v>
      </c>
      <c r="G44" s="88">
        <v>271</v>
      </c>
      <c r="H44" s="73">
        <f t="shared" si="3"/>
        <v>116.53</v>
      </c>
      <c r="I44" s="73">
        <f t="shared" si="4"/>
        <v>30.864301846880135</v>
      </c>
      <c r="J44" s="73">
        <f t="shared" si="7"/>
        <v>256.71174238331622</v>
      </c>
      <c r="K44" s="64"/>
      <c r="L44" s="64"/>
      <c r="M44" s="106"/>
      <c r="N44" s="106"/>
      <c r="O44" s="106"/>
      <c r="P44" s="65"/>
      <c r="Q44" s="65"/>
      <c r="R44" s="65"/>
      <c r="S44" s="65"/>
      <c r="W44" s="64"/>
      <c r="X44" s="64"/>
      <c r="Y44" s="64"/>
    </row>
    <row r="45" spans="1:25" x14ac:dyDescent="0.35">
      <c r="A45" s="102">
        <v>43</v>
      </c>
      <c r="B45" s="103">
        <f t="shared" si="5"/>
        <v>43</v>
      </c>
      <c r="C45" s="104">
        <f t="shared" si="0"/>
        <v>38.235599999999998</v>
      </c>
      <c r="D45" s="104">
        <f t="shared" si="1"/>
        <v>11.529771748983352</v>
      </c>
      <c r="E45" s="104">
        <f t="shared" si="2"/>
        <v>86.674689129479319</v>
      </c>
      <c r="F45" s="71">
        <f t="shared" si="6"/>
        <v>41</v>
      </c>
      <c r="G45" s="88">
        <f>$G$44+(F45-$F$44)*($G$49-$G$44)/($F$49-$F$44)</f>
        <v>281.60000000000002</v>
      </c>
      <c r="H45" s="73">
        <f t="shared" si="3"/>
        <v>121.08800000000001</v>
      </c>
      <c r="I45" s="73">
        <f t="shared" si="4"/>
        <v>31.92862397367816</v>
      </c>
      <c r="J45" s="73">
        <f t="shared" si="7"/>
        <v>266.50395342082282</v>
      </c>
      <c r="K45" s="64"/>
      <c r="L45" s="64"/>
      <c r="M45" s="64"/>
      <c r="N45" s="64"/>
      <c r="O45" s="64"/>
      <c r="P45" s="65"/>
      <c r="Q45" s="65"/>
      <c r="R45" s="65"/>
      <c r="S45" s="65"/>
      <c r="W45" s="64"/>
      <c r="X45" s="64"/>
      <c r="Y45" s="64"/>
    </row>
    <row r="46" spans="1:25" x14ac:dyDescent="0.35">
      <c r="A46" s="102">
        <v>44</v>
      </c>
      <c r="B46" s="103">
        <f t="shared" si="5"/>
        <v>44</v>
      </c>
      <c r="C46" s="104">
        <f t="shared" si="0"/>
        <v>39.1248</v>
      </c>
      <c r="D46" s="104">
        <f t="shared" si="1"/>
        <v>11.766377220171686</v>
      </c>
      <c r="E46" s="104">
        <f t="shared" si="2"/>
        <v>88.635466991799021</v>
      </c>
      <c r="F46" s="71">
        <f t="shared" si="6"/>
        <v>42</v>
      </c>
      <c r="G46" s="88">
        <f t="shared" ref="G46:G48" si="19">$G$44+(F46-$F$44)*($G$49-$G$44)/($F$49-$F$44)</f>
        <v>292.2</v>
      </c>
      <c r="H46" s="73">
        <f t="shared" si="3"/>
        <v>125.64599999999999</v>
      </c>
      <c r="I46" s="73">
        <f t="shared" si="4"/>
        <v>32.988291777273552</v>
      </c>
      <c r="J46" s="73">
        <f t="shared" si="7"/>
        <v>276.28805817875144</v>
      </c>
      <c r="K46" s="64"/>
      <c r="L46" s="64"/>
      <c r="M46" s="64"/>
      <c r="N46" s="64"/>
      <c r="O46" s="64"/>
      <c r="P46" s="65"/>
      <c r="Q46" s="65"/>
      <c r="R46" s="65"/>
      <c r="S46" s="65"/>
      <c r="W46" s="64"/>
      <c r="X46" s="64"/>
      <c r="Y46" s="64"/>
    </row>
    <row r="47" spans="1:25" x14ac:dyDescent="0.35">
      <c r="A47" s="102">
        <v>45</v>
      </c>
      <c r="B47" s="103">
        <f t="shared" si="5"/>
        <v>45</v>
      </c>
      <c r="C47" s="104">
        <f t="shared" si="0"/>
        <v>40.013999999999996</v>
      </c>
      <c r="D47" s="104">
        <f t="shared" si="1"/>
        <v>12.002357532661732</v>
      </c>
      <c r="E47" s="104">
        <f t="shared" si="2"/>
        <v>90.595156036052515</v>
      </c>
      <c r="F47" s="71">
        <f t="shared" si="6"/>
        <v>43</v>
      </c>
      <c r="G47" s="88">
        <f t="shared" si="19"/>
        <v>302.8</v>
      </c>
      <c r="H47" s="73">
        <f t="shared" si="3"/>
        <v>130.20400000000001</v>
      </c>
      <c r="I47" s="73">
        <f t="shared" si="4"/>
        <v>34.043493440159544</v>
      </c>
      <c r="J47" s="73">
        <f t="shared" si="7"/>
        <v>286.06438440827787</v>
      </c>
      <c r="K47" s="64"/>
      <c r="L47" s="63"/>
      <c r="M47" s="63"/>
      <c r="N47" s="63"/>
      <c r="O47" s="63"/>
      <c r="P47" s="65"/>
      <c r="Q47" s="65"/>
      <c r="R47" s="65"/>
      <c r="S47" s="65"/>
      <c r="W47" s="64"/>
      <c r="X47" s="64"/>
      <c r="Y47" s="64"/>
    </row>
    <row r="48" spans="1:25" x14ac:dyDescent="0.35">
      <c r="A48" s="102">
        <v>46</v>
      </c>
      <c r="B48" s="103">
        <f t="shared" si="5"/>
        <v>46</v>
      </c>
      <c r="C48" s="104">
        <f t="shared" si="0"/>
        <v>40.903199999999998</v>
      </c>
      <c r="D48" s="104">
        <f t="shared" si="1"/>
        <v>12.2377281784806</v>
      </c>
      <c r="E48" s="104">
        <f t="shared" si="2"/>
        <v>92.553783244187045</v>
      </c>
      <c r="F48" s="71">
        <f t="shared" si="6"/>
        <v>44</v>
      </c>
      <c r="G48" s="88">
        <f t="shared" si="19"/>
        <v>313.39999999999998</v>
      </c>
      <c r="H48" s="73">
        <f t="shared" si="3"/>
        <v>134.762</v>
      </c>
      <c r="I48" s="73">
        <f>EXP(-1.0587+0.8836*LN(H48)+0.284)</f>
        <v>35.094403222473595</v>
      </c>
      <c r="J48" s="73">
        <f t="shared" si="7"/>
        <v>295.83323561247488</v>
      </c>
      <c r="K48" s="64"/>
      <c r="L48" s="64"/>
      <c r="M48" s="106"/>
      <c r="N48" s="106"/>
      <c r="O48" s="106"/>
      <c r="P48" s="65"/>
      <c r="Q48" s="65"/>
      <c r="R48" s="65"/>
      <c r="S48" s="65"/>
      <c r="W48" s="64"/>
      <c r="X48" s="64"/>
      <c r="Y48" s="64"/>
    </row>
    <row r="49" spans="1:25" x14ac:dyDescent="0.35">
      <c r="A49" s="102">
        <v>47</v>
      </c>
      <c r="B49" s="103">
        <f t="shared" si="5"/>
        <v>47</v>
      </c>
      <c r="C49" s="104">
        <f t="shared" si="0"/>
        <v>41.792400000000001</v>
      </c>
      <c r="D49" s="104">
        <f t="shared" si="1"/>
        <v>12.472503937619972</v>
      </c>
      <c r="E49" s="104">
        <f t="shared" si="2"/>
        <v>94.511374358021442</v>
      </c>
      <c r="F49" s="71">
        <f t="shared" si="6"/>
        <v>45</v>
      </c>
      <c r="G49" s="88">
        <f>297+271-244</f>
        <v>324</v>
      </c>
      <c r="H49" s="73">
        <f t="shared" si="3"/>
        <v>139.32</v>
      </c>
      <c r="I49" s="73">
        <f t="shared" ref="I49:I112" si="20">EXP(-1.0587+0.8836*LN(H49)+0.284)</f>
        <v>36.141182927738022</v>
      </c>
      <c r="J49" s="73">
        <f t="shared" si="7"/>
        <v>305.59489359914369</v>
      </c>
      <c r="K49" s="64"/>
      <c r="L49" s="64"/>
      <c r="M49" s="64"/>
      <c r="N49" s="64"/>
      <c r="O49" s="64"/>
      <c r="P49" s="65"/>
      <c r="Q49" s="65"/>
      <c r="R49" s="65"/>
      <c r="S49" s="65"/>
      <c r="W49" s="64"/>
      <c r="X49" s="64"/>
      <c r="Y49" s="64"/>
    </row>
    <row r="50" spans="1:25" x14ac:dyDescent="0.35">
      <c r="A50" s="102">
        <v>48</v>
      </c>
      <c r="B50" s="103">
        <f t="shared" si="5"/>
        <v>48</v>
      </c>
      <c r="C50" s="104">
        <f t="shared" si="0"/>
        <v>42.681599999999996</v>
      </c>
      <c r="D50" s="104">
        <f t="shared" si="1"/>
        <v>12.70669892520443</v>
      </c>
      <c r="E50" s="104">
        <f t="shared" si="2"/>
        <v>96.467953961397697</v>
      </c>
      <c r="F50" s="71">
        <v>45</v>
      </c>
      <c r="G50" s="88">
        <v>271</v>
      </c>
      <c r="H50" s="73">
        <f t="shared" si="3"/>
        <v>116.53</v>
      </c>
      <c r="I50" s="73">
        <f t="shared" si="20"/>
        <v>30.864301846880135</v>
      </c>
      <c r="J50" s="73">
        <f t="shared" si="7"/>
        <v>256.71174238331622</v>
      </c>
      <c r="K50" s="64"/>
      <c r="L50" s="64"/>
      <c r="M50" s="106"/>
      <c r="N50" s="106"/>
      <c r="O50" s="106"/>
      <c r="P50" s="65"/>
      <c r="Q50" s="65"/>
      <c r="R50" s="65"/>
      <c r="S50" s="65"/>
      <c r="W50" s="64"/>
      <c r="X50" s="64"/>
      <c r="Y50" s="64"/>
    </row>
    <row r="51" spans="1:25" x14ac:dyDescent="0.35">
      <c r="A51" s="102">
        <v>49</v>
      </c>
      <c r="B51" s="103">
        <f t="shared" si="5"/>
        <v>49</v>
      </c>
      <c r="C51" s="104">
        <f t="shared" si="0"/>
        <v>43.570799999999998</v>
      </c>
      <c r="D51" s="104">
        <f t="shared" si="1"/>
        <v>12.940326634618202</v>
      </c>
      <c r="E51" s="104">
        <f t="shared" si="2"/>
        <v>98.423545555293359</v>
      </c>
      <c r="F51" s="71">
        <f t="shared" si="6"/>
        <v>46</v>
      </c>
      <c r="G51" s="88">
        <f>$G$50+(F51-$F$50)*($G$55-$G$50)/($F$55-$F$50)</f>
        <v>280.8</v>
      </c>
      <c r="H51" s="73">
        <f t="shared" si="3"/>
        <v>120.744</v>
      </c>
      <c r="I51" s="73">
        <f t="shared" si="20"/>
        <v>31.848462605207807</v>
      </c>
      <c r="J51" s="73">
        <f t="shared" si="7"/>
        <v>265.76520570407024</v>
      </c>
      <c r="K51" s="64"/>
      <c r="L51" s="64"/>
      <c r="M51" s="64"/>
      <c r="N51" s="64"/>
      <c r="O51" s="64"/>
      <c r="P51" s="65"/>
      <c r="Q51" s="65"/>
      <c r="R51" s="65"/>
      <c r="S51" s="65"/>
      <c r="W51" s="64"/>
      <c r="X51" s="64"/>
      <c r="Y51" s="64"/>
    </row>
    <row r="52" spans="1:25" x14ac:dyDescent="0.35">
      <c r="A52" s="102">
        <v>50</v>
      </c>
      <c r="B52" s="103">
        <f t="shared" si="5"/>
        <v>50</v>
      </c>
      <c r="C52" s="104">
        <f t="shared" si="0"/>
        <v>44.459999999999994</v>
      </c>
      <c r="D52" s="104">
        <f t="shared" si="1"/>
        <v>13.173399977011854</v>
      </c>
      <c r="E52" s="104">
        <f t="shared" si="2"/>
        <v>100.37817162662895</v>
      </c>
      <c r="F52" s="71">
        <f t="shared" si="6"/>
        <v>47</v>
      </c>
      <c r="G52" s="88">
        <f t="shared" ref="G52:G54" si="21">$G$50+(F52-$F$50)*($G$55-$G$50)/($F$55-$F$50)</f>
        <v>290.60000000000002</v>
      </c>
      <c r="H52" s="73">
        <f t="shared" si="3"/>
        <v>124.95800000000001</v>
      </c>
      <c r="I52" s="73">
        <f t="shared" si="20"/>
        <v>32.828632569621575</v>
      </c>
      <c r="J52" s="73">
        <f t="shared" si="7"/>
        <v>274.81171839209094</v>
      </c>
      <c r="K52" s="64"/>
      <c r="L52" s="64"/>
      <c r="M52" s="64"/>
      <c r="N52" s="64"/>
      <c r="O52" s="64"/>
      <c r="P52" s="65"/>
      <c r="Q52" s="65"/>
      <c r="R52" s="65"/>
      <c r="S52" s="65"/>
      <c r="W52" s="64"/>
      <c r="X52" s="64"/>
      <c r="Y52" s="64"/>
    </row>
    <row r="53" spans="1:25" x14ac:dyDescent="0.35">
      <c r="A53" s="102">
        <v>51</v>
      </c>
      <c r="B53" s="103">
        <f t="shared" si="5"/>
        <v>51</v>
      </c>
      <c r="C53" s="104">
        <f t="shared" si="0"/>
        <v>45.349199999999996</v>
      </c>
      <c r="D53" s="104">
        <f t="shared" si="1"/>
        <v>13.405931317559235</v>
      </c>
      <c r="E53" s="104">
        <f t="shared" si="2"/>
        <v>102.33185371141566</v>
      </c>
      <c r="F53" s="71">
        <f t="shared" si="6"/>
        <v>48</v>
      </c>
      <c r="G53" s="88">
        <f t="shared" si="21"/>
        <v>300.39999999999998</v>
      </c>
      <c r="H53" s="73">
        <f t="shared" si="3"/>
        <v>129.172</v>
      </c>
      <c r="I53" s="73">
        <f t="shared" si="20"/>
        <v>33.804961751689021</v>
      </c>
      <c r="J53" s="73">
        <f t="shared" si="7"/>
        <v>283.85154171752504</v>
      </c>
      <c r="K53" s="64"/>
      <c r="L53" s="64"/>
      <c r="M53" s="64"/>
      <c r="N53" s="64"/>
      <c r="O53" s="64"/>
      <c r="P53" s="65"/>
      <c r="Q53" s="65"/>
      <c r="R53" s="65"/>
      <c r="S53" s="65"/>
      <c r="W53" s="64"/>
      <c r="X53" s="64"/>
      <c r="Y53" s="64"/>
    </row>
    <row r="54" spans="1:25" x14ac:dyDescent="0.35">
      <c r="A54" s="102">
        <v>52</v>
      </c>
      <c r="B54" s="103">
        <f t="shared" si="5"/>
        <v>52</v>
      </c>
      <c r="C54" s="104">
        <f t="shared" si="0"/>
        <v>46.238399999999999</v>
      </c>
      <c r="D54" s="104">
        <f t="shared" si="1"/>
        <v>13.637932508790355</v>
      </c>
      <c r="E54" s="104">
        <f t="shared" si="2"/>
        <v>104.28461245280987</v>
      </c>
      <c r="F54" s="71">
        <f t="shared" si="6"/>
        <v>49</v>
      </c>
      <c r="G54" s="88">
        <f t="shared" si="21"/>
        <v>310.2</v>
      </c>
      <c r="H54" s="73">
        <f t="shared" si="3"/>
        <v>133.386</v>
      </c>
      <c r="I54" s="73">
        <f t="shared" si="20"/>
        <v>34.777589819693418</v>
      </c>
      <c r="J54" s="73">
        <f t="shared" si="7"/>
        <v>292.88491893596603</v>
      </c>
      <c r="K54" s="64"/>
      <c r="L54" s="63"/>
      <c r="M54" s="63"/>
      <c r="N54" s="63"/>
      <c r="O54" s="63"/>
      <c r="P54" s="65"/>
      <c r="Q54" s="65"/>
      <c r="R54" s="65"/>
      <c r="S54" s="65"/>
      <c r="W54" s="64"/>
      <c r="X54" s="64"/>
      <c r="Y54" s="64"/>
    </row>
    <row r="55" spans="1:25" x14ac:dyDescent="0.35">
      <c r="A55" s="102">
        <v>53</v>
      </c>
      <c r="B55" s="103">
        <f t="shared" si="5"/>
        <v>53</v>
      </c>
      <c r="C55" s="104">
        <f t="shared" si="0"/>
        <v>47.127600000000001</v>
      </c>
      <c r="D55" s="104">
        <f t="shared" si="1"/>
        <v>13.869414921287742</v>
      </c>
      <c r="E55" s="104">
        <f t="shared" si="2"/>
        <v>106.23646765457615</v>
      </c>
      <c r="F55" s="71">
        <f t="shared" si="6"/>
        <v>50</v>
      </c>
      <c r="G55" s="74">
        <v>320</v>
      </c>
      <c r="H55" s="73">
        <f t="shared" si="3"/>
        <v>137.6</v>
      </c>
      <c r="I55" s="73">
        <f t="shared" si="20"/>
        <v>35.746647115800606</v>
      </c>
      <c r="J55" s="73">
        <f t="shared" si="7"/>
        <v>301.91207706001939</v>
      </c>
      <c r="K55" s="64"/>
      <c r="L55" s="64"/>
      <c r="M55" s="106"/>
      <c r="N55" s="106"/>
      <c r="O55" s="106"/>
      <c r="P55" s="65"/>
      <c r="Q55" s="65"/>
      <c r="R55" s="65"/>
      <c r="S55" s="65"/>
      <c r="W55" s="64"/>
      <c r="X55" s="64"/>
      <c r="Y55" s="64"/>
    </row>
    <row r="56" spans="1:25" x14ac:dyDescent="0.35">
      <c r="A56" s="102">
        <v>54</v>
      </c>
      <c r="B56" s="103">
        <f t="shared" si="5"/>
        <v>54</v>
      </c>
      <c r="C56" s="104">
        <f t="shared" si="0"/>
        <v>48.016800000000003</v>
      </c>
      <c r="D56" s="104">
        <f t="shared" si="1"/>
        <v>14.10038947200055</v>
      </c>
      <c r="E56" s="104">
        <f t="shared" si="2"/>
        <v>108.18743833040098</v>
      </c>
      <c r="F56" s="71">
        <f t="shared" si="6"/>
        <v>51</v>
      </c>
      <c r="G56" s="74">
        <f>$G$55+(F56-$F$55)*($G$60-$G$55)/($F$60-$F$55)</f>
        <v>329</v>
      </c>
      <c r="H56" s="73">
        <f t="shared" si="3"/>
        <v>141.47</v>
      </c>
      <c r="I56" s="73">
        <f t="shared" si="20"/>
        <v>36.633556860452131</v>
      </c>
      <c r="J56" s="73">
        <f t="shared" si="7"/>
        <v>310.19702819862079</v>
      </c>
      <c r="K56" s="64"/>
      <c r="L56" s="64"/>
      <c r="M56" s="106"/>
      <c r="N56" s="106"/>
      <c r="O56" s="106"/>
      <c r="P56" s="65"/>
      <c r="Q56" s="65"/>
      <c r="R56" s="65"/>
      <c r="S56" s="65"/>
      <c r="W56" s="64"/>
      <c r="X56" s="64"/>
      <c r="Y56" s="64"/>
    </row>
    <row r="57" spans="1:25" x14ac:dyDescent="0.35">
      <c r="A57" s="102">
        <v>55</v>
      </c>
      <c r="B57" s="103">
        <f t="shared" si="5"/>
        <v>55</v>
      </c>
      <c r="C57" s="104">
        <f t="shared" si="0"/>
        <v>48.905999999999992</v>
      </c>
      <c r="D57" s="104">
        <f t="shared" si="1"/>
        <v>14.330866650402026</v>
      </c>
      <c r="E57" s="104">
        <f t="shared" si="2"/>
        <v>110.13754274945018</v>
      </c>
      <c r="F57" s="71">
        <f t="shared" si="6"/>
        <v>52</v>
      </c>
      <c r="G57" s="74">
        <f t="shared" ref="G57:G59" si="22">$G$55+(F57-$F$55)*($G$60-$G$55)/($F$60-$F$55)</f>
        <v>338</v>
      </c>
      <c r="H57" s="73">
        <f t="shared" si="3"/>
        <v>145.34</v>
      </c>
      <c r="I57" s="73">
        <f t="shared" si="20"/>
        <v>37.517646631752974</v>
      </c>
      <c r="J57" s="73">
        <f t="shared" si="7"/>
        <v>318.47706788363638</v>
      </c>
      <c r="K57" s="64"/>
      <c r="L57" s="64"/>
      <c r="M57" s="64"/>
      <c r="N57" s="64"/>
      <c r="O57" s="64"/>
      <c r="P57" s="65"/>
      <c r="Q57" s="65"/>
      <c r="R57" s="65"/>
      <c r="S57" s="65"/>
      <c r="W57" s="64"/>
      <c r="X57" s="64"/>
      <c r="Y57" s="64"/>
    </row>
    <row r="58" spans="1:25" x14ac:dyDescent="0.35">
      <c r="A58" s="102">
        <v>56</v>
      </c>
      <c r="B58" s="103">
        <f t="shared" si="5"/>
        <v>56</v>
      </c>
      <c r="C58" s="104">
        <f t="shared" si="0"/>
        <v>49.795199999999994</v>
      </c>
      <c r="D58" s="104">
        <f t="shared" si="1"/>
        <v>14.560856542690773</v>
      </c>
      <c r="E58" s="104">
        <f t="shared" si="2"/>
        <v>112.08679847851975</v>
      </c>
      <c r="F58" s="71">
        <f t="shared" si="6"/>
        <v>53</v>
      </c>
      <c r="G58" s="74">
        <f t="shared" si="22"/>
        <v>347</v>
      </c>
      <c r="H58" s="73">
        <f t="shared" si="3"/>
        <v>149.21</v>
      </c>
      <c r="I58" s="73">
        <f t="shared" si="20"/>
        <v>38.399000148253727</v>
      </c>
      <c r="J58" s="73">
        <f t="shared" si="7"/>
        <v>326.75234192487522</v>
      </c>
      <c r="K58" s="64"/>
      <c r="L58" s="64"/>
      <c r="M58" s="64"/>
      <c r="N58" s="64"/>
      <c r="O58" s="64"/>
      <c r="P58" s="65"/>
      <c r="Q58" s="65"/>
      <c r="R58" s="65"/>
      <c r="S58" s="65"/>
      <c r="T58" s="64"/>
      <c r="U58" s="64"/>
      <c r="V58" s="64"/>
      <c r="W58" s="64"/>
      <c r="X58" s="64"/>
      <c r="Y58" s="64"/>
    </row>
    <row r="59" spans="1:25" x14ac:dyDescent="0.35">
      <c r="A59" s="102">
        <v>57</v>
      </c>
      <c r="B59" s="103">
        <f t="shared" si="5"/>
        <v>57</v>
      </c>
      <c r="C59" s="104">
        <f t="shared" si="0"/>
        <v>50.684399999999997</v>
      </c>
      <c r="D59" s="104">
        <f t="shared" si="1"/>
        <v>14.790368854214469</v>
      </c>
      <c r="E59" s="104">
        <f t="shared" si="2"/>
        <v>114.03522242109018</v>
      </c>
      <c r="F59" s="71">
        <f t="shared" si="6"/>
        <v>54</v>
      </c>
      <c r="G59" s="74">
        <f t="shared" si="22"/>
        <v>356</v>
      </c>
      <c r="H59" s="73">
        <f t="shared" si="3"/>
        <v>153.07999999999998</v>
      </c>
      <c r="I59" s="73">
        <f t="shared" si="20"/>
        <v>39.277696538385001</v>
      </c>
      <c r="J59" s="73">
        <f t="shared" si="7"/>
        <v>335.02298813768715</v>
      </c>
      <c r="K59" s="64"/>
      <c r="L59" s="64"/>
      <c r="M59" s="64"/>
      <c r="N59" s="64"/>
      <c r="O59" s="64"/>
      <c r="P59" s="65"/>
      <c r="Q59" s="65"/>
      <c r="R59" s="65"/>
      <c r="S59" s="65"/>
      <c r="T59" s="64"/>
      <c r="U59" s="64"/>
      <c r="V59" s="64"/>
      <c r="W59" s="64"/>
      <c r="X59" s="64"/>
      <c r="Y59" s="64"/>
    </row>
    <row r="60" spans="1:25" x14ac:dyDescent="0.35">
      <c r="A60" s="102">
        <v>58</v>
      </c>
      <c r="B60" s="103">
        <f t="shared" si="5"/>
        <v>58</v>
      </c>
      <c r="C60" s="104">
        <f t="shared" si="0"/>
        <v>51.573599999999999</v>
      </c>
      <c r="D60" s="104">
        <f t="shared" si="1"/>
        <v>15.019412930275323</v>
      </c>
      <c r="E60" s="104">
        <f t="shared" si="2"/>
        <v>115.98283085356285</v>
      </c>
      <c r="F60" s="71">
        <f t="shared" si="6"/>
        <v>55</v>
      </c>
      <c r="G60" s="74">
        <f>340+320-295</f>
        <v>365</v>
      </c>
      <c r="H60" s="73">
        <f t="shared" si="3"/>
        <v>156.94999999999999</v>
      </c>
      <c r="I60" s="73">
        <f t="shared" si="20"/>
        <v>40.153810701715507</v>
      </c>
      <c r="J60" s="73">
        <f t="shared" si="7"/>
        <v>343.28913697215444</v>
      </c>
      <c r="K60" s="64"/>
      <c r="L60" s="64"/>
      <c r="M60" s="64"/>
      <c r="N60" s="64"/>
      <c r="O60" s="64"/>
      <c r="P60" s="65"/>
      <c r="Q60" s="65"/>
      <c r="R60" s="65"/>
      <c r="S60" s="65"/>
      <c r="T60" s="64"/>
      <c r="U60" s="64"/>
      <c r="V60" s="64"/>
      <c r="W60" s="64"/>
      <c r="X60" s="64"/>
      <c r="Y60" s="64"/>
    </row>
    <row r="61" spans="1:25" x14ac:dyDescent="0.35">
      <c r="A61" s="102">
        <v>59</v>
      </c>
      <c r="B61" s="103">
        <f t="shared" si="5"/>
        <v>59</v>
      </c>
      <c r="C61" s="104">
        <f t="shared" si="0"/>
        <v>52.462800000000001</v>
      </c>
      <c r="D61" s="104">
        <f t="shared" si="1"/>
        <v>15.247997775460169</v>
      </c>
      <c r="E61" s="104">
        <f t="shared" si="2"/>
        <v>117.92963945892645</v>
      </c>
      <c r="F61" s="71">
        <v>55</v>
      </c>
      <c r="G61" s="74">
        <v>316</v>
      </c>
      <c r="H61" s="73">
        <f t="shared" si="3"/>
        <v>135.88</v>
      </c>
      <c r="I61" s="73">
        <f t="shared" si="20"/>
        <v>35.351536820589814</v>
      </c>
      <c r="J61" s="73">
        <f t="shared" si="7"/>
        <v>298.22825996252726</v>
      </c>
      <c r="K61" s="64"/>
      <c r="L61" s="63"/>
      <c r="M61" s="63"/>
      <c r="N61" s="63"/>
      <c r="O61" s="63"/>
      <c r="P61" s="65"/>
      <c r="Q61" s="65"/>
      <c r="R61" s="65"/>
      <c r="S61" s="65"/>
      <c r="T61" s="64"/>
      <c r="U61" s="64"/>
      <c r="V61" s="64"/>
      <c r="W61" s="64"/>
      <c r="X61" s="64"/>
      <c r="Y61" s="64"/>
    </row>
    <row r="62" spans="1:25" x14ac:dyDescent="0.35">
      <c r="A62" s="102">
        <v>60</v>
      </c>
      <c r="B62" s="103">
        <f t="shared" si="5"/>
        <v>60</v>
      </c>
      <c r="C62" s="104">
        <f t="shared" si="0"/>
        <v>53.351999999999997</v>
      </c>
      <c r="D62" s="104">
        <f t="shared" si="1"/>
        <v>15.476132071622843</v>
      </c>
      <c r="E62" s="104">
        <f t="shared" si="2"/>
        <v>119.87566335807644</v>
      </c>
      <c r="F62" s="71">
        <f t="shared" si="6"/>
        <v>56</v>
      </c>
      <c r="G62" s="74">
        <f>$G$61+(F62-$F$61)*($G$66-$G$61)/($F$66-$F$61)</f>
        <v>324.39999999999998</v>
      </c>
      <c r="H62" s="73">
        <f t="shared" si="3"/>
        <v>139.49199999999999</v>
      </c>
      <c r="I62" s="73">
        <f t="shared" si="20"/>
        <v>36.180605218782823</v>
      </c>
      <c r="J62" s="73">
        <f t="shared" si="7"/>
        <v>305.96312075604669</v>
      </c>
      <c r="K62" s="64"/>
      <c r="L62" s="63"/>
      <c r="M62" s="107"/>
      <c r="N62" s="107"/>
      <c r="O62" s="107"/>
      <c r="P62" s="65"/>
      <c r="Q62" s="65"/>
      <c r="R62" s="65"/>
      <c r="S62" s="65"/>
      <c r="T62" s="64"/>
      <c r="U62" s="64"/>
      <c r="V62" s="64"/>
    </row>
    <row r="63" spans="1:25" x14ac:dyDescent="0.35">
      <c r="A63" s="102">
        <v>61</v>
      </c>
      <c r="B63" s="103">
        <f t="shared" si="5"/>
        <v>61</v>
      </c>
      <c r="C63" s="104">
        <f t="shared" si="0"/>
        <v>54.241199999999992</v>
      </c>
      <c r="D63" s="104">
        <f t="shared" si="1"/>
        <v>15.703824194633755</v>
      </c>
      <c r="E63" s="104">
        <f t="shared" si="2"/>
        <v>121.82091713898711</v>
      </c>
      <c r="F63" s="71">
        <f t="shared" si="6"/>
        <v>57</v>
      </c>
      <c r="G63" s="74">
        <f t="shared" ref="G63:G65" si="23">$G$61+(F63-$F$61)*($G$66-$G$61)/($F$66-$F$61)</f>
        <v>332.8</v>
      </c>
      <c r="H63" s="73">
        <f t="shared" si="3"/>
        <v>143.10400000000001</v>
      </c>
      <c r="I63" s="73">
        <f t="shared" si="20"/>
        <v>37.007178225178052</v>
      </c>
      <c r="J63" s="73">
        <f t="shared" si="7"/>
        <v>313.69363540885178</v>
      </c>
      <c r="K63" s="64"/>
      <c r="L63" s="63"/>
      <c r="M63" s="63"/>
      <c r="N63" s="63"/>
      <c r="O63" s="63"/>
      <c r="P63" s="65"/>
      <c r="Q63" s="65"/>
      <c r="R63" s="65"/>
      <c r="S63" s="65"/>
      <c r="T63" s="64"/>
      <c r="U63" s="64"/>
      <c r="V63" s="64"/>
    </row>
    <row r="64" spans="1:25" x14ac:dyDescent="0.35">
      <c r="A64" s="102">
        <v>62</v>
      </c>
      <c r="B64" s="103">
        <f t="shared" si="5"/>
        <v>62</v>
      </c>
      <c r="C64" s="104">
        <f t="shared" si="0"/>
        <v>55.130399999999995</v>
      </c>
      <c r="D64" s="104">
        <f t="shared" si="1"/>
        <v>15.931082230000035</v>
      </c>
      <c r="E64" s="104">
        <f t="shared" si="2"/>
        <v>123.7654148839167</v>
      </c>
      <c r="F64" s="71">
        <f t="shared" si="6"/>
        <v>58</v>
      </c>
      <c r="G64" s="74">
        <f t="shared" si="23"/>
        <v>341.2</v>
      </c>
      <c r="H64" s="73">
        <f t="shared" si="3"/>
        <v>146.71599999999998</v>
      </c>
      <c r="I64" s="73">
        <f t="shared" si="20"/>
        <v>37.831326067731702</v>
      </c>
      <c r="J64" s="73">
        <f t="shared" si="7"/>
        <v>321.41992623463267</v>
      </c>
      <c r="K64" s="64"/>
      <c r="L64" s="63"/>
      <c r="M64" s="63"/>
      <c r="N64" s="63"/>
      <c r="O64" s="63"/>
      <c r="P64" s="65"/>
      <c r="Q64" s="65"/>
      <c r="R64" s="65"/>
      <c r="S64" s="65"/>
    </row>
    <row r="65" spans="1:19" x14ac:dyDescent="0.35">
      <c r="A65" s="102">
        <v>63</v>
      </c>
      <c r="B65" s="103">
        <f t="shared" si="5"/>
        <v>63</v>
      </c>
      <c r="C65" s="104">
        <f t="shared" si="0"/>
        <v>56.019599999999997</v>
      </c>
      <c r="D65" s="104">
        <f t="shared" si="1"/>
        <v>16.15791398744928</v>
      </c>
      <c r="E65" s="104">
        <f t="shared" si="2"/>
        <v>125.70917019480748</v>
      </c>
      <c r="F65" s="71">
        <f t="shared" si="6"/>
        <v>59</v>
      </c>
      <c r="G65" s="74">
        <f t="shared" si="23"/>
        <v>349.6</v>
      </c>
      <c r="H65" s="73">
        <f t="shared" si="3"/>
        <v>150.328</v>
      </c>
      <c r="I65" s="73">
        <f t="shared" si="20"/>
        <v>38.653115319393493</v>
      </c>
      <c r="J65" s="73">
        <f t="shared" si="7"/>
        <v>329.14210918127696</v>
      </c>
      <c r="K65" s="64"/>
      <c r="L65" s="63"/>
      <c r="M65" s="63"/>
      <c r="N65" s="63"/>
      <c r="O65" s="63"/>
      <c r="P65" s="65"/>
      <c r="Q65" s="65"/>
      <c r="R65" s="65"/>
      <c r="S65" s="65"/>
    </row>
    <row r="66" spans="1:19" x14ac:dyDescent="0.35">
      <c r="A66" s="102">
        <v>64</v>
      </c>
      <c r="B66" s="103">
        <f t="shared" si="5"/>
        <v>64</v>
      </c>
      <c r="C66" s="104">
        <f t="shared" si="0"/>
        <v>56.908799999999999</v>
      </c>
      <c r="D66" s="104">
        <f t="shared" si="1"/>
        <v>16.384327014561205</v>
      </c>
      <c r="E66" s="104">
        <f t="shared" si="2"/>
        <v>127.65219621702742</v>
      </c>
      <c r="F66" s="71">
        <f t="shared" si="6"/>
        <v>60</v>
      </c>
      <c r="G66" s="74">
        <v>358</v>
      </c>
      <c r="H66" s="73">
        <f t="shared" si="3"/>
        <v>153.94</v>
      </c>
      <c r="I66" s="73">
        <f t="shared" si="20"/>
        <v>39.472609171514129</v>
      </c>
      <c r="J66" s="73">
        <f t="shared" si="7"/>
        <v>336.86029430705378</v>
      </c>
      <c r="K66" s="64"/>
      <c r="L66" s="63"/>
      <c r="M66" s="63"/>
      <c r="N66" s="63"/>
      <c r="O66" s="63"/>
      <c r="P66" s="65"/>
      <c r="Q66" s="65"/>
      <c r="R66" s="65"/>
      <c r="S66" s="65"/>
    </row>
    <row r="67" spans="1:19" x14ac:dyDescent="0.35">
      <c r="A67" s="102">
        <v>65</v>
      </c>
      <c r="B67" s="103">
        <f t="shared" si="5"/>
        <v>65</v>
      </c>
      <c r="C67" s="104">
        <f t="shared" ref="C67:C112" si="24">B67*1.56*$U$1</f>
        <v>57.798000000000002</v>
      </c>
      <c r="D67" s="104">
        <f t="shared" ref="D67:D112" si="25">EXP(-1.0587+0.8836*LN(C67)+0.284)</f>
        <v>16.610328609522991</v>
      </c>
      <c r="E67" s="104">
        <f t="shared" ref="E67:E112" si="26">(C67+D67)*0.475*44/12</f>
        <v>129.59450566158588</v>
      </c>
      <c r="F67" s="71">
        <f t="shared" si="6"/>
        <v>61</v>
      </c>
      <c r="G67" s="74">
        <f>$G$66+(F67-$F$66)*($G$71-$G$66)/($F$71-$F$66)</f>
        <v>366</v>
      </c>
      <c r="H67" s="73">
        <f t="shared" ref="H67:H121" si="27">G67*$W$1</f>
        <v>157.38</v>
      </c>
      <c r="I67" s="73">
        <f t="shared" si="20"/>
        <v>40.251000442952474</v>
      </c>
      <c r="J67" s="73">
        <f t="shared" si="7"/>
        <v>344.20732577147555</v>
      </c>
      <c r="K67" s="64"/>
      <c r="L67" s="63"/>
      <c r="M67" s="63"/>
      <c r="N67" s="63"/>
      <c r="O67" s="63"/>
      <c r="P67" s="65"/>
      <c r="Q67" s="65"/>
      <c r="R67" s="65"/>
      <c r="S67" s="65"/>
    </row>
    <row r="68" spans="1:19" x14ac:dyDescent="0.35">
      <c r="A68" s="102">
        <v>66</v>
      </c>
      <c r="B68" s="103">
        <f t="shared" ref="B68:B112" si="28">B67+1</f>
        <v>66</v>
      </c>
      <c r="C68" s="104">
        <f t="shared" si="24"/>
        <v>58.687199999999997</v>
      </c>
      <c r="D68" s="104">
        <f t="shared" si="25"/>
        <v>16.835925833077539</v>
      </c>
      <c r="E68" s="104">
        <f t="shared" si="26"/>
        <v>131.53611082594338</v>
      </c>
      <c r="F68" s="71">
        <f t="shared" ref="F68:F119" si="29">F67+1</f>
        <v>62</v>
      </c>
      <c r="G68" s="74">
        <f t="shared" ref="G68:G70" si="30">$G$66+(F68-$F$66)*($G$71-$G$66)/($F$71-$F$66)</f>
        <v>374</v>
      </c>
      <c r="H68" s="73">
        <f t="shared" si="27"/>
        <v>160.82</v>
      </c>
      <c r="I68" s="73">
        <f t="shared" si="20"/>
        <v>41.02741363357611</v>
      </c>
      <c r="J68" s="73">
        <f t="shared" ref="J68:J121" si="31">(H68+I68)*0.475*44/12</f>
        <v>351.5509120784784</v>
      </c>
      <c r="K68" s="64"/>
      <c r="L68" s="63"/>
      <c r="M68" s="63"/>
      <c r="N68" s="63"/>
      <c r="O68" s="63"/>
      <c r="P68" s="65"/>
      <c r="Q68" s="65"/>
      <c r="R68" s="65"/>
      <c r="S68" s="65"/>
    </row>
    <row r="69" spans="1:19" x14ac:dyDescent="0.35">
      <c r="A69" s="102">
        <v>67</v>
      </c>
      <c r="B69" s="103">
        <f t="shared" si="28"/>
        <v>67</v>
      </c>
      <c r="C69" s="104">
        <f t="shared" si="24"/>
        <v>59.5764</v>
      </c>
      <c r="D69" s="104">
        <f t="shared" si="25"/>
        <v>17.06112551972695</v>
      </c>
      <c r="E69" s="104">
        <f t="shared" si="26"/>
        <v>133.47702361352444</v>
      </c>
      <c r="F69" s="71">
        <f t="shared" si="29"/>
        <v>63</v>
      </c>
      <c r="G69" s="74">
        <f t="shared" si="30"/>
        <v>382</v>
      </c>
      <c r="H69" s="73">
        <f t="shared" si="27"/>
        <v>164.26</v>
      </c>
      <c r="I69" s="73">
        <f t="shared" si="20"/>
        <v>41.801895928887475</v>
      </c>
      <c r="J69" s="73">
        <f t="shared" si="31"/>
        <v>358.89113540947892</v>
      </c>
      <c r="K69" s="64"/>
      <c r="L69" s="63"/>
      <c r="M69" s="63"/>
      <c r="N69" s="63"/>
      <c r="O69" s="63"/>
      <c r="P69" s="65"/>
      <c r="Q69" s="65"/>
      <c r="R69" s="65"/>
      <c r="S69" s="65"/>
    </row>
    <row r="70" spans="1:19" x14ac:dyDescent="0.35">
      <c r="A70" s="102">
        <v>68</v>
      </c>
      <c r="B70" s="103">
        <f t="shared" si="28"/>
        <v>68</v>
      </c>
      <c r="C70" s="104">
        <f t="shared" si="24"/>
        <v>60.465599999999995</v>
      </c>
      <c r="D70" s="104">
        <f t="shared" si="25"/>
        <v>17.285934288248196</v>
      </c>
      <c r="E70" s="104">
        <f t="shared" si="26"/>
        <v>135.41725555203226</v>
      </c>
      <c r="F70" s="71">
        <f t="shared" si="29"/>
        <v>64</v>
      </c>
      <c r="G70" s="74">
        <f t="shared" si="30"/>
        <v>390</v>
      </c>
      <c r="H70" s="73">
        <f t="shared" si="27"/>
        <v>167.7</v>
      </c>
      <c r="I70" s="73">
        <f t="shared" si="20"/>
        <v>42.574492425097432</v>
      </c>
      <c r="J70" s="73">
        <f t="shared" si="31"/>
        <v>366.22807430704466</v>
      </c>
      <c r="K70" s="64"/>
      <c r="L70" s="63"/>
      <c r="M70" s="63"/>
      <c r="N70" s="63"/>
      <c r="O70" s="63"/>
      <c r="P70" s="65"/>
      <c r="Q70" s="65"/>
      <c r="R70" s="65"/>
      <c r="S70" s="65"/>
    </row>
    <row r="71" spans="1:19" x14ac:dyDescent="0.35">
      <c r="A71" s="102">
        <v>69</v>
      </c>
      <c r="B71" s="103">
        <f t="shared" si="28"/>
        <v>69</v>
      </c>
      <c r="C71" s="104">
        <f t="shared" si="24"/>
        <v>61.354799999999997</v>
      </c>
      <c r="D71" s="104">
        <f t="shared" si="25"/>
        <v>17.510358551572615</v>
      </c>
      <c r="E71" s="104">
        <f t="shared" si="26"/>
        <v>137.35681781065566</v>
      </c>
      <c r="F71" s="71">
        <f t="shared" si="29"/>
        <v>65</v>
      </c>
      <c r="G71" s="88">
        <f>375+358-335</f>
        <v>398</v>
      </c>
      <c r="H71" s="73">
        <f t="shared" si="27"/>
        <v>171.14</v>
      </c>
      <c r="I71" s="73">
        <f t="shared" si="20"/>
        <v>43.345246262563791</v>
      </c>
      <c r="J71" s="73">
        <f t="shared" si="31"/>
        <v>373.56180390729855</v>
      </c>
      <c r="K71" s="64"/>
      <c r="L71" s="63"/>
      <c r="M71" s="63"/>
      <c r="N71" s="63"/>
      <c r="O71" s="63"/>
      <c r="P71" s="65"/>
      <c r="Q71" s="65"/>
      <c r="R71" s="65"/>
      <c r="S71" s="65"/>
    </row>
    <row r="72" spans="1:19" x14ac:dyDescent="0.35">
      <c r="A72" s="102">
        <v>70</v>
      </c>
      <c r="B72" s="103">
        <f t="shared" si="28"/>
        <v>70</v>
      </c>
      <c r="C72" s="104">
        <f t="shared" si="24"/>
        <v>62.244</v>
      </c>
      <c r="D72" s="104">
        <f t="shared" si="25"/>
        <v>17.734404526076432</v>
      </c>
      <c r="E72" s="104">
        <f t="shared" si="26"/>
        <v>139.29572121624977</v>
      </c>
      <c r="F72" s="71">
        <v>65</v>
      </c>
      <c r="G72" s="88">
        <v>354</v>
      </c>
      <c r="H72" s="73">
        <f t="shared" si="27"/>
        <v>152.22</v>
      </c>
      <c r="I72" s="73">
        <f t="shared" si="20"/>
        <v>39.082656403139858</v>
      </c>
      <c r="J72" s="73">
        <f t="shared" si="31"/>
        <v>333.18545990213522</v>
      </c>
      <c r="K72" s="64"/>
      <c r="L72" s="63"/>
      <c r="M72" s="63"/>
      <c r="N72" s="63"/>
      <c r="O72" s="63"/>
      <c r="P72" s="65"/>
      <c r="Q72" s="65"/>
      <c r="R72" s="65"/>
      <c r="S72" s="65"/>
    </row>
    <row r="73" spans="1:19" x14ac:dyDescent="0.35">
      <c r="A73" s="102">
        <v>71</v>
      </c>
      <c r="B73" s="103">
        <f t="shared" si="28"/>
        <v>71</v>
      </c>
      <c r="C73" s="104">
        <f t="shared" si="24"/>
        <v>63.133199999999995</v>
      </c>
      <c r="D73" s="104">
        <f t="shared" si="25"/>
        <v>17.958078240325325</v>
      </c>
      <c r="E73" s="104">
        <f t="shared" si="26"/>
        <v>141.23397626856661</v>
      </c>
      <c r="F73" s="71">
        <f t="shared" si="29"/>
        <v>66</v>
      </c>
      <c r="G73" s="88">
        <f>$G$72+(F73-$F$72)*($G$77-$G$72)/($F$77-$F$72)</f>
        <v>361.8</v>
      </c>
      <c r="H73" s="73">
        <f t="shared" si="27"/>
        <v>155.57400000000001</v>
      </c>
      <c r="I73" s="73">
        <f t="shared" si="20"/>
        <v>39.842594745761524</v>
      </c>
      <c r="J73" s="73">
        <f t="shared" si="31"/>
        <v>340.3505691822013</v>
      </c>
      <c r="K73" s="64"/>
      <c r="L73" s="63"/>
      <c r="M73" s="63"/>
      <c r="N73" s="63"/>
      <c r="O73" s="63"/>
      <c r="P73" s="63"/>
      <c r="Q73" s="63"/>
      <c r="R73" s="63"/>
      <c r="S73" s="63"/>
    </row>
    <row r="74" spans="1:19" x14ac:dyDescent="0.35">
      <c r="A74" s="102">
        <v>72</v>
      </c>
      <c r="B74" s="103">
        <f t="shared" si="28"/>
        <v>72</v>
      </c>
      <c r="C74" s="104">
        <f t="shared" si="24"/>
        <v>64.022400000000005</v>
      </c>
      <c r="D74" s="104">
        <f t="shared" si="25"/>
        <v>18.181385543312242</v>
      </c>
      <c r="E74" s="104">
        <f t="shared" si="26"/>
        <v>143.17159315460216</v>
      </c>
      <c r="F74" s="71">
        <f t="shared" si="29"/>
        <v>67</v>
      </c>
      <c r="G74" s="88">
        <f t="shared" ref="G74:G76" si="32">$G$72+(F74-$F$72)*($G$77-$G$72)/($F$77-$F$72)</f>
        <v>369.6</v>
      </c>
      <c r="H74" s="73">
        <f t="shared" si="27"/>
        <v>158.928</v>
      </c>
      <c r="I74" s="73">
        <f t="shared" si="20"/>
        <v>40.600628293866855</v>
      </c>
      <c r="J74" s="73">
        <f t="shared" si="31"/>
        <v>347.51236094515139</v>
      </c>
      <c r="K74" s="64"/>
      <c r="L74" s="63"/>
      <c r="M74" s="63"/>
      <c r="N74" s="63"/>
      <c r="O74" s="63"/>
      <c r="P74" s="63"/>
      <c r="Q74" s="63"/>
      <c r="R74" s="63"/>
      <c r="S74" s="63"/>
    </row>
    <row r="75" spans="1:19" x14ac:dyDescent="0.35">
      <c r="A75" s="102">
        <v>73</v>
      </c>
      <c r="B75" s="103">
        <f t="shared" si="28"/>
        <v>73</v>
      </c>
      <c r="C75" s="104">
        <f t="shared" si="24"/>
        <v>64.911599999999993</v>
      </c>
      <c r="D75" s="104">
        <f t="shared" si="25"/>
        <v>18.404332112224708</v>
      </c>
      <c r="E75" s="104">
        <f t="shared" si="26"/>
        <v>145.10858176212469</v>
      </c>
      <c r="F75" s="71">
        <f t="shared" si="29"/>
        <v>68</v>
      </c>
      <c r="G75" s="88">
        <f t="shared" si="32"/>
        <v>377.4</v>
      </c>
      <c r="H75" s="73">
        <f t="shared" si="27"/>
        <v>162.28199999999998</v>
      </c>
      <c r="I75" s="73">
        <f t="shared" si="20"/>
        <v>41.356801876800624</v>
      </c>
      <c r="J75" s="73">
        <f t="shared" si="31"/>
        <v>354.67091326876107</v>
      </c>
      <c r="K75" s="64"/>
      <c r="L75" s="63"/>
      <c r="M75" s="63"/>
      <c r="N75" s="63"/>
      <c r="O75" s="63"/>
      <c r="P75" s="63"/>
      <c r="Q75" s="63"/>
      <c r="R75" s="63"/>
      <c r="S75" s="63"/>
    </row>
    <row r="76" spans="1:19" x14ac:dyDescent="0.35">
      <c r="A76" s="102">
        <v>74</v>
      </c>
      <c r="B76" s="103">
        <f t="shared" si="28"/>
        <v>74</v>
      </c>
      <c r="C76" s="104">
        <f t="shared" si="24"/>
        <v>65.800799999999995</v>
      </c>
      <c r="D76" s="104">
        <f t="shared" si="25"/>
        <v>18.626923459774289</v>
      </c>
      <c r="E76" s="104">
        <f t="shared" si="26"/>
        <v>147.04495169244021</v>
      </c>
      <c r="F76" s="71">
        <f t="shared" si="29"/>
        <v>69</v>
      </c>
      <c r="G76" s="88">
        <f t="shared" si="32"/>
        <v>385.2</v>
      </c>
      <c r="H76" s="73">
        <f t="shared" si="27"/>
        <v>165.636</v>
      </c>
      <c r="I76" s="73">
        <f t="shared" si="20"/>
        <v>42.111158364957326</v>
      </c>
      <c r="J76" s="73">
        <f t="shared" si="31"/>
        <v>361.82630081896735</v>
      </c>
      <c r="K76" s="64"/>
      <c r="L76" s="63"/>
      <c r="M76" s="63"/>
      <c r="N76" s="63"/>
      <c r="O76" s="63"/>
      <c r="P76" s="63"/>
      <c r="Q76" s="63"/>
      <c r="R76" s="63"/>
      <c r="S76" s="63"/>
    </row>
    <row r="77" spans="1:19" x14ac:dyDescent="0.35">
      <c r="A77" s="102">
        <v>75</v>
      </c>
      <c r="B77" s="103">
        <f t="shared" si="28"/>
        <v>75</v>
      </c>
      <c r="C77" s="104">
        <f t="shared" si="24"/>
        <v>66.69</v>
      </c>
      <c r="D77" s="104">
        <f t="shared" si="25"/>
        <v>18.849164941118623</v>
      </c>
      <c r="E77" s="104">
        <f t="shared" si="26"/>
        <v>148.98071227244827</v>
      </c>
      <c r="F77" s="71">
        <f t="shared" si="29"/>
        <v>70</v>
      </c>
      <c r="G77" s="88">
        <v>393</v>
      </c>
      <c r="H77" s="73">
        <f t="shared" si="27"/>
        <v>168.99</v>
      </c>
      <c r="I77" s="73">
        <f t="shared" si="20"/>
        <v>42.863738793288526</v>
      </c>
      <c r="J77" s="73">
        <f t="shared" si="31"/>
        <v>368.97859506497747</v>
      </c>
      <c r="K77" s="64"/>
      <c r="L77" s="63"/>
      <c r="M77" s="63"/>
      <c r="N77" s="63"/>
      <c r="O77" s="63"/>
      <c r="P77" s="63"/>
      <c r="Q77" s="63"/>
      <c r="R77" s="63"/>
      <c r="S77" s="63"/>
    </row>
    <row r="78" spans="1:19" x14ac:dyDescent="0.35">
      <c r="A78" s="102">
        <v>76</v>
      </c>
      <c r="B78" s="103">
        <f t="shared" si="28"/>
        <v>76</v>
      </c>
      <c r="C78" s="104">
        <f t="shared" si="24"/>
        <v>67.5792</v>
      </c>
      <c r="D78" s="104">
        <f t="shared" si="25"/>
        <v>19.07106176040384</v>
      </c>
      <c r="E78" s="104">
        <f t="shared" si="26"/>
        <v>150.91587256603668</v>
      </c>
      <c r="F78" s="71">
        <f t="shared" si="29"/>
        <v>71</v>
      </c>
      <c r="G78" s="88">
        <f>$G$77+(F78-$F$77)*($G$82-$G$77)/($F$82-$F$77)</f>
        <v>400.2</v>
      </c>
      <c r="H78" s="73">
        <f t="shared" si="27"/>
        <v>172.08599999999998</v>
      </c>
      <c r="I78" s="73">
        <f t="shared" si="20"/>
        <v>43.556886060678053</v>
      </c>
      <c r="J78" s="73">
        <f t="shared" si="31"/>
        <v>375.57802655568094</v>
      </c>
      <c r="K78" s="64"/>
      <c r="L78" s="63"/>
      <c r="M78" s="63"/>
      <c r="N78" s="63"/>
      <c r="O78" s="63"/>
      <c r="P78" s="63"/>
      <c r="Q78" s="63"/>
      <c r="R78" s="63"/>
      <c r="S78" s="63"/>
    </row>
    <row r="79" spans="1:19" x14ac:dyDescent="0.35">
      <c r="A79" s="102">
        <v>77</v>
      </c>
      <c r="B79" s="103">
        <f t="shared" si="28"/>
        <v>77</v>
      </c>
      <c r="C79" s="104">
        <f t="shared" si="24"/>
        <v>68.468400000000003</v>
      </c>
      <c r="D79" s="104">
        <f t="shared" si="25"/>
        <v>19.292618976952735</v>
      </c>
      <c r="E79" s="104">
        <f t="shared" si="26"/>
        <v>152.85044138485935</v>
      </c>
      <c r="F79" s="71">
        <f t="shared" si="29"/>
        <v>72</v>
      </c>
      <c r="G79" s="88">
        <f t="shared" ref="G79:G81" si="33">$G$77+(F79-$F$77)*($G$82-$G$77)/($F$82-$F$77)</f>
        <v>407.4</v>
      </c>
      <c r="H79" s="73">
        <f t="shared" si="27"/>
        <v>175.18199999999999</v>
      </c>
      <c r="I79" s="73">
        <f t="shared" si="20"/>
        <v>44.248583207820339</v>
      </c>
      <c r="J79" s="73">
        <f t="shared" si="31"/>
        <v>382.17493242028701</v>
      </c>
      <c r="K79" s="64"/>
      <c r="L79" s="63"/>
      <c r="M79" s="63"/>
      <c r="N79" s="63"/>
      <c r="O79" s="63"/>
      <c r="P79" s="63"/>
      <c r="Q79" s="63"/>
      <c r="R79" s="63"/>
      <c r="S79" s="63"/>
    </row>
    <row r="80" spans="1:19" x14ac:dyDescent="0.35">
      <c r="A80" s="102">
        <v>78</v>
      </c>
      <c r="B80" s="103">
        <f t="shared" si="28"/>
        <v>78</v>
      </c>
      <c r="C80" s="104">
        <f t="shared" si="24"/>
        <v>69.357600000000005</v>
      </c>
      <c r="D80" s="104">
        <f t="shared" si="25"/>
        <v>19.513841511122433</v>
      </c>
      <c r="E80" s="104">
        <f t="shared" si="26"/>
        <v>154.78442729853825</v>
      </c>
      <c r="F80" s="71">
        <f t="shared" si="29"/>
        <v>73</v>
      </c>
      <c r="G80" s="88">
        <f t="shared" si="33"/>
        <v>414.6</v>
      </c>
      <c r="H80" s="73">
        <f t="shared" si="27"/>
        <v>178.27800000000002</v>
      </c>
      <c r="I80" s="73">
        <f t="shared" si="20"/>
        <v>44.938858819456854</v>
      </c>
      <c r="J80" s="73">
        <f t="shared" si="31"/>
        <v>388.76936244388736</v>
      </c>
      <c r="K80" s="64"/>
      <c r="L80" s="63"/>
      <c r="M80" s="63"/>
      <c r="N80" s="63"/>
      <c r="O80" s="63"/>
      <c r="P80" s="63"/>
      <c r="Q80" s="63"/>
      <c r="R80" s="63"/>
      <c r="S80" s="63"/>
    </row>
    <row r="81" spans="1:11" x14ac:dyDescent="0.35">
      <c r="A81" s="102">
        <v>79</v>
      </c>
      <c r="B81" s="103">
        <f t="shared" si="28"/>
        <v>79</v>
      </c>
      <c r="C81" s="104">
        <f t="shared" si="24"/>
        <v>70.246799999999993</v>
      </c>
      <c r="D81" s="104">
        <f t="shared" si="25"/>
        <v>19.734734149853068</v>
      </c>
      <c r="E81" s="104">
        <f t="shared" si="26"/>
        <v>156.7178386443274</v>
      </c>
      <c r="F81" s="71">
        <f t="shared" si="29"/>
        <v>74</v>
      </c>
      <c r="G81" s="88">
        <f t="shared" si="33"/>
        <v>421.8</v>
      </c>
      <c r="H81" s="73">
        <f t="shared" si="27"/>
        <v>181.374</v>
      </c>
      <c r="I81" s="73">
        <f t="shared" si="20"/>
        <v>45.627740430637772</v>
      </c>
      <c r="J81" s="73">
        <f t="shared" si="31"/>
        <v>395.36136458336074</v>
      </c>
      <c r="K81" s="64"/>
    </row>
    <row r="82" spans="1:11" x14ac:dyDescent="0.35">
      <c r="A82" s="102">
        <v>80</v>
      </c>
      <c r="B82" s="103">
        <f t="shared" si="28"/>
        <v>80</v>
      </c>
      <c r="C82" s="104">
        <f t="shared" si="24"/>
        <v>71.135999999999996</v>
      </c>
      <c r="D82" s="104">
        <f t="shared" si="25"/>
        <v>19.955301551927469</v>
      </c>
      <c r="E82" s="104">
        <f t="shared" si="26"/>
        <v>158.65068353627368</v>
      </c>
      <c r="F82" s="71">
        <f t="shared" si="29"/>
        <v>75</v>
      </c>
      <c r="G82" s="75">
        <f>407+393-371</f>
        <v>429</v>
      </c>
      <c r="H82" s="73">
        <f t="shared" si="27"/>
        <v>184.47</v>
      </c>
      <c r="I82" s="73">
        <f t="shared" si="20"/>
        <v>46.315254582516594</v>
      </c>
      <c r="J82" s="73">
        <f t="shared" si="31"/>
        <v>401.95098506454968</v>
      </c>
      <c r="K82" s="64"/>
    </row>
    <row r="83" spans="1:11" x14ac:dyDescent="0.35">
      <c r="A83" s="102">
        <v>81</v>
      </c>
      <c r="B83" s="103">
        <f t="shared" si="28"/>
        <v>81</v>
      </c>
      <c r="C83" s="104">
        <f t="shared" si="24"/>
        <v>72.025199999999998</v>
      </c>
      <c r="D83" s="104">
        <f t="shared" si="25"/>
        <v>20.175548252960461</v>
      </c>
      <c r="E83" s="104">
        <f t="shared" si="26"/>
        <v>160.58296987390614</v>
      </c>
      <c r="F83" s="71">
        <v>75</v>
      </c>
      <c r="G83" s="75">
        <v>386</v>
      </c>
      <c r="H83" s="73">
        <f t="shared" si="27"/>
        <v>165.98</v>
      </c>
      <c r="I83" s="73">
        <f t="shared" si="20"/>
        <v>42.188427161252903</v>
      </c>
      <c r="J83" s="73">
        <f t="shared" si="31"/>
        <v>362.56001063918211</v>
      </c>
      <c r="K83" s="64"/>
    </row>
    <row r="84" spans="1:11" x14ac:dyDescent="0.35">
      <c r="A84" s="102">
        <v>82</v>
      </c>
      <c r="B84" s="103">
        <f t="shared" si="28"/>
        <v>82</v>
      </c>
      <c r="C84" s="104">
        <f t="shared" si="24"/>
        <v>72.914400000000001</v>
      </c>
      <c r="D84" s="104">
        <f t="shared" si="25"/>
        <v>20.395478670134668</v>
      </c>
      <c r="E84" s="104">
        <f t="shared" si="26"/>
        <v>162.51470535048455</v>
      </c>
      <c r="F84" s="71">
        <f t="shared" si="29"/>
        <v>76</v>
      </c>
      <c r="G84" s="75">
        <f>$G$83+(F84-$F$83)*($G$88-$G$83)/($F$88-$F$83)</f>
        <v>392.6</v>
      </c>
      <c r="H84" s="73">
        <f t="shared" si="27"/>
        <v>168.81800000000001</v>
      </c>
      <c r="I84" s="73">
        <f t="shared" si="20"/>
        <v>42.825187501685285</v>
      </c>
      <c r="J84" s="73">
        <f t="shared" si="31"/>
        <v>368.61188489876855</v>
      </c>
      <c r="K84" s="64"/>
    </row>
    <row r="85" spans="1:11" x14ac:dyDescent="0.35">
      <c r="A85" s="102">
        <v>83</v>
      </c>
      <c r="B85" s="103">
        <f t="shared" si="28"/>
        <v>83</v>
      </c>
      <c r="C85" s="104">
        <f t="shared" si="24"/>
        <v>73.803600000000003</v>
      </c>
      <c r="D85" s="104">
        <f t="shared" si="25"/>
        <v>20.615097106698759</v>
      </c>
      <c r="E85" s="104">
        <f t="shared" si="26"/>
        <v>164.44589746083366</v>
      </c>
      <c r="F85" s="71">
        <f t="shared" si="29"/>
        <v>77</v>
      </c>
      <c r="G85" s="75">
        <f t="shared" ref="G85:G87" si="34">$G$83+(F85-$F$83)*($G$88-$G$83)/($F$88-$F$83)</f>
        <v>399.2</v>
      </c>
      <c r="H85" s="73">
        <f t="shared" si="27"/>
        <v>171.65600000000001</v>
      </c>
      <c r="I85" s="73">
        <f t="shared" si="20"/>
        <v>43.460702985278566</v>
      </c>
      <c r="J85" s="73">
        <f t="shared" si="31"/>
        <v>374.66159103269348</v>
      </c>
      <c r="K85" s="64"/>
    </row>
    <row r="86" spans="1:11" x14ac:dyDescent="0.35">
      <c r="A86" s="102">
        <v>84</v>
      </c>
      <c r="B86" s="103">
        <f t="shared" si="28"/>
        <v>84</v>
      </c>
      <c r="C86" s="104">
        <f t="shared" si="24"/>
        <v>74.692799999999991</v>
      </c>
      <c r="D86" s="104">
        <f t="shared" si="25"/>
        <v>20.834407756242822</v>
      </c>
      <c r="E86" s="104">
        <f t="shared" si="26"/>
        <v>166.37655350878956</v>
      </c>
      <c r="F86" s="71">
        <f t="shared" si="29"/>
        <v>78</v>
      </c>
      <c r="G86" s="75">
        <f t="shared" si="34"/>
        <v>405.8</v>
      </c>
      <c r="H86" s="73">
        <f t="shared" si="27"/>
        <v>174.494</v>
      </c>
      <c r="I86" s="73">
        <f t="shared" si="20"/>
        <v>44.094996569009133</v>
      </c>
      <c r="J86" s="73">
        <f t="shared" si="31"/>
        <v>380.70916902435761</v>
      </c>
      <c r="K86" s="64"/>
    </row>
    <row r="87" spans="1:11" x14ac:dyDescent="0.35">
      <c r="A87" s="102">
        <v>85</v>
      </c>
      <c r="B87" s="103">
        <f t="shared" si="28"/>
        <v>85</v>
      </c>
      <c r="C87" s="104">
        <f t="shared" si="24"/>
        <v>75.581999999999994</v>
      </c>
      <c r="D87" s="104">
        <f t="shared" si="25"/>
        <v>21.053414706764119</v>
      </c>
      <c r="E87" s="104">
        <f t="shared" si="26"/>
        <v>168.30668061428082</v>
      </c>
      <c r="F87" s="71">
        <f t="shared" si="29"/>
        <v>79</v>
      </c>
      <c r="G87" s="75">
        <f t="shared" si="34"/>
        <v>412.4</v>
      </c>
      <c r="H87" s="73">
        <f t="shared" si="27"/>
        <v>177.33199999999999</v>
      </c>
      <c r="I87" s="73">
        <f t="shared" si="20"/>
        <v>44.728090420283614</v>
      </c>
      <c r="J87" s="73">
        <f t="shared" si="31"/>
        <v>386.75465748199395</v>
      </c>
      <c r="K87" s="64"/>
    </row>
    <row r="88" spans="1:11" x14ac:dyDescent="0.35">
      <c r="A88" s="102">
        <v>86</v>
      </c>
      <c r="B88" s="103">
        <f t="shared" si="28"/>
        <v>86</v>
      </c>
      <c r="C88" s="104">
        <f t="shared" si="24"/>
        <v>76.471199999999996</v>
      </c>
      <c r="D88" s="104">
        <f t="shared" si="25"/>
        <v>21.272121944536345</v>
      </c>
      <c r="E88" s="104">
        <f t="shared" si="26"/>
        <v>170.23628572006746</v>
      </c>
      <c r="F88" s="71">
        <f t="shared" si="29"/>
        <v>80</v>
      </c>
      <c r="G88" s="75">
        <v>419</v>
      </c>
      <c r="H88" s="73">
        <f t="shared" si="27"/>
        <v>180.17</v>
      </c>
      <c r="I88" s="73">
        <f t="shared" si="20"/>
        <v>45.360005956288127</v>
      </c>
      <c r="J88" s="73">
        <f t="shared" si="31"/>
        <v>392.79809370720182</v>
      </c>
      <c r="K88" s="64"/>
    </row>
    <row r="89" spans="1:11" x14ac:dyDescent="0.35">
      <c r="A89" s="102">
        <v>87</v>
      </c>
      <c r="B89" s="103">
        <f t="shared" si="28"/>
        <v>87</v>
      </c>
      <c r="C89" s="104">
        <f t="shared" si="24"/>
        <v>77.360399999999998</v>
      </c>
      <c r="D89" s="104">
        <f t="shared" si="25"/>
        <v>21.490533357793495</v>
      </c>
      <c r="E89" s="104">
        <f t="shared" si="26"/>
        <v>172.165375598157</v>
      </c>
      <c r="F89" s="71">
        <f t="shared" si="29"/>
        <v>81</v>
      </c>
      <c r="G89" s="75">
        <f>$G$88+(F89-$F$88)*($G$93-$G$88)/($F$93-$F$88)</f>
        <v>425.4</v>
      </c>
      <c r="H89" s="73">
        <f t="shared" si="27"/>
        <v>182.922</v>
      </c>
      <c r="I89" s="73">
        <f t="shared" si="20"/>
        <v>45.971666817546797</v>
      </c>
      <c r="J89" s="73">
        <f t="shared" si="31"/>
        <v>398.65646970722736</v>
      </c>
      <c r="K89" s="64"/>
    </row>
    <row r="90" spans="1:11" x14ac:dyDescent="0.35">
      <c r="A90" s="102">
        <v>88</v>
      </c>
      <c r="B90" s="103">
        <f t="shared" si="28"/>
        <v>88</v>
      </c>
      <c r="C90" s="104">
        <f t="shared" si="24"/>
        <v>78.249600000000001</v>
      </c>
      <c r="D90" s="104">
        <f t="shared" si="25"/>
        <v>21.708652740239781</v>
      </c>
      <c r="E90" s="104">
        <f t="shared" si="26"/>
        <v>174.09395685591764</v>
      </c>
      <c r="F90" s="71">
        <f t="shared" si="29"/>
        <v>82</v>
      </c>
      <c r="G90" s="75">
        <f t="shared" ref="G90:G92" si="35">$G$88+(F90-$F$88)*($G$93-$G$88)/($F$93-$F$88)</f>
        <v>431.8</v>
      </c>
      <c r="H90" s="73">
        <f t="shared" si="27"/>
        <v>185.67400000000001</v>
      </c>
      <c r="I90" s="73">
        <f t="shared" si="20"/>
        <v>46.582257433649239</v>
      </c>
      <c r="J90" s="73">
        <f t="shared" si="31"/>
        <v>404.51298169693905</v>
      </c>
      <c r="K90" s="64"/>
    </row>
    <row r="91" spans="1:11" x14ac:dyDescent="0.35">
      <c r="A91" s="102">
        <v>89</v>
      </c>
      <c r="B91" s="103">
        <f t="shared" si="28"/>
        <v>89</v>
      </c>
      <c r="C91" s="104">
        <f t="shared" si="24"/>
        <v>79.138799999999989</v>
      </c>
      <c r="D91" s="104">
        <f t="shared" si="25"/>
        <v>21.926483794395324</v>
      </c>
      <c r="E91" s="104">
        <f t="shared" si="26"/>
        <v>176.02203594190516</v>
      </c>
      <c r="F91" s="71">
        <f t="shared" si="29"/>
        <v>83</v>
      </c>
      <c r="G91" s="75">
        <f t="shared" si="35"/>
        <v>438.2</v>
      </c>
      <c r="H91" s="73">
        <f t="shared" si="27"/>
        <v>188.42599999999999</v>
      </c>
      <c r="I91" s="73">
        <f t="shared" si="20"/>
        <v>47.191795499893274</v>
      </c>
      <c r="J91" s="73">
        <f t="shared" si="31"/>
        <v>410.36766049564739</v>
      </c>
      <c r="K91" s="64"/>
    </row>
    <row r="92" spans="1:11" x14ac:dyDescent="0.35">
      <c r="A92" s="102">
        <v>90</v>
      </c>
      <c r="B92" s="103">
        <f t="shared" si="28"/>
        <v>90</v>
      </c>
      <c r="C92" s="104">
        <f t="shared" si="24"/>
        <v>80.027999999999992</v>
      </c>
      <c r="D92" s="104">
        <f t="shared" si="25"/>
        <v>22.144030134787155</v>
      </c>
      <c r="E92" s="104">
        <f t="shared" si="26"/>
        <v>177.94961915142096</v>
      </c>
      <c r="F92" s="71">
        <f t="shared" si="29"/>
        <v>84</v>
      </c>
      <c r="G92" s="75">
        <f t="shared" si="35"/>
        <v>444.6</v>
      </c>
      <c r="H92" s="73">
        <f t="shared" si="27"/>
        <v>191.178</v>
      </c>
      <c r="I92" s="73">
        <f t="shared" si="20"/>
        <v>47.80029816501365</v>
      </c>
      <c r="J92" s="73">
        <f t="shared" si="31"/>
        <v>416.2205359707321</v>
      </c>
      <c r="K92" s="64"/>
    </row>
    <row r="93" spans="1:11" x14ac:dyDescent="0.35">
      <c r="A93" s="102">
        <v>91</v>
      </c>
      <c r="B93" s="103">
        <f t="shared" si="28"/>
        <v>91</v>
      </c>
      <c r="C93" s="104">
        <f t="shared" si="24"/>
        <v>80.917199999999994</v>
      </c>
      <c r="D93" s="104">
        <f t="shared" si="25"/>
        <v>22.361295290994434</v>
      </c>
      <c r="E93" s="104">
        <f t="shared" si="26"/>
        <v>179.87671263181528</v>
      </c>
      <c r="F93" s="71">
        <f t="shared" si="29"/>
        <v>85</v>
      </c>
      <c r="G93" s="75">
        <f>431+419-399</f>
        <v>451</v>
      </c>
      <c r="H93" s="73">
        <f t="shared" si="27"/>
        <v>193.93</v>
      </c>
      <c r="I93" s="73">
        <f t="shared" si="20"/>
        <v>48.407782055683981</v>
      </c>
      <c r="J93" s="73">
        <f t="shared" si="31"/>
        <v>422.07163708031629</v>
      </c>
      <c r="K93" s="64"/>
    </row>
    <row r="94" spans="1:11" x14ac:dyDescent="0.35">
      <c r="A94" s="102">
        <v>92</v>
      </c>
      <c r="B94" s="103">
        <f t="shared" si="28"/>
        <v>92</v>
      </c>
      <c r="C94" s="104">
        <f t="shared" si="24"/>
        <v>81.806399999999996</v>
      </c>
      <c r="D94" s="104">
        <f t="shared" si="25"/>
        <v>22.578282710556032</v>
      </c>
      <c r="E94" s="104">
        <f t="shared" si="26"/>
        <v>181.80332238755173</v>
      </c>
      <c r="F94" s="71">
        <v>85</v>
      </c>
      <c r="G94" s="75">
        <v>412</v>
      </c>
      <c r="H94" s="73">
        <f t="shared" si="27"/>
        <v>177.16</v>
      </c>
      <c r="I94" s="73">
        <f t="shared" si="20"/>
        <v>44.68975485044345</v>
      </c>
      <c r="J94" s="73">
        <f t="shared" si="31"/>
        <v>386.38832303118897</v>
      </c>
      <c r="K94" s="64"/>
    </row>
    <row r="95" spans="1:11" x14ac:dyDescent="0.35">
      <c r="A95" s="102">
        <v>93</v>
      </c>
      <c r="B95" s="103">
        <f t="shared" si="28"/>
        <v>93</v>
      </c>
      <c r="C95" s="104">
        <f t="shared" si="24"/>
        <v>82.695599999999999</v>
      </c>
      <c r="D95" s="104">
        <f t="shared" si="25"/>
        <v>22.794995761747849</v>
      </c>
      <c r="E95" s="104">
        <f t="shared" si="26"/>
        <v>183.72945428504417</v>
      </c>
      <c r="F95" s="71">
        <f t="shared" si="29"/>
        <v>86</v>
      </c>
      <c r="G95" s="75">
        <f>$G$94+(F95-$F$94)*($G$99-$G$94)/($F$99-$F$94)</f>
        <v>418</v>
      </c>
      <c r="H95" s="73">
        <f t="shared" si="27"/>
        <v>179.74</v>
      </c>
      <c r="I95" s="73">
        <f t="shared" si="20"/>
        <v>45.264336091309922</v>
      </c>
      <c r="J95" s="73">
        <f t="shared" si="31"/>
        <v>391.88255202569809</v>
      </c>
      <c r="K95" s="64"/>
    </row>
    <row r="96" spans="1:11" x14ac:dyDescent="0.35">
      <c r="A96" s="102">
        <v>94</v>
      </c>
      <c r="B96" s="103">
        <f t="shared" si="28"/>
        <v>94</v>
      </c>
      <c r="C96" s="104">
        <f t="shared" si="24"/>
        <v>83.584800000000001</v>
      </c>
      <c r="D96" s="104">
        <f t="shared" si="25"/>
        <v>23.011437736237617</v>
      </c>
      <c r="E96" s="104">
        <f t="shared" si="26"/>
        <v>185.65511405728049</v>
      </c>
      <c r="F96" s="71">
        <f t="shared" si="29"/>
        <v>87</v>
      </c>
      <c r="G96" s="75">
        <f t="shared" ref="G96:G98" si="36">$G$94+(F96-$F$94)*($G$99-$G$94)/($F$99-$F$94)</f>
        <v>424</v>
      </c>
      <c r="H96" s="73">
        <f t="shared" si="27"/>
        <v>182.32</v>
      </c>
      <c r="I96" s="73">
        <f t="shared" si="20"/>
        <v>45.837958080870081</v>
      </c>
      <c r="J96" s="73">
        <f t="shared" si="31"/>
        <v>397.375110324182</v>
      </c>
      <c r="K96" s="64"/>
    </row>
    <row r="97" spans="1:11" x14ac:dyDescent="0.35">
      <c r="A97" s="102">
        <v>95</v>
      </c>
      <c r="B97" s="103">
        <f t="shared" si="28"/>
        <v>95</v>
      </c>
      <c r="C97" s="104">
        <f t="shared" si="24"/>
        <v>84.474000000000004</v>
      </c>
      <c r="D97" s="104">
        <f t="shared" si="25"/>
        <v>23.22761185162317</v>
      </c>
      <c r="E97" s="104">
        <f t="shared" si="26"/>
        <v>187.5803073082437</v>
      </c>
      <c r="F97" s="71">
        <f t="shared" si="29"/>
        <v>88</v>
      </c>
      <c r="G97" s="75">
        <f t="shared" si="36"/>
        <v>430</v>
      </c>
      <c r="H97" s="73">
        <f t="shared" si="27"/>
        <v>184.9</v>
      </c>
      <c r="I97" s="73">
        <f t="shared" si="20"/>
        <v>46.410635962027868</v>
      </c>
      <c r="J97" s="73">
        <f t="shared" si="31"/>
        <v>402.86602430053182</v>
      </c>
      <c r="K97" s="64"/>
    </row>
    <row r="98" spans="1:11" x14ac:dyDescent="0.35">
      <c r="A98" s="102">
        <v>96</v>
      </c>
      <c r="B98" s="103">
        <f t="shared" si="28"/>
        <v>96</v>
      </c>
      <c r="C98" s="104">
        <f t="shared" si="24"/>
        <v>85.363199999999992</v>
      </c>
      <c r="D98" s="104">
        <f t="shared" si="25"/>
        <v>23.443521253861029</v>
      </c>
      <c r="E98" s="104">
        <f t="shared" si="26"/>
        <v>189.50503951714128</v>
      </c>
      <c r="F98" s="71">
        <f t="shared" si="29"/>
        <v>89</v>
      </c>
      <c r="G98" s="75">
        <f t="shared" si="36"/>
        <v>436</v>
      </c>
      <c r="H98" s="73">
        <f t="shared" si="27"/>
        <v>187.48</v>
      </c>
      <c r="I98" s="73">
        <f t="shared" si="20"/>
        <v>46.98238443081938</v>
      </c>
      <c r="J98" s="73">
        <f t="shared" si="31"/>
        <v>408.35531955034372</v>
      </c>
    </row>
    <row r="99" spans="1:11" x14ac:dyDescent="0.35">
      <c r="A99" s="102">
        <v>97</v>
      </c>
      <c r="B99" s="103">
        <f t="shared" si="28"/>
        <v>97</v>
      </c>
      <c r="C99" s="104">
        <f t="shared" si="24"/>
        <v>86.252399999999994</v>
      </c>
      <c r="D99" s="104">
        <f t="shared" si="25"/>
        <v>23.659169019590802</v>
      </c>
      <c r="E99" s="104">
        <f t="shared" si="26"/>
        <v>191.42931604245396</v>
      </c>
      <c r="F99" s="71">
        <f t="shared" si="29"/>
        <v>90</v>
      </c>
      <c r="G99" s="75">
        <v>442</v>
      </c>
      <c r="H99" s="73">
        <f t="shared" si="27"/>
        <v>190.06</v>
      </c>
      <c r="I99" s="73">
        <f t="shared" si="20"/>
        <v>47.55321775556439</v>
      </c>
      <c r="J99" s="73">
        <f t="shared" si="31"/>
        <v>413.84302092427464</v>
      </c>
    </row>
    <row r="100" spans="1:11" x14ac:dyDescent="0.35">
      <c r="A100" s="102">
        <v>98</v>
      </c>
      <c r="B100" s="103">
        <f t="shared" si="28"/>
        <v>98</v>
      </c>
      <c r="C100" s="104">
        <f t="shared" si="24"/>
        <v>87.141599999999997</v>
      </c>
      <c r="D100" s="104">
        <f t="shared" si="25"/>
        <v>23.874558158360944</v>
      </c>
      <c r="E100" s="104">
        <f t="shared" si="26"/>
        <v>193.35314212581196</v>
      </c>
      <c r="F100" s="71">
        <f t="shared" si="29"/>
        <v>91</v>
      </c>
      <c r="G100" s="75">
        <f>$G$99+(F100-$F$99)*($G$104-$G$99)/($F$104-$F$99)</f>
        <v>447.8</v>
      </c>
      <c r="H100" s="73">
        <f t="shared" si="27"/>
        <v>192.554</v>
      </c>
      <c r="I100" s="73">
        <f t="shared" si="20"/>
        <v>48.104166437740787</v>
      </c>
      <c r="J100" s="73">
        <f t="shared" si="31"/>
        <v>419.14630654573187</v>
      </c>
    </row>
    <row r="101" spans="1:11" x14ac:dyDescent="0.35">
      <c r="A101" s="102">
        <v>99</v>
      </c>
      <c r="B101" s="103">
        <f t="shared" si="28"/>
        <v>99</v>
      </c>
      <c r="C101" s="104">
        <f t="shared" si="24"/>
        <v>88.030799999999985</v>
      </c>
      <c r="D101" s="104">
        <f t="shared" si="25"/>
        <v>24.089691614761261</v>
      </c>
      <c r="E101" s="104">
        <f t="shared" si="26"/>
        <v>195.27652289570918</v>
      </c>
      <c r="F101" s="71">
        <f t="shared" si="29"/>
        <v>92</v>
      </c>
      <c r="G101" s="75">
        <f t="shared" ref="G101:G103" si="37">$G$99+(F101-$F$99)*($G$104-$G$99)/($F$104-$F$99)</f>
        <v>453.6</v>
      </c>
      <c r="H101" s="73">
        <f t="shared" si="27"/>
        <v>195.048</v>
      </c>
      <c r="I101" s="73">
        <f t="shared" si="20"/>
        <v>48.654285090402247</v>
      </c>
      <c r="J101" s="73">
        <f t="shared" si="31"/>
        <v>424.44814653245061</v>
      </c>
    </row>
    <row r="102" spans="1:11" x14ac:dyDescent="0.35">
      <c r="A102" s="102">
        <v>100</v>
      </c>
      <c r="B102" s="103">
        <f t="shared" si="28"/>
        <v>100</v>
      </c>
      <c r="C102" s="104">
        <f t="shared" si="24"/>
        <v>88.919999999999987</v>
      </c>
      <c r="D102" s="104">
        <f t="shared" si="25"/>
        <v>24.30457227046648</v>
      </c>
      <c r="E102" s="104">
        <f t="shared" si="26"/>
        <v>197.19946337106239</v>
      </c>
      <c r="F102" s="71">
        <f t="shared" si="29"/>
        <v>93</v>
      </c>
      <c r="G102" s="75">
        <f t="shared" si="37"/>
        <v>459.4</v>
      </c>
      <c r="H102" s="73">
        <f t="shared" si="27"/>
        <v>197.54199999999997</v>
      </c>
      <c r="I102" s="73">
        <f t="shared" si="20"/>
        <v>49.203585554019433</v>
      </c>
      <c r="J102" s="73">
        <f t="shared" si="31"/>
        <v>429.74856150658383</v>
      </c>
    </row>
    <row r="103" spans="1:11" x14ac:dyDescent="0.35">
      <c r="A103" s="102">
        <v>101</v>
      </c>
      <c r="B103" s="103">
        <f t="shared" si="28"/>
        <v>101</v>
      </c>
      <c r="C103" s="104">
        <f t="shared" si="24"/>
        <v>89.80919999999999</v>
      </c>
      <c r="D103" s="104">
        <f t="shared" si="25"/>
        <v>24.519202946196106</v>
      </c>
      <c r="E103" s="104">
        <f t="shared" si="26"/>
        <v>199.12196846462484</v>
      </c>
      <c r="F103" s="71">
        <f t="shared" si="29"/>
        <v>94</v>
      </c>
      <c r="G103" s="75">
        <f t="shared" si="37"/>
        <v>465.2</v>
      </c>
      <c r="H103" s="73">
        <f t="shared" si="27"/>
        <v>200.036</v>
      </c>
      <c r="I103" s="73">
        <f t="shared" si="20"/>
        <v>49.752079352894029</v>
      </c>
      <c r="J103" s="73">
        <f t="shared" si="31"/>
        <v>435.04757153962379</v>
      </c>
    </row>
    <row r="104" spans="1:11" x14ac:dyDescent="0.35">
      <c r="A104" s="102">
        <v>102</v>
      </c>
      <c r="B104" s="103">
        <f t="shared" si="28"/>
        <v>102</v>
      </c>
      <c r="C104" s="104">
        <f t="shared" si="24"/>
        <v>90.698399999999992</v>
      </c>
      <c r="D104" s="104">
        <f t="shared" si="25"/>
        <v>24.733586403594185</v>
      </c>
      <c r="E104" s="104">
        <f t="shared" si="26"/>
        <v>201.04404298625983</v>
      </c>
      <c r="F104" s="71">
        <f t="shared" si="29"/>
        <v>95</v>
      </c>
      <c r="G104" s="75">
        <f>452+442-423</f>
        <v>471</v>
      </c>
      <c r="H104" s="73">
        <f t="shared" si="27"/>
        <v>202.53</v>
      </c>
      <c r="I104" s="73">
        <f t="shared" si="20"/>
        <v>50.299777707436071</v>
      </c>
      <c r="J104" s="73">
        <f t="shared" si="31"/>
        <v>440.34519617378447</v>
      </c>
    </row>
    <row r="105" spans="1:11" x14ac:dyDescent="0.35">
      <c r="A105" s="102">
        <v>103</v>
      </c>
      <c r="B105" s="103">
        <f t="shared" si="28"/>
        <v>103</v>
      </c>
      <c r="C105" s="104">
        <f t="shared" si="24"/>
        <v>91.587599999999995</v>
      </c>
      <c r="D105" s="104">
        <f t="shared" si="25"/>
        <v>24.947725347033259</v>
      </c>
      <c r="E105" s="104">
        <f t="shared" si="26"/>
        <v>202.96569164608289</v>
      </c>
      <c r="F105" s="71">
        <v>95</v>
      </c>
      <c r="G105" s="75">
        <v>434</v>
      </c>
      <c r="H105" s="73">
        <f t="shared" si="27"/>
        <v>186.62</v>
      </c>
      <c r="I105" s="73">
        <f t="shared" si="20"/>
        <v>46.791903986571207</v>
      </c>
      <c r="J105" s="73">
        <f t="shared" si="31"/>
        <v>406.52573277661151</v>
      </c>
    </row>
    <row r="106" spans="1:11" x14ac:dyDescent="0.35">
      <c r="A106" s="102">
        <v>104</v>
      </c>
      <c r="B106" s="103">
        <f t="shared" si="28"/>
        <v>104</v>
      </c>
      <c r="C106" s="104">
        <f t="shared" si="24"/>
        <v>92.476799999999997</v>
      </c>
      <c r="D106" s="104">
        <f t="shared" si="25"/>
        <v>25.161622425346422</v>
      </c>
      <c r="E106" s="104">
        <f t="shared" si="26"/>
        <v>204.88691905747837</v>
      </c>
      <c r="F106" s="71">
        <f t="shared" si="29"/>
        <v>96</v>
      </c>
      <c r="G106" s="75">
        <f>$G$105+(F106-$F$105)*($G$110-$G$105)/($F$110-$F$105)</f>
        <v>439.6</v>
      </c>
      <c r="H106" s="73">
        <f t="shared" si="27"/>
        <v>189.02800000000002</v>
      </c>
      <c r="I106" s="73">
        <f t="shared" si="20"/>
        <v>47.324993347023778</v>
      </c>
      <c r="J106" s="73">
        <f t="shared" si="31"/>
        <v>411.64813007939983</v>
      </c>
    </row>
    <row r="107" spans="1:11" x14ac:dyDescent="0.35">
      <c r="A107" s="102">
        <v>105</v>
      </c>
      <c r="B107" s="103">
        <f t="shared" si="28"/>
        <v>105</v>
      </c>
      <c r="C107" s="104">
        <f t="shared" si="24"/>
        <v>93.366</v>
      </c>
      <c r="D107" s="104">
        <f t="shared" si="25"/>
        <v>25.375280233490678</v>
      </c>
      <c r="E107" s="104">
        <f t="shared" si="26"/>
        <v>206.80772973999626</v>
      </c>
      <c r="F107" s="71">
        <f t="shared" si="29"/>
        <v>97</v>
      </c>
      <c r="G107" s="75">
        <f t="shared" ref="G107:G109" si="38">$G$105+(F107-$F$105)*($G$110-$G$105)/($F$110-$F$105)</f>
        <v>445.2</v>
      </c>
      <c r="H107" s="73">
        <f t="shared" si="27"/>
        <v>191.43599999999998</v>
      </c>
      <c r="I107" s="73">
        <f t="shared" si="20"/>
        <v>47.857292804386063</v>
      </c>
      <c r="J107" s="73">
        <f t="shared" si="31"/>
        <v>416.76915163430567</v>
      </c>
    </row>
    <row r="108" spans="1:11" x14ac:dyDescent="0.35">
      <c r="A108" s="102">
        <v>106</v>
      </c>
      <c r="B108" s="103">
        <f t="shared" si="28"/>
        <v>106</v>
      </c>
      <c r="C108" s="104">
        <f t="shared" si="24"/>
        <v>94.255200000000002</v>
      </c>
      <c r="D108" s="104">
        <f t="shared" si="25"/>
        <v>25.588701314145247</v>
      </c>
      <c r="E108" s="104">
        <f t="shared" si="26"/>
        <v>208.72812812213633</v>
      </c>
      <c r="F108" s="71">
        <f t="shared" si="29"/>
        <v>98</v>
      </c>
      <c r="G108" s="75">
        <f t="shared" si="38"/>
        <v>450.8</v>
      </c>
      <c r="H108" s="73">
        <f t="shared" si="27"/>
        <v>193.84399999999999</v>
      </c>
      <c r="I108" s="73">
        <f t="shared" si="20"/>
        <v>48.388813443554795</v>
      </c>
      <c r="J108" s="73">
        <f t="shared" si="31"/>
        <v>421.88881674752457</v>
      </c>
    </row>
    <row r="109" spans="1:11" x14ac:dyDescent="0.35">
      <c r="A109" s="102">
        <v>107</v>
      </c>
      <c r="B109" s="103">
        <f t="shared" si="28"/>
        <v>107</v>
      </c>
      <c r="C109" s="104">
        <f t="shared" si="24"/>
        <v>95.144400000000005</v>
      </c>
      <c r="D109" s="104">
        <f t="shared" si="25"/>
        <v>25.801888159247703</v>
      </c>
      <c r="E109" s="104">
        <f t="shared" si="26"/>
        <v>210.64811854402308</v>
      </c>
      <c r="F109" s="71">
        <f t="shared" si="29"/>
        <v>99</v>
      </c>
      <c r="G109" s="75">
        <f t="shared" si="38"/>
        <v>456.4</v>
      </c>
      <c r="H109" s="73">
        <f t="shared" si="27"/>
        <v>196.25199999999998</v>
      </c>
      <c r="I109" s="73">
        <f t="shared" si="20"/>
        <v>48.919566058185353</v>
      </c>
      <c r="J109" s="73">
        <f t="shared" si="31"/>
        <v>427.00714421800609</v>
      </c>
    </row>
    <row r="110" spans="1:11" x14ac:dyDescent="0.35">
      <c r="A110" s="102">
        <v>108</v>
      </c>
      <c r="B110" s="103">
        <f t="shared" si="28"/>
        <v>108</v>
      </c>
      <c r="C110" s="104">
        <f t="shared" si="24"/>
        <v>96.033600000000007</v>
      </c>
      <c r="D110" s="104">
        <f t="shared" si="25"/>
        <v>26.014843211471227</v>
      </c>
      <c r="E110" s="104">
        <f t="shared" si="26"/>
        <v>212.56770525997908</v>
      </c>
      <c r="F110" s="71">
        <f t="shared" si="29"/>
        <v>100</v>
      </c>
      <c r="G110" s="75">
        <v>462</v>
      </c>
      <c r="H110" s="73">
        <f t="shared" si="27"/>
        <v>198.66</v>
      </c>
      <c r="I110" s="73">
        <f t="shared" si="20"/>
        <v>49.449561161821713</v>
      </c>
      <c r="J110" s="73">
        <f t="shared" si="31"/>
        <v>432.12415235683949</v>
      </c>
    </row>
    <row r="111" spans="1:11" x14ac:dyDescent="0.35">
      <c r="A111" s="102">
        <v>109</v>
      </c>
      <c r="B111" s="103">
        <f t="shared" si="28"/>
        <v>109</v>
      </c>
      <c r="C111" s="104">
        <f t="shared" si="24"/>
        <v>96.922799999999981</v>
      </c>
      <c r="D111" s="104">
        <f t="shared" si="25"/>
        <v>26.227568865645353</v>
      </c>
      <c r="E111" s="104">
        <f t="shared" si="26"/>
        <v>214.48689244099896</v>
      </c>
      <c r="F111" s="71">
        <f t="shared" si="29"/>
        <v>101</v>
      </c>
      <c r="G111" s="75">
        <f>$G$110+(F111-$F$110)*($G$115-$G$110)/($F$115-$F$110)</f>
        <v>467</v>
      </c>
      <c r="H111" s="73">
        <f t="shared" si="27"/>
        <v>200.81</v>
      </c>
      <c r="I111" s="73">
        <f t="shared" si="20"/>
        <v>49.922139312667404</v>
      </c>
      <c r="J111" s="73">
        <f t="shared" si="31"/>
        <v>436.69180930289576</v>
      </c>
    </row>
    <row r="112" spans="1:11" x14ac:dyDescent="0.35">
      <c r="A112" s="102">
        <v>110</v>
      </c>
      <c r="B112" s="103">
        <f t="shared" si="28"/>
        <v>110</v>
      </c>
      <c r="C112" s="104">
        <f t="shared" si="24"/>
        <v>97.811999999999983</v>
      </c>
      <c r="D112" s="104">
        <f t="shared" si="25"/>
        <v>26.44006747012326</v>
      </c>
      <c r="E112" s="104">
        <f t="shared" si="26"/>
        <v>216.40568417713132</v>
      </c>
      <c r="F112" s="71">
        <f t="shared" si="29"/>
        <v>102</v>
      </c>
      <c r="G112" s="75">
        <f t="shared" ref="G112:G114" si="39">$G$110+(F112-$F$110)*($G$115-$G$110)/($F$115-$F$110)</f>
        <v>472</v>
      </c>
      <c r="H112" s="73">
        <f t="shared" si="27"/>
        <v>202.96</v>
      </c>
      <c r="I112" s="73">
        <f t="shared" si="20"/>
        <v>50.394128866673796</v>
      </c>
      <c r="J112" s="73">
        <f t="shared" si="31"/>
        <v>441.2584411094569</v>
      </c>
    </row>
    <row r="113" spans="2:10" x14ac:dyDescent="0.35">
      <c r="B113" s="64"/>
      <c r="C113" s="65"/>
      <c r="D113" s="65"/>
      <c r="E113" s="65"/>
      <c r="F113" s="71">
        <f t="shared" si="29"/>
        <v>103</v>
      </c>
      <c r="G113" s="75">
        <f t="shared" si="39"/>
        <v>477</v>
      </c>
      <c r="H113" s="73">
        <f t="shared" si="27"/>
        <v>205.10999999999999</v>
      </c>
      <c r="I113" s="73">
        <f>EXP(-1.0587+0.8836*LN(H113)+0.284)</f>
        <v>50.865536780718593</v>
      </c>
      <c r="J113" s="73">
        <f t="shared" si="31"/>
        <v>445.82405989308478</v>
      </c>
    </row>
    <row r="114" spans="2:10" x14ac:dyDescent="0.35">
      <c r="B114" s="64"/>
      <c r="C114" s="65"/>
      <c r="D114" s="65"/>
      <c r="E114" s="65"/>
      <c r="F114" s="71">
        <f t="shared" si="29"/>
        <v>104</v>
      </c>
      <c r="G114" s="75">
        <f t="shared" si="39"/>
        <v>482</v>
      </c>
      <c r="H114" s="73">
        <f t="shared" si="27"/>
        <v>207.26</v>
      </c>
      <c r="I114" s="73">
        <f>EXP(-1.0587+0.8836*LN(H114)+0.284)</f>
        <v>51.336369857430014</v>
      </c>
      <c r="J114" s="73">
        <f t="shared" si="31"/>
        <v>450.38867750169055</v>
      </c>
    </row>
    <row r="115" spans="2:10" x14ac:dyDescent="0.35">
      <c r="F115" s="71">
        <f t="shared" si="29"/>
        <v>105</v>
      </c>
      <c r="G115" s="75">
        <f>470+462-445</f>
        <v>487</v>
      </c>
      <c r="H115" s="73">
        <f t="shared" si="27"/>
        <v>209.41</v>
      </c>
      <c r="I115" s="73">
        <f t="shared" ref="I115:I120" si="40">EXP(-1.0587+0.8836*LN(H115)+0.284)</f>
        <v>51.806634750171533</v>
      </c>
      <c r="J115" s="73">
        <f t="shared" si="31"/>
        <v>454.95230552321544</v>
      </c>
    </row>
    <row r="116" spans="2:10" x14ac:dyDescent="0.35">
      <c r="F116" s="71">
        <f t="shared" si="29"/>
        <v>106</v>
      </c>
      <c r="G116" s="75">
        <f>$G$115+(F116-$F$115)*($G$120-$G$115)/($F$120-$F$115)</f>
        <v>492.2</v>
      </c>
      <c r="H116" s="73">
        <f t="shared" si="27"/>
        <v>211.64599999999999</v>
      </c>
      <c r="I116" s="73">
        <f t="shared" si="40"/>
        <v>52.295114504226561</v>
      </c>
      <c r="J116" s="73">
        <f t="shared" si="31"/>
        <v>459.69744109486123</v>
      </c>
    </row>
    <row r="117" spans="2:10" x14ac:dyDescent="0.35">
      <c r="F117" s="71">
        <f t="shared" si="29"/>
        <v>107</v>
      </c>
      <c r="G117" s="75">
        <f t="shared" ref="G117:G119" si="41">$G$115+(F117-$F$115)*($G$120-$G$115)/($F$120-$F$115)</f>
        <v>497.4</v>
      </c>
      <c r="H117" s="73">
        <f t="shared" si="27"/>
        <v>213.88199999999998</v>
      </c>
      <c r="I117" s="73">
        <f t="shared" si="40"/>
        <v>52.782993910626054</v>
      </c>
      <c r="J117" s="73">
        <f t="shared" si="31"/>
        <v>464.44153106100697</v>
      </c>
    </row>
    <row r="118" spans="2:10" x14ac:dyDescent="0.35">
      <c r="F118" s="71">
        <f t="shared" si="29"/>
        <v>108</v>
      </c>
      <c r="G118" s="75">
        <f t="shared" si="41"/>
        <v>502.6</v>
      </c>
      <c r="H118" s="73">
        <f t="shared" si="27"/>
        <v>216.11799999999999</v>
      </c>
      <c r="I118" s="73">
        <f t="shared" si="40"/>
        <v>53.270279972172681</v>
      </c>
      <c r="J118" s="73">
        <f t="shared" si="31"/>
        <v>469.18458761820074</v>
      </c>
    </row>
    <row r="119" spans="2:10" x14ac:dyDescent="0.35">
      <c r="F119" s="71">
        <f t="shared" si="29"/>
        <v>109</v>
      </c>
      <c r="G119" s="75">
        <f t="shared" si="41"/>
        <v>507.8</v>
      </c>
      <c r="H119" s="73">
        <f t="shared" si="27"/>
        <v>218.35400000000001</v>
      </c>
      <c r="I119" s="73">
        <f t="shared" si="40"/>
        <v>53.756979538415074</v>
      </c>
      <c r="J119" s="73">
        <f t="shared" si="31"/>
        <v>473.92662269607291</v>
      </c>
    </row>
    <row r="120" spans="2:10" x14ac:dyDescent="0.35">
      <c r="F120" s="72">
        <v>110</v>
      </c>
      <c r="G120" s="75">
        <f>479+470-453+462-445</f>
        <v>513</v>
      </c>
      <c r="H120" s="73">
        <f t="shared" si="27"/>
        <v>220.59</v>
      </c>
      <c r="I120" s="73">
        <f t="shared" si="40"/>
        <v>54.243099310535925</v>
      </c>
      <c r="J120" s="73">
        <f t="shared" si="31"/>
        <v>478.66764796584999</v>
      </c>
    </row>
    <row r="121" spans="2:10" x14ac:dyDescent="0.35">
      <c r="F121" s="72">
        <v>110</v>
      </c>
      <c r="G121" s="75">
        <v>0</v>
      </c>
      <c r="H121" s="73">
        <f t="shared" si="27"/>
        <v>0</v>
      </c>
      <c r="I121" s="73">
        <v>0</v>
      </c>
      <c r="J121" s="73">
        <f t="shared" si="31"/>
        <v>0</v>
      </c>
    </row>
    <row r="122" spans="2:10" x14ac:dyDescent="0.35">
      <c r="F122" s="64"/>
    </row>
    <row r="123" spans="2:10" x14ac:dyDescent="0.35">
      <c r="F123" s="64"/>
    </row>
    <row r="124" spans="2:10" x14ac:dyDescent="0.35">
      <c r="F124" s="64"/>
    </row>
    <row r="125" spans="2:10" x14ac:dyDescent="0.35">
      <c r="F125" s="64"/>
    </row>
    <row r="126" spans="2:10" x14ac:dyDescent="0.35">
      <c r="F126" s="64"/>
    </row>
    <row r="127" spans="2:10" x14ac:dyDescent="0.35">
      <c r="F127" s="64"/>
    </row>
    <row r="128" spans="2:10" x14ac:dyDescent="0.35">
      <c r="F128" s="64"/>
    </row>
    <row r="129" spans="6:6" x14ac:dyDescent="0.35">
      <c r="F129" s="64"/>
    </row>
    <row r="130" spans="6:6" x14ac:dyDescent="0.35">
      <c r="F130" s="64"/>
    </row>
    <row r="131" spans="6:6" x14ac:dyDescent="0.35">
      <c r="F131" s="64"/>
    </row>
    <row r="132" spans="6:6" x14ac:dyDescent="0.35">
      <c r="F132" s="64"/>
    </row>
    <row r="133" spans="6:6" x14ac:dyDescent="0.35">
      <c r="F133" s="64"/>
    </row>
    <row r="134" spans="6:6" x14ac:dyDescent="0.35">
      <c r="F134" s="64"/>
    </row>
    <row r="135" spans="6:6" x14ac:dyDescent="0.35">
      <c r="F135" s="64"/>
    </row>
    <row r="136" spans="6:6" x14ac:dyDescent="0.35">
      <c r="F136" s="64"/>
    </row>
    <row r="137" spans="6:6" x14ac:dyDescent="0.35">
      <c r="F137" s="64"/>
    </row>
    <row r="138" spans="6:6" x14ac:dyDescent="0.35">
      <c r="F138" s="64"/>
    </row>
    <row r="139" spans="6:6" x14ac:dyDescent="0.35">
      <c r="F139" s="64"/>
    </row>
    <row r="140" spans="6:6" x14ac:dyDescent="0.35">
      <c r="F140" s="64"/>
    </row>
    <row r="141" spans="6:6" x14ac:dyDescent="0.35">
      <c r="F141" s="64"/>
    </row>
    <row r="142" spans="6:6" x14ac:dyDescent="0.35">
      <c r="F142" s="64"/>
    </row>
    <row r="143" spans="6:6" x14ac:dyDescent="0.35">
      <c r="F143" s="64"/>
    </row>
    <row r="144" spans="6:6" x14ac:dyDescent="0.35">
      <c r="F144" s="64"/>
    </row>
    <row r="145" spans="6:6" x14ac:dyDescent="0.35">
      <c r="F145" s="64"/>
    </row>
    <row r="146" spans="6:6" x14ac:dyDescent="0.35">
      <c r="F146" s="64"/>
    </row>
    <row r="147" spans="6:6" x14ac:dyDescent="0.35">
      <c r="F147" s="64"/>
    </row>
    <row r="148" spans="6:6" x14ac:dyDescent="0.35">
      <c r="F148" s="64"/>
    </row>
    <row r="149" spans="6:6" x14ac:dyDescent="0.35">
      <c r="F149" s="64"/>
    </row>
    <row r="150" spans="6:6" x14ac:dyDescent="0.35">
      <c r="F150" s="64"/>
    </row>
    <row r="151" spans="6:6" x14ac:dyDescent="0.35">
      <c r="F151" s="64"/>
    </row>
    <row r="152" spans="6:6" x14ac:dyDescent="0.35">
      <c r="F152" s="64"/>
    </row>
    <row r="153" spans="6:6" x14ac:dyDescent="0.35">
      <c r="F153" s="64"/>
    </row>
    <row r="154" spans="6:6" x14ac:dyDescent="0.35">
      <c r="F154" s="64"/>
    </row>
    <row r="155" spans="6:6" x14ac:dyDescent="0.35">
      <c r="F155" s="64"/>
    </row>
    <row r="156" spans="6:6" x14ac:dyDescent="0.35">
      <c r="F156" s="64"/>
    </row>
    <row r="157" spans="6:6" x14ac:dyDescent="0.35">
      <c r="F157" s="64"/>
    </row>
    <row r="158" spans="6:6" x14ac:dyDescent="0.35">
      <c r="F158" s="64"/>
    </row>
    <row r="159" spans="6:6" x14ac:dyDescent="0.35">
      <c r="F159" s="64"/>
    </row>
    <row r="160" spans="6:6" x14ac:dyDescent="0.35">
      <c r="F160" s="64"/>
    </row>
    <row r="161" spans="6:6" x14ac:dyDescent="0.35">
      <c r="F161" s="64"/>
    </row>
    <row r="162" spans="6:6" x14ac:dyDescent="0.35">
      <c r="F162" s="64"/>
    </row>
    <row r="163" spans="6:6" x14ac:dyDescent="0.35">
      <c r="F163" s="64"/>
    </row>
    <row r="164" spans="6:6" x14ac:dyDescent="0.35">
      <c r="F164" s="64"/>
    </row>
    <row r="165" spans="6:6" x14ac:dyDescent="0.35">
      <c r="F165" s="64"/>
    </row>
    <row r="166" spans="6:6" x14ac:dyDescent="0.35">
      <c r="F166" s="64"/>
    </row>
    <row r="167" spans="6:6" x14ac:dyDescent="0.35">
      <c r="F167" s="64"/>
    </row>
    <row r="168" spans="6:6" x14ac:dyDescent="0.35">
      <c r="F168" s="64"/>
    </row>
    <row r="169" spans="6:6" x14ac:dyDescent="0.35">
      <c r="F169" s="64"/>
    </row>
    <row r="170" spans="6:6" x14ac:dyDescent="0.35">
      <c r="F170" s="64"/>
    </row>
    <row r="171" spans="6:6" x14ac:dyDescent="0.35">
      <c r="F171" s="64"/>
    </row>
    <row r="172" spans="6:6" x14ac:dyDescent="0.35">
      <c r="F172" s="64"/>
    </row>
    <row r="173" spans="6:6" x14ac:dyDescent="0.35">
      <c r="F173" s="64"/>
    </row>
    <row r="174" spans="6:6" x14ac:dyDescent="0.35">
      <c r="F174" s="64"/>
    </row>
    <row r="175" spans="6:6" x14ac:dyDescent="0.35">
      <c r="F175" s="64"/>
    </row>
    <row r="176" spans="6:6" x14ac:dyDescent="0.35">
      <c r="F176" s="64"/>
    </row>
    <row r="177" spans="6:6" x14ac:dyDescent="0.35">
      <c r="F177" s="64"/>
    </row>
    <row r="178" spans="6:6" x14ac:dyDescent="0.35">
      <c r="F178" s="64"/>
    </row>
    <row r="179" spans="6:6" x14ac:dyDescent="0.35">
      <c r="F179" s="64"/>
    </row>
    <row r="180" spans="6:6" x14ac:dyDescent="0.35">
      <c r="F180" s="64"/>
    </row>
    <row r="181" spans="6:6" x14ac:dyDescent="0.35">
      <c r="F181" s="64"/>
    </row>
    <row r="182" spans="6:6" x14ac:dyDescent="0.35">
      <c r="F182" s="64"/>
    </row>
    <row r="183" spans="6:6" x14ac:dyDescent="0.35">
      <c r="F183" s="64"/>
    </row>
    <row r="184" spans="6:6" x14ac:dyDescent="0.35">
      <c r="F184" s="64"/>
    </row>
    <row r="185" spans="6:6" x14ac:dyDescent="0.35">
      <c r="F185" s="64"/>
    </row>
    <row r="186" spans="6:6" x14ac:dyDescent="0.35">
      <c r="F186" s="64"/>
    </row>
    <row r="187" spans="6:6" x14ac:dyDescent="0.35">
      <c r="F187" s="64"/>
    </row>
    <row r="188" spans="6:6" x14ac:dyDescent="0.35">
      <c r="F188" s="64"/>
    </row>
    <row r="189" spans="6:6" x14ac:dyDescent="0.35">
      <c r="F189" s="64"/>
    </row>
    <row r="190" spans="6:6" x14ac:dyDescent="0.35">
      <c r="F190" s="64"/>
    </row>
    <row r="191" spans="6:6" x14ac:dyDescent="0.35">
      <c r="F191" s="64"/>
    </row>
    <row r="192" spans="6:6" x14ac:dyDescent="0.35">
      <c r="F192" s="64"/>
    </row>
    <row r="193" spans="6:6" x14ac:dyDescent="0.35">
      <c r="F193" s="64"/>
    </row>
    <row r="194" spans="6:6" x14ac:dyDescent="0.35">
      <c r="F194" s="64"/>
    </row>
    <row r="195" spans="6:6" x14ac:dyDescent="0.35">
      <c r="F195" s="64"/>
    </row>
    <row r="196" spans="6:6" x14ac:dyDescent="0.35">
      <c r="F196" s="64"/>
    </row>
    <row r="197" spans="6:6" x14ac:dyDescent="0.35">
      <c r="F197" s="64"/>
    </row>
    <row r="198" spans="6:6" x14ac:dyDescent="0.35">
      <c r="F198" s="64"/>
    </row>
    <row r="199" spans="6:6" x14ac:dyDescent="0.35">
      <c r="F199" s="64"/>
    </row>
    <row r="200" spans="6:6" x14ac:dyDescent="0.35">
      <c r="F200" s="64"/>
    </row>
    <row r="201" spans="6:6" x14ac:dyDescent="0.35">
      <c r="F201" s="64"/>
    </row>
    <row r="202" spans="6:6" x14ac:dyDescent="0.35">
      <c r="F202" s="64"/>
    </row>
    <row r="203" spans="6:6" x14ac:dyDescent="0.35">
      <c r="F203" s="64"/>
    </row>
    <row r="204" spans="6:6" x14ac:dyDescent="0.35">
      <c r="F204" s="64"/>
    </row>
    <row r="205" spans="6:6" x14ac:dyDescent="0.35">
      <c r="F205" s="64"/>
    </row>
    <row r="206" spans="6:6" x14ac:dyDescent="0.35">
      <c r="F206" s="64"/>
    </row>
    <row r="207" spans="6:6" x14ac:dyDescent="0.35">
      <c r="F207" s="64"/>
    </row>
    <row r="208" spans="6:6" x14ac:dyDescent="0.35">
      <c r="F208" s="64"/>
    </row>
    <row r="209" spans="6:6" x14ac:dyDescent="0.35">
      <c r="F209" s="64"/>
    </row>
    <row r="210" spans="6:6" x14ac:dyDescent="0.35">
      <c r="F210" s="64"/>
    </row>
    <row r="211" spans="6:6" x14ac:dyDescent="0.35">
      <c r="F211" s="64"/>
    </row>
    <row r="212" spans="6:6" x14ac:dyDescent="0.35">
      <c r="F212" s="64"/>
    </row>
    <row r="213" spans="6:6" x14ac:dyDescent="0.35">
      <c r="F213" s="64"/>
    </row>
    <row r="214" spans="6:6" x14ac:dyDescent="0.35">
      <c r="F214" s="64"/>
    </row>
    <row r="215" spans="6:6" x14ac:dyDescent="0.35">
      <c r="F215" s="64"/>
    </row>
    <row r="216" spans="6:6" x14ac:dyDescent="0.35">
      <c r="F216" s="64"/>
    </row>
    <row r="217" spans="6:6" x14ac:dyDescent="0.35">
      <c r="F217" s="64"/>
    </row>
    <row r="218" spans="6:6" x14ac:dyDescent="0.35">
      <c r="F218" s="64"/>
    </row>
    <row r="219" spans="6:6" x14ac:dyDescent="0.35">
      <c r="F219" s="64"/>
    </row>
    <row r="220" spans="6:6" x14ac:dyDescent="0.35">
      <c r="F220" s="64"/>
    </row>
    <row r="221" spans="6:6" x14ac:dyDescent="0.35">
      <c r="F221" s="64"/>
    </row>
    <row r="222" spans="6:6" x14ac:dyDescent="0.35">
      <c r="F222" s="64"/>
    </row>
    <row r="223" spans="6:6" x14ac:dyDescent="0.35">
      <c r="F223" s="64"/>
    </row>
    <row r="224" spans="6:6" x14ac:dyDescent="0.35">
      <c r="F224" s="64"/>
    </row>
    <row r="225" spans="6:6" x14ac:dyDescent="0.35">
      <c r="F225" s="64"/>
    </row>
    <row r="226" spans="6:6" x14ac:dyDescent="0.35">
      <c r="F226" s="64"/>
    </row>
    <row r="227" spans="6:6" x14ac:dyDescent="0.35">
      <c r="F227" s="64"/>
    </row>
    <row r="228" spans="6:6" x14ac:dyDescent="0.35">
      <c r="F228" s="64"/>
    </row>
    <row r="229" spans="6:6" x14ac:dyDescent="0.35">
      <c r="F229" s="64"/>
    </row>
    <row r="230" spans="6:6" x14ac:dyDescent="0.35">
      <c r="F230" s="64"/>
    </row>
    <row r="231" spans="6:6" x14ac:dyDescent="0.35">
      <c r="F231" s="64"/>
    </row>
    <row r="232" spans="6:6" x14ac:dyDescent="0.35">
      <c r="F232" s="64"/>
    </row>
    <row r="233" spans="6:6" x14ac:dyDescent="0.35">
      <c r="F233" s="64"/>
    </row>
    <row r="234" spans="6:6" x14ac:dyDescent="0.35">
      <c r="F234" s="64"/>
    </row>
    <row r="235" spans="6:6" x14ac:dyDescent="0.35">
      <c r="F235" s="64"/>
    </row>
    <row r="236" spans="6:6" x14ac:dyDescent="0.35">
      <c r="F236" s="64"/>
    </row>
    <row r="237" spans="6:6" x14ac:dyDescent="0.35">
      <c r="F237" s="64"/>
    </row>
    <row r="238" spans="6:6" x14ac:dyDescent="0.35">
      <c r="F238" s="64"/>
    </row>
    <row r="239" spans="6:6" x14ac:dyDescent="0.35">
      <c r="F239" s="64"/>
    </row>
    <row r="240" spans="6:6" x14ac:dyDescent="0.35">
      <c r="F240" s="64"/>
    </row>
    <row r="241" spans="6:6" x14ac:dyDescent="0.35">
      <c r="F241" s="64"/>
    </row>
    <row r="242" spans="6:6" x14ac:dyDescent="0.35">
      <c r="F242" s="64"/>
    </row>
    <row r="243" spans="6:6" x14ac:dyDescent="0.35">
      <c r="F243" s="64"/>
    </row>
  </sheetData>
  <mergeCells count="1">
    <mergeCell ref="X1:X1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E69F-B3EA-4C33-AF7D-6D95856C37D5}">
  <dimension ref="S7:T16"/>
  <sheetViews>
    <sheetView topLeftCell="F1" workbookViewId="0">
      <selection activeCell="T15" sqref="T15"/>
    </sheetView>
  </sheetViews>
  <sheetFormatPr baseColWidth="10" defaultColWidth="10.81640625" defaultRowHeight="14.5" x14ac:dyDescent="0.35"/>
  <cols>
    <col min="1" max="18" width="10.81640625" style="62"/>
    <col min="19" max="19" width="17.7265625" style="62" bestFit="1" customWidth="1"/>
    <col min="20" max="20" width="64.81640625" style="62" bestFit="1" customWidth="1"/>
    <col min="21" max="16384" width="10.81640625" style="62"/>
  </cols>
  <sheetData>
    <row r="7" spans="19:20" x14ac:dyDescent="0.35">
      <c r="S7" s="129" t="s">
        <v>96</v>
      </c>
      <c r="T7" s="100" t="s">
        <v>108</v>
      </c>
    </row>
    <row r="8" spans="19:20" x14ac:dyDescent="0.35">
      <c r="S8" s="130"/>
      <c r="T8" s="98" t="s">
        <v>109</v>
      </c>
    </row>
    <row r="9" spans="19:20" x14ac:dyDescent="0.35">
      <c r="S9" s="99" t="s">
        <v>80</v>
      </c>
      <c r="T9" s="98" t="s">
        <v>110</v>
      </c>
    </row>
    <row r="10" spans="19:20" x14ac:dyDescent="0.35">
      <c r="S10" s="99" t="s">
        <v>82</v>
      </c>
      <c r="T10" s="98" t="s">
        <v>111</v>
      </c>
    </row>
    <row r="11" spans="19:20" x14ac:dyDescent="0.35">
      <c r="S11" s="99" t="s">
        <v>12</v>
      </c>
      <c r="T11" s="98">
        <v>2004</v>
      </c>
    </row>
    <row r="12" spans="19:20" x14ac:dyDescent="0.35">
      <c r="S12" s="99" t="s">
        <v>84</v>
      </c>
      <c r="T12" s="98" t="s">
        <v>112</v>
      </c>
    </row>
    <row r="13" spans="19:20" x14ac:dyDescent="0.35">
      <c r="S13" s="99" t="s">
        <v>86</v>
      </c>
      <c r="T13" s="98">
        <v>6</v>
      </c>
    </row>
    <row r="14" spans="19:20" x14ac:dyDescent="0.35">
      <c r="S14" s="99" t="s">
        <v>87</v>
      </c>
      <c r="T14" s="98">
        <v>3</v>
      </c>
    </row>
    <row r="15" spans="19:20" x14ac:dyDescent="0.35">
      <c r="S15" s="99" t="s">
        <v>88</v>
      </c>
      <c r="T15" s="98" t="s">
        <v>113</v>
      </c>
    </row>
    <row r="16" spans="19:20" x14ac:dyDescent="0.35">
      <c r="S16" s="99" t="s">
        <v>90</v>
      </c>
      <c r="T16" s="98" t="s">
        <v>102</v>
      </c>
    </row>
  </sheetData>
  <mergeCells count="1">
    <mergeCell ref="S7:S8"/>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981AF-5DF4-42A4-A36A-880945105DE9}">
  <dimension ref="A1:Z243"/>
  <sheetViews>
    <sheetView topLeftCell="E1" workbookViewId="0">
      <selection activeCell="J6" sqref="J6"/>
    </sheetView>
  </sheetViews>
  <sheetFormatPr baseColWidth="10" defaultRowHeight="14.5" x14ac:dyDescent="0.35"/>
  <cols>
    <col min="1" max="1" width="6.81640625" bestFit="1" customWidth="1"/>
    <col min="2" max="2" width="9.54296875" bestFit="1" customWidth="1"/>
    <col min="3" max="3" width="10.26953125" customWidth="1"/>
    <col min="4" max="4" width="10.54296875" bestFit="1" customWidth="1"/>
    <col min="5" max="5" width="9.453125" bestFit="1" customWidth="1"/>
    <col min="6" max="6" width="6.81640625" bestFit="1" customWidth="1"/>
    <col min="7" max="7" width="9.54296875" bestFit="1" customWidth="1"/>
    <col min="8" max="9" width="9.453125" bestFit="1" customWidth="1"/>
    <col min="10" max="10" width="12.1796875" customWidth="1"/>
    <col min="11" max="11" width="6.81640625" bestFit="1" customWidth="1"/>
    <col min="12" max="12" width="9" bestFit="1" customWidth="1"/>
    <col min="13" max="13" width="9.453125" bestFit="1" customWidth="1"/>
    <col min="14" max="14" width="11.81640625" bestFit="1" customWidth="1"/>
    <col min="15" max="15" width="9.1796875" bestFit="1" customWidth="1"/>
    <col min="16" max="16" width="9.453125" bestFit="1" customWidth="1"/>
    <col min="17" max="17" width="9.7265625" bestFit="1" customWidth="1"/>
    <col min="18" max="18" width="11" bestFit="1" customWidth="1"/>
    <col min="19" max="19" width="13.7265625" customWidth="1"/>
    <col min="22" max="22" width="32.7265625" bestFit="1" customWidth="1"/>
    <col min="23" max="23" width="10.54296875" bestFit="1" customWidth="1"/>
    <col min="24" max="24" width="26.1796875" bestFit="1" customWidth="1"/>
    <col min="25" max="25" width="12.26953125" bestFit="1" customWidth="1"/>
    <col min="26" max="26" width="37.1796875" customWidth="1"/>
  </cols>
  <sheetData>
    <row r="1" spans="1:26" ht="58" x14ac:dyDescent="0.35">
      <c r="A1" s="6" t="s">
        <v>12</v>
      </c>
      <c r="B1" s="6" t="s">
        <v>13</v>
      </c>
      <c r="C1" s="7" t="s">
        <v>14</v>
      </c>
      <c r="D1" s="7" t="s">
        <v>15</v>
      </c>
      <c r="E1" s="7" t="s">
        <v>16</v>
      </c>
      <c r="F1" s="8" t="s">
        <v>12</v>
      </c>
      <c r="G1" s="9" t="s">
        <v>17</v>
      </c>
      <c r="H1" s="10" t="s">
        <v>14</v>
      </c>
      <c r="I1" s="10" t="s">
        <v>15</v>
      </c>
      <c r="J1" s="10" t="s">
        <v>92</v>
      </c>
      <c r="K1" s="11" t="s">
        <v>12</v>
      </c>
      <c r="L1" s="12" t="s">
        <v>19</v>
      </c>
      <c r="M1" s="13" t="s">
        <v>20</v>
      </c>
      <c r="N1" s="13" t="s">
        <v>21</v>
      </c>
      <c r="O1" s="12" t="s">
        <v>22</v>
      </c>
      <c r="P1" s="12" t="s">
        <v>23</v>
      </c>
      <c r="Q1" s="12" t="s">
        <v>24</v>
      </c>
      <c r="R1" s="12" t="s">
        <v>25</v>
      </c>
      <c r="S1" s="12" t="s">
        <v>26</v>
      </c>
      <c r="V1" s="10" t="s">
        <v>93</v>
      </c>
      <c r="W1" s="9">
        <v>0.56000000000000005</v>
      </c>
      <c r="X1" s="7" t="s">
        <v>28</v>
      </c>
      <c r="Y1" s="14">
        <v>0.56999999999999995</v>
      </c>
      <c r="Z1" s="127" t="s">
        <v>94</v>
      </c>
    </row>
    <row r="2" spans="1:26" x14ac:dyDescent="0.35">
      <c r="A2" s="15">
        <v>0</v>
      </c>
      <c r="B2" s="15">
        <v>0</v>
      </c>
      <c r="C2" s="15">
        <f>B2*$Y$1*1.56</f>
        <v>0</v>
      </c>
      <c r="D2" s="15">
        <v>0</v>
      </c>
      <c r="E2" s="16">
        <f>(C2+D2)*0.475*44/12</f>
        <v>0</v>
      </c>
      <c r="F2" s="17">
        <v>0</v>
      </c>
      <c r="G2" s="18">
        <v>0</v>
      </c>
      <c r="H2" s="19">
        <f>G2*$W$1</f>
        <v>0</v>
      </c>
      <c r="I2" s="18">
        <v>0</v>
      </c>
      <c r="J2" s="18">
        <v>0</v>
      </c>
      <c r="K2" s="20">
        <v>0</v>
      </c>
      <c r="L2" s="21"/>
      <c r="M2" s="21"/>
      <c r="N2" s="21"/>
      <c r="O2" s="21"/>
      <c r="P2" s="21">
        <v>0</v>
      </c>
      <c r="Q2" s="21">
        <v>0</v>
      </c>
      <c r="R2" s="21">
        <v>0</v>
      </c>
      <c r="S2" s="21">
        <f>SUM(P2:R2)</f>
        <v>0</v>
      </c>
      <c r="U2" s="22" t="s">
        <v>95</v>
      </c>
      <c r="V2" s="22" t="s">
        <v>31</v>
      </c>
      <c r="W2" s="23">
        <f>AVERAGE(J2:J77)</f>
        <v>207.30907767768286</v>
      </c>
      <c r="X2" s="22"/>
      <c r="Y2" s="22"/>
      <c r="Z2" s="127"/>
    </row>
    <row r="3" spans="1:26" x14ac:dyDescent="0.35">
      <c r="A3" s="15">
        <v>1</v>
      </c>
      <c r="B3" s="15">
        <f>B2+1</f>
        <v>1</v>
      </c>
      <c r="C3" s="16">
        <f t="shared" ref="C3:C66" si="0">B3*$Y$1*1.56</f>
        <v>0.88919999999999999</v>
      </c>
      <c r="D3" s="16">
        <f>EXP(-1.0587+0.8836*LN(C3)+0.284)</f>
        <v>0.41542055579923082</v>
      </c>
      <c r="E3" s="16">
        <f t="shared" ref="E3:E66" si="1">(C3+D3)*0.475*44/12</f>
        <v>2.2722141346836602</v>
      </c>
      <c r="F3" s="17">
        <f>F2+1</f>
        <v>1</v>
      </c>
      <c r="G3" s="19">
        <f>G2+1</f>
        <v>1</v>
      </c>
      <c r="H3" s="19">
        <f t="shared" ref="H3:H66" si="2">G3*$W$1</f>
        <v>0.56000000000000005</v>
      </c>
      <c r="I3" s="19">
        <f t="shared" ref="I3:I66" si="3">EXP(-1.0587+0.8836*LN(H3)+0.284)</f>
        <v>0.27609020901615672</v>
      </c>
      <c r="J3" s="19">
        <f t="shared" ref="J3:J66" si="4">(H3+I3)*0.475*44/12</f>
        <v>1.4561904473698064</v>
      </c>
      <c r="K3" s="20">
        <f>K2+1</f>
        <v>1</v>
      </c>
      <c r="L3" s="21"/>
      <c r="M3" s="21"/>
      <c r="N3" s="21"/>
      <c r="O3" s="21"/>
      <c r="P3" s="24">
        <f>EXP(-LN(2)/35)*P2+(1-EXP(-LN(2)/35))/(LN(2)/35)*M3*L3*$W$1*0.475*44/12</f>
        <v>0</v>
      </c>
      <c r="Q3" s="24">
        <f>EXP(-LN(2)/25)*Q2+(1-EXP(-LN(2)/25))/(LN(2)/25)*N3*L3*$W$1*0.475*44/12</f>
        <v>0</v>
      </c>
      <c r="R3" s="24">
        <f>EXP(-LN(2)/2)*R2+(1-EXP(-LN(2)/2))/(LN(2)/2)*O3*L3*$W$1*0.475*44/12</f>
        <v>0</v>
      </c>
      <c r="S3" s="24">
        <f>SUM(P3:R3)</f>
        <v>0</v>
      </c>
      <c r="U3" s="22" t="s">
        <v>32</v>
      </c>
      <c r="V3" s="22" t="s">
        <v>31</v>
      </c>
      <c r="W3" s="23">
        <f>AVERAGE(E2:E72)</f>
        <v>70.588180818660447</v>
      </c>
      <c r="X3" s="22"/>
      <c r="Y3" s="22"/>
      <c r="Z3" s="127"/>
    </row>
    <row r="4" spans="1:26" x14ac:dyDescent="0.35">
      <c r="A4" s="15">
        <v>2</v>
      </c>
      <c r="B4" s="15">
        <f t="shared" ref="B4:B67" si="5">B3+1</f>
        <v>2</v>
      </c>
      <c r="C4" s="16">
        <f t="shared" si="0"/>
        <v>1.7784</v>
      </c>
      <c r="D4" s="16">
        <f t="shared" ref="D4:D67" si="6">EXP(-1.0587+0.8836*LN(C4)+0.284)</f>
        <v>0.76643986660078545</v>
      </c>
      <c r="E4" s="16">
        <f t="shared" si="1"/>
        <v>4.4322627676630342</v>
      </c>
      <c r="F4" s="17">
        <f t="shared" ref="F4:G19" si="7">F3+1</f>
        <v>2</v>
      </c>
      <c r="G4" s="19">
        <f t="shared" si="7"/>
        <v>2</v>
      </c>
      <c r="H4" s="19">
        <f t="shared" si="2"/>
        <v>1.1200000000000001</v>
      </c>
      <c r="I4" s="19">
        <f t="shared" si="3"/>
        <v>0.50937908587844116</v>
      </c>
      <c r="J4" s="19">
        <f t="shared" si="4"/>
        <v>2.837835241238285</v>
      </c>
      <c r="K4" s="20">
        <f t="shared" ref="K4:K67" si="8">K3+1</f>
        <v>2</v>
      </c>
      <c r="L4" s="21"/>
      <c r="M4" s="21"/>
      <c r="N4" s="21"/>
      <c r="O4" s="21"/>
      <c r="P4" s="24">
        <f t="shared" ref="P4:P49" si="9">EXP(-LN(2)/35)*P3+(1-EXP(-LN(2)/35))/(LN(2)/35)*M4*L4*$W$1*0.475*44/12</f>
        <v>0</v>
      </c>
      <c r="Q4" s="24">
        <f t="shared" ref="Q4:Q49" si="10">EXP(-LN(2)/25)*Q3+(1-EXP(-LN(2)/25))/(LN(2)/25)*N4*L4*$W$1*0.475*44/12</f>
        <v>0</v>
      </c>
      <c r="R4" s="24">
        <f t="shared" ref="R4:R49" si="11">EXP(-LN(2)/2)*R3+(1-EXP(-LN(2)/2))/(LN(2)/2)*O4*L4*$W$1*0.475*44/12</f>
        <v>0</v>
      </c>
      <c r="S4" s="24">
        <f>SUM(P4:R4)</f>
        <v>0</v>
      </c>
      <c r="U4" s="22"/>
      <c r="V4" s="26" t="s">
        <v>33</v>
      </c>
      <c r="W4" s="23">
        <f>W2-W3</f>
        <v>136.72089685902242</v>
      </c>
      <c r="X4" s="22"/>
      <c r="Y4" s="22"/>
      <c r="Z4" s="127"/>
    </row>
    <row r="5" spans="1:26" x14ac:dyDescent="0.35">
      <c r="A5" s="15">
        <v>3</v>
      </c>
      <c r="B5" s="15">
        <f t="shared" si="5"/>
        <v>3</v>
      </c>
      <c r="C5" s="16">
        <f t="shared" si="0"/>
        <v>2.6676000000000002</v>
      </c>
      <c r="D5" s="16">
        <f t="shared" si="6"/>
        <v>1.0966608080083624</v>
      </c>
      <c r="E5" s="16">
        <f t="shared" si="1"/>
        <v>6.5560875739478979</v>
      </c>
      <c r="F5" s="17">
        <f t="shared" si="7"/>
        <v>3</v>
      </c>
      <c r="G5" s="19">
        <f t="shared" si="7"/>
        <v>3</v>
      </c>
      <c r="H5" s="19">
        <f t="shared" si="2"/>
        <v>1.6800000000000002</v>
      </c>
      <c r="I5" s="19">
        <f t="shared" si="3"/>
        <v>0.72884528094749779</v>
      </c>
      <c r="J5" s="19">
        <f t="shared" si="4"/>
        <v>4.1954055309835594</v>
      </c>
      <c r="K5" s="20">
        <f t="shared" si="8"/>
        <v>3</v>
      </c>
      <c r="L5" s="21"/>
      <c r="M5" s="21"/>
      <c r="N5" s="21"/>
      <c r="O5" s="21"/>
      <c r="P5" s="24">
        <f t="shared" si="9"/>
        <v>0</v>
      </c>
      <c r="Q5" s="24">
        <f t="shared" si="10"/>
        <v>0</v>
      </c>
      <c r="R5" s="24">
        <f t="shared" si="11"/>
        <v>0</v>
      </c>
      <c r="S5" s="24">
        <f t="shared" ref="S5:S49" si="12">SUM(P5:R5)</f>
        <v>0</v>
      </c>
      <c r="U5" s="22"/>
      <c r="V5" s="22" t="s">
        <v>34</v>
      </c>
      <c r="W5" s="23">
        <f>J33-E32</f>
        <v>219.58140251309931</v>
      </c>
      <c r="X5" s="22"/>
      <c r="Y5" s="22"/>
      <c r="Z5" s="127"/>
    </row>
    <row r="6" spans="1:26" x14ac:dyDescent="0.35">
      <c r="A6" s="15">
        <v>4</v>
      </c>
      <c r="B6" s="15">
        <f t="shared" si="5"/>
        <v>4</v>
      </c>
      <c r="C6" s="16">
        <f t="shared" si="0"/>
        <v>3.5568</v>
      </c>
      <c r="D6" s="16">
        <f t="shared" si="6"/>
        <v>1.4140611505968179</v>
      </c>
      <c r="E6" s="16">
        <f t="shared" si="1"/>
        <v>8.6575831706227913</v>
      </c>
      <c r="F6" s="17">
        <f t="shared" si="7"/>
        <v>4</v>
      </c>
      <c r="G6" s="25">
        <v>4</v>
      </c>
      <c r="H6" s="19">
        <f t="shared" si="2"/>
        <v>2.2400000000000002</v>
      </c>
      <c r="I6" s="19">
        <f t="shared" si="3"/>
        <v>0.93979085334088186</v>
      </c>
      <c r="J6" s="19">
        <f t="shared" si="4"/>
        <v>5.5381357362353691</v>
      </c>
      <c r="K6" s="20">
        <f t="shared" si="8"/>
        <v>4</v>
      </c>
      <c r="L6" s="21"/>
      <c r="M6" s="21"/>
      <c r="N6" s="21"/>
      <c r="O6" s="21"/>
      <c r="P6" s="24">
        <f t="shared" si="9"/>
        <v>0</v>
      </c>
      <c r="Q6" s="24">
        <f t="shared" si="10"/>
        <v>0</v>
      </c>
      <c r="R6" s="24">
        <f t="shared" si="11"/>
        <v>0</v>
      </c>
      <c r="S6" s="24">
        <f t="shared" si="12"/>
        <v>0</v>
      </c>
      <c r="U6" s="22"/>
      <c r="V6" s="22" t="s">
        <v>35</v>
      </c>
      <c r="W6" s="23">
        <f>W4</f>
        <v>136.72089685902242</v>
      </c>
      <c r="X6" s="22"/>
      <c r="Y6" s="22"/>
      <c r="Z6" s="127"/>
    </row>
    <row r="7" spans="1:26" x14ac:dyDescent="0.35">
      <c r="A7" s="15">
        <v>5</v>
      </c>
      <c r="B7" s="15">
        <f t="shared" si="5"/>
        <v>5</v>
      </c>
      <c r="C7" s="16">
        <f t="shared" si="0"/>
        <v>4.4459999999999997</v>
      </c>
      <c r="D7" s="16">
        <f t="shared" si="6"/>
        <v>1.7222566815192897</v>
      </c>
      <c r="E7" s="16">
        <f t="shared" si="1"/>
        <v>10.743047053646096</v>
      </c>
      <c r="F7" s="17">
        <f t="shared" si="7"/>
        <v>5</v>
      </c>
      <c r="G7" s="25">
        <f t="shared" ref="G7:G16" si="13">G6+G6-G5+1</f>
        <v>6</v>
      </c>
      <c r="H7" s="19">
        <f t="shared" si="2"/>
        <v>3.3600000000000003</v>
      </c>
      <c r="I7" s="19">
        <f t="shared" si="3"/>
        <v>1.3447001408663724</v>
      </c>
      <c r="J7" s="19">
        <f t="shared" si="4"/>
        <v>8.1940194120089327</v>
      </c>
      <c r="K7" s="20">
        <f t="shared" si="8"/>
        <v>5</v>
      </c>
      <c r="L7" s="21"/>
      <c r="M7" s="21"/>
      <c r="N7" s="21"/>
      <c r="O7" s="21"/>
      <c r="P7" s="24">
        <f t="shared" si="9"/>
        <v>0</v>
      </c>
      <c r="Q7" s="24">
        <f t="shared" si="10"/>
        <v>0</v>
      </c>
      <c r="R7" s="24">
        <f t="shared" si="11"/>
        <v>0</v>
      </c>
      <c r="S7" s="24">
        <f t="shared" si="12"/>
        <v>0</v>
      </c>
      <c r="U7" s="22"/>
      <c r="V7" s="22" t="s">
        <v>36</v>
      </c>
      <c r="W7" s="27">
        <v>0</v>
      </c>
      <c r="Z7" s="127"/>
    </row>
    <row r="8" spans="1:26" x14ac:dyDescent="0.35">
      <c r="A8" s="15">
        <v>6</v>
      </c>
      <c r="B8" s="15">
        <f t="shared" si="5"/>
        <v>6</v>
      </c>
      <c r="C8" s="16">
        <f t="shared" si="0"/>
        <v>5.3352000000000004</v>
      </c>
      <c r="D8" s="16">
        <f t="shared" si="6"/>
        <v>2.0233099967312582</v>
      </c>
      <c r="E8" s="16">
        <f t="shared" si="1"/>
        <v>12.816071577640278</v>
      </c>
      <c r="F8" s="17">
        <f t="shared" si="7"/>
        <v>6</v>
      </c>
      <c r="G8" s="25">
        <f t="shared" si="13"/>
        <v>9</v>
      </c>
      <c r="H8" s="19">
        <f t="shared" si="2"/>
        <v>5.0400000000000009</v>
      </c>
      <c r="I8" s="19">
        <f t="shared" si="3"/>
        <v>1.9240647665573343</v>
      </c>
      <c r="J8" s="19">
        <f t="shared" si="4"/>
        <v>12.129079468420692</v>
      </c>
      <c r="K8" s="20">
        <f t="shared" si="8"/>
        <v>6</v>
      </c>
      <c r="L8" s="21"/>
      <c r="M8" s="21"/>
      <c r="N8" s="21"/>
      <c r="O8" s="21"/>
      <c r="P8" s="24">
        <f t="shared" si="9"/>
        <v>0</v>
      </c>
      <c r="Q8" s="24">
        <f t="shared" si="10"/>
        <v>0</v>
      </c>
      <c r="R8" s="24">
        <f t="shared" si="11"/>
        <v>0</v>
      </c>
      <c r="S8" s="24">
        <f t="shared" si="12"/>
        <v>0</v>
      </c>
      <c r="U8" s="22"/>
      <c r="V8" s="22" t="s">
        <v>37</v>
      </c>
      <c r="W8" s="27">
        <v>0</v>
      </c>
      <c r="Z8" s="127"/>
    </row>
    <row r="9" spans="1:26" x14ac:dyDescent="0.35">
      <c r="A9" s="15">
        <v>7</v>
      </c>
      <c r="B9" s="15">
        <f t="shared" si="5"/>
        <v>7</v>
      </c>
      <c r="C9" s="16">
        <f t="shared" si="0"/>
        <v>6.2244000000000002</v>
      </c>
      <c r="D9" s="16">
        <f t="shared" si="6"/>
        <v>2.318550772093785</v>
      </c>
      <c r="E9" s="16">
        <f t="shared" si="1"/>
        <v>14.87897259473001</v>
      </c>
      <c r="F9" s="17">
        <f t="shared" si="7"/>
        <v>7</v>
      </c>
      <c r="G9" s="25">
        <f t="shared" si="13"/>
        <v>13</v>
      </c>
      <c r="H9" s="19">
        <f t="shared" si="2"/>
        <v>7.2800000000000011</v>
      </c>
      <c r="I9" s="19">
        <f t="shared" si="3"/>
        <v>2.6627558753813361</v>
      </c>
      <c r="J9" s="19">
        <f t="shared" si="4"/>
        <v>17.316966482955831</v>
      </c>
      <c r="K9" s="20">
        <f t="shared" si="8"/>
        <v>7</v>
      </c>
      <c r="L9" s="21"/>
      <c r="M9" s="21"/>
      <c r="N9" s="21"/>
      <c r="O9" s="21"/>
      <c r="P9" s="24">
        <f t="shared" si="9"/>
        <v>0</v>
      </c>
      <c r="Q9" s="24">
        <f t="shared" si="10"/>
        <v>0</v>
      </c>
      <c r="R9" s="24">
        <f t="shared" si="11"/>
        <v>0</v>
      </c>
      <c r="S9" s="24">
        <f t="shared" si="12"/>
        <v>0</v>
      </c>
      <c r="U9" s="22"/>
      <c r="V9" s="22" t="s">
        <v>38</v>
      </c>
      <c r="W9" s="27">
        <v>0</v>
      </c>
      <c r="X9" s="22"/>
      <c r="Y9" s="22"/>
      <c r="Z9" s="127"/>
    </row>
    <row r="10" spans="1:26" x14ac:dyDescent="0.35">
      <c r="A10" s="15">
        <v>8</v>
      </c>
      <c r="B10" s="15">
        <f t="shared" si="5"/>
        <v>8</v>
      </c>
      <c r="C10" s="16">
        <f t="shared" si="0"/>
        <v>7.1135999999999999</v>
      </c>
      <c r="D10" s="16">
        <f t="shared" si="6"/>
        <v>2.6089051793396725</v>
      </c>
      <c r="E10" s="16">
        <f t="shared" si="1"/>
        <v>16.933363187349929</v>
      </c>
      <c r="F10" s="17">
        <f t="shared" si="7"/>
        <v>8</v>
      </c>
      <c r="G10" s="25">
        <f t="shared" si="13"/>
        <v>18</v>
      </c>
      <c r="H10" s="19">
        <f t="shared" si="2"/>
        <v>10.080000000000002</v>
      </c>
      <c r="I10" s="19">
        <f t="shared" si="3"/>
        <v>3.549848274056461</v>
      </c>
      <c r="J10" s="19">
        <f t="shared" si="4"/>
        <v>23.738652410648342</v>
      </c>
      <c r="K10" s="20">
        <f t="shared" si="8"/>
        <v>8</v>
      </c>
      <c r="L10" s="21"/>
      <c r="M10" s="21"/>
      <c r="N10" s="21"/>
      <c r="O10" s="21"/>
      <c r="P10" s="24">
        <f t="shared" si="9"/>
        <v>0</v>
      </c>
      <c r="Q10" s="24">
        <f t="shared" si="10"/>
        <v>0</v>
      </c>
      <c r="R10" s="24">
        <f t="shared" si="11"/>
        <v>0</v>
      </c>
      <c r="S10" s="24">
        <f t="shared" si="12"/>
        <v>0</v>
      </c>
      <c r="U10" s="22"/>
      <c r="V10" s="28" t="s">
        <v>39</v>
      </c>
      <c r="W10" s="29">
        <f>SUM(W6:W9)</f>
        <v>136.72089685902242</v>
      </c>
      <c r="X10" s="22"/>
      <c r="Y10" s="22"/>
      <c r="Z10" s="127"/>
    </row>
    <row r="11" spans="1:26" x14ac:dyDescent="0.35">
      <c r="A11" s="15">
        <v>9</v>
      </c>
      <c r="B11" s="15">
        <f t="shared" si="5"/>
        <v>9</v>
      </c>
      <c r="C11" s="16">
        <f t="shared" si="0"/>
        <v>8.0028000000000006</v>
      </c>
      <c r="D11" s="16">
        <f t="shared" si="6"/>
        <v>2.8950539664743791</v>
      </c>
      <c r="E11" s="16">
        <f t="shared" si="1"/>
        <v>18.980428991609543</v>
      </c>
      <c r="F11" s="17">
        <f t="shared" si="7"/>
        <v>9</v>
      </c>
      <c r="G11" s="25">
        <f t="shared" si="13"/>
        <v>24</v>
      </c>
      <c r="H11" s="19">
        <f t="shared" si="2"/>
        <v>13.440000000000001</v>
      </c>
      <c r="I11" s="19">
        <f t="shared" si="3"/>
        <v>4.5772608068055716</v>
      </c>
      <c r="J11" s="19">
        <f t="shared" si="4"/>
        <v>31.380062571853042</v>
      </c>
      <c r="K11" s="20">
        <f t="shared" si="8"/>
        <v>9</v>
      </c>
      <c r="L11" s="21"/>
      <c r="M11" s="21"/>
      <c r="N11" s="21"/>
      <c r="O11" s="21"/>
      <c r="P11" s="24">
        <f t="shared" si="9"/>
        <v>0</v>
      </c>
      <c r="Q11" s="24">
        <f t="shared" si="10"/>
        <v>0</v>
      </c>
      <c r="R11" s="24">
        <f t="shared" si="11"/>
        <v>0</v>
      </c>
      <c r="S11" s="24">
        <f t="shared" si="12"/>
        <v>0</v>
      </c>
      <c r="U11" s="22"/>
      <c r="V11" s="22" t="s">
        <v>40</v>
      </c>
      <c r="W11" s="23">
        <f>SUM(L3:L32)/1.56</f>
        <v>97.435897435897431</v>
      </c>
      <c r="X11" s="22"/>
      <c r="Y11" s="22"/>
      <c r="Z11" s="127"/>
    </row>
    <row r="12" spans="1:26" x14ac:dyDescent="0.35">
      <c r="A12" s="15">
        <v>10</v>
      </c>
      <c r="B12" s="15">
        <f t="shared" si="5"/>
        <v>10</v>
      </c>
      <c r="C12" s="16">
        <f t="shared" si="0"/>
        <v>8.8919999999999995</v>
      </c>
      <c r="D12" s="16">
        <f t="shared" si="6"/>
        <v>3.177517729464268</v>
      </c>
      <c r="E12" s="16">
        <f t="shared" si="1"/>
        <v>21.021076712150265</v>
      </c>
      <c r="F12" s="17">
        <f t="shared" si="7"/>
        <v>10</v>
      </c>
      <c r="G12" s="25">
        <f t="shared" si="13"/>
        <v>31</v>
      </c>
      <c r="H12" s="19">
        <f t="shared" si="2"/>
        <v>17.360000000000003</v>
      </c>
      <c r="I12" s="19">
        <f t="shared" si="3"/>
        <v>5.73876179254815</v>
      </c>
      <c r="J12" s="19">
        <f t="shared" si="4"/>
        <v>40.230343455354699</v>
      </c>
      <c r="K12" s="20">
        <f t="shared" si="8"/>
        <v>10</v>
      </c>
      <c r="L12" s="21"/>
      <c r="M12" s="21"/>
      <c r="N12" s="21"/>
      <c r="O12" s="21"/>
      <c r="P12" s="24">
        <f t="shared" si="9"/>
        <v>0</v>
      </c>
      <c r="Q12" s="24">
        <f t="shared" si="10"/>
        <v>0</v>
      </c>
      <c r="R12" s="24">
        <f t="shared" si="11"/>
        <v>0</v>
      </c>
      <c r="S12" s="24">
        <f t="shared" si="12"/>
        <v>0</v>
      </c>
      <c r="U12" s="22"/>
      <c r="V12" s="22" t="s">
        <v>41</v>
      </c>
      <c r="W12" s="22">
        <v>0.25</v>
      </c>
      <c r="X12" s="22"/>
      <c r="Y12" s="22"/>
      <c r="Z12" s="127"/>
    </row>
    <row r="13" spans="1:26" x14ac:dyDescent="0.35">
      <c r="A13" s="15">
        <v>11</v>
      </c>
      <c r="B13" s="15">
        <f t="shared" si="5"/>
        <v>11</v>
      </c>
      <c r="C13" s="16">
        <f t="shared" si="0"/>
        <v>9.7812000000000001</v>
      </c>
      <c r="D13" s="16">
        <f t="shared" si="6"/>
        <v>3.4567069199829903</v>
      </c>
      <c r="E13" s="16">
        <f t="shared" si="1"/>
        <v>23.056021218970372</v>
      </c>
      <c r="F13" s="17">
        <f t="shared" si="7"/>
        <v>11</v>
      </c>
      <c r="G13" s="25">
        <f t="shared" si="13"/>
        <v>39</v>
      </c>
      <c r="H13" s="19">
        <f t="shared" si="2"/>
        <v>21.840000000000003</v>
      </c>
      <c r="I13" s="19">
        <f t="shared" si="3"/>
        <v>7.0293584875852639</v>
      </c>
      <c r="J13" s="19">
        <f>(H13+I13)*0.475*44/12</f>
        <v>50.28079936587767</v>
      </c>
      <c r="K13" s="20">
        <f t="shared" si="8"/>
        <v>11</v>
      </c>
      <c r="L13" s="21"/>
      <c r="M13" s="21"/>
      <c r="N13" s="21"/>
      <c r="O13" s="21"/>
      <c r="P13" s="24">
        <f t="shared" si="9"/>
        <v>0</v>
      </c>
      <c r="Q13" s="24">
        <f t="shared" si="10"/>
        <v>0</v>
      </c>
      <c r="R13" s="24">
        <f t="shared" si="11"/>
        <v>0</v>
      </c>
      <c r="S13" s="24">
        <f t="shared" si="12"/>
        <v>0</v>
      </c>
      <c r="U13" s="22"/>
      <c r="V13" s="28" t="s">
        <v>42</v>
      </c>
      <c r="W13" s="30">
        <f>W11*W12</f>
        <v>24.358974358974358</v>
      </c>
      <c r="X13" s="22"/>
      <c r="Y13" s="22"/>
      <c r="Z13" s="127"/>
    </row>
    <row r="14" spans="1:26" x14ac:dyDescent="0.35">
      <c r="A14" s="15">
        <v>12</v>
      </c>
      <c r="B14" s="15">
        <f t="shared" si="5"/>
        <v>12</v>
      </c>
      <c r="C14" s="16">
        <f t="shared" si="0"/>
        <v>10.670400000000001</v>
      </c>
      <c r="D14" s="16">
        <f t="shared" si="6"/>
        <v>3.7329530817348471</v>
      </c>
      <c r="E14" s="16">
        <f t="shared" si="1"/>
        <v>25.085839950688193</v>
      </c>
      <c r="F14" s="17">
        <f t="shared" si="7"/>
        <v>12</v>
      </c>
      <c r="G14" s="25">
        <f t="shared" si="13"/>
        <v>48</v>
      </c>
      <c r="H14" s="19">
        <f t="shared" si="2"/>
        <v>26.880000000000003</v>
      </c>
      <c r="I14" s="19">
        <f t="shared" si="3"/>
        <v>8.4449243379775041</v>
      </c>
      <c r="J14" s="19">
        <f t="shared" si="4"/>
        <v>61.524243221977486</v>
      </c>
      <c r="K14" s="20">
        <f t="shared" si="8"/>
        <v>12</v>
      </c>
      <c r="L14" s="21"/>
      <c r="M14" s="21"/>
      <c r="N14" s="21"/>
      <c r="O14" s="21"/>
      <c r="P14" s="24">
        <f t="shared" si="9"/>
        <v>0</v>
      </c>
      <c r="Q14" s="24">
        <f t="shared" si="10"/>
        <v>0</v>
      </c>
      <c r="R14" s="24">
        <f t="shared" si="11"/>
        <v>0</v>
      </c>
      <c r="S14" s="24">
        <f t="shared" si="12"/>
        <v>0</v>
      </c>
      <c r="U14" s="22"/>
      <c r="V14" s="28" t="s">
        <v>43</v>
      </c>
      <c r="W14" s="29">
        <f>AVERAGE(S2:S32)</f>
        <v>0</v>
      </c>
      <c r="X14" s="22"/>
      <c r="Y14" s="22"/>
      <c r="Z14" s="127"/>
    </row>
    <row r="15" spans="1:26" x14ac:dyDescent="0.35">
      <c r="A15" s="15">
        <v>13</v>
      </c>
      <c r="B15" s="15">
        <f t="shared" si="5"/>
        <v>13</v>
      </c>
      <c r="C15" s="16">
        <f t="shared" si="0"/>
        <v>11.5596</v>
      </c>
      <c r="D15" s="16">
        <f t="shared" si="6"/>
        <v>4.0065293501366055</v>
      </c>
      <c r="E15" s="16">
        <f t="shared" si="1"/>
        <v>27.111008618154589</v>
      </c>
      <c r="F15" s="17">
        <f t="shared" si="7"/>
        <v>13</v>
      </c>
      <c r="G15" s="25">
        <f t="shared" si="13"/>
        <v>58</v>
      </c>
      <c r="H15" s="19">
        <f t="shared" si="2"/>
        <v>32.480000000000004</v>
      </c>
      <c r="I15" s="19">
        <f t="shared" si="3"/>
        <v>9.9819635724134752</v>
      </c>
      <c r="J15" s="19">
        <f t="shared" si="4"/>
        <v>73.954586555286809</v>
      </c>
      <c r="K15" s="20">
        <f t="shared" si="8"/>
        <v>13</v>
      </c>
      <c r="L15" s="21"/>
      <c r="M15" s="21"/>
      <c r="N15" s="21"/>
      <c r="O15" s="21"/>
      <c r="P15" s="24">
        <f t="shared" si="9"/>
        <v>0</v>
      </c>
      <c r="Q15" s="24">
        <f t="shared" si="10"/>
        <v>0</v>
      </c>
      <c r="R15" s="24">
        <f t="shared" si="11"/>
        <v>0</v>
      </c>
      <c r="S15" s="24">
        <f t="shared" si="12"/>
        <v>0</v>
      </c>
      <c r="U15" s="22"/>
      <c r="X15" s="22"/>
      <c r="Y15" s="22"/>
      <c r="Z15" s="127"/>
    </row>
    <row r="16" spans="1:26" x14ac:dyDescent="0.35">
      <c r="A16" s="15">
        <v>14</v>
      </c>
      <c r="B16" s="15">
        <f t="shared" si="5"/>
        <v>14</v>
      </c>
      <c r="C16" s="16">
        <f t="shared" si="0"/>
        <v>12.4488</v>
      </c>
      <c r="D16" s="16">
        <f t="shared" si="6"/>
        <v>4.2776644527179633</v>
      </c>
      <c r="E16" s="16">
        <f t="shared" si="1"/>
        <v>29.131925588483782</v>
      </c>
      <c r="F16" s="17">
        <f t="shared" si="7"/>
        <v>14</v>
      </c>
      <c r="G16" s="25">
        <f t="shared" si="13"/>
        <v>69</v>
      </c>
      <c r="H16" s="19">
        <f t="shared" si="2"/>
        <v>38.64</v>
      </c>
      <c r="I16" s="19">
        <f t="shared" si="3"/>
        <v>11.637456271634218</v>
      </c>
      <c r="J16" s="19">
        <f t="shared" si="4"/>
        <v>87.566569673096254</v>
      </c>
      <c r="K16" s="20">
        <f t="shared" si="8"/>
        <v>14</v>
      </c>
      <c r="L16" s="21"/>
      <c r="M16" s="31"/>
      <c r="N16" s="31"/>
      <c r="O16" s="31"/>
      <c r="P16" s="24">
        <f t="shared" si="9"/>
        <v>0</v>
      </c>
      <c r="Q16" s="24">
        <f t="shared" si="10"/>
        <v>0</v>
      </c>
      <c r="R16" s="24">
        <f t="shared" si="11"/>
        <v>0</v>
      </c>
      <c r="S16" s="24">
        <f t="shared" si="12"/>
        <v>0</v>
      </c>
      <c r="U16" s="22"/>
      <c r="V16" s="32" t="s">
        <v>44</v>
      </c>
      <c r="W16" s="29">
        <f>W10+W13+W14</f>
        <v>161.07987121799678</v>
      </c>
      <c r="X16" s="22"/>
      <c r="Y16" s="22"/>
      <c r="Z16" s="127"/>
    </row>
    <row r="17" spans="1:25" x14ac:dyDescent="0.35">
      <c r="A17" s="15">
        <v>15</v>
      </c>
      <c r="B17" s="15">
        <f t="shared" si="5"/>
        <v>15</v>
      </c>
      <c r="C17" s="16">
        <f t="shared" si="0"/>
        <v>13.337999999999999</v>
      </c>
      <c r="D17" s="16">
        <f t="shared" si="6"/>
        <v>4.5465525901071517</v>
      </c>
      <c r="E17" s="16">
        <f t="shared" si="1"/>
        <v>31.148929094436621</v>
      </c>
      <c r="F17" s="17">
        <f t="shared" si="7"/>
        <v>15</v>
      </c>
      <c r="G17" s="25">
        <v>87</v>
      </c>
      <c r="H17" s="19">
        <f t="shared" si="2"/>
        <v>48.720000000000006</v>
      </c>
      <c r="I17" s="19">
        <f t="shared" si="3"/>
        <v>14.282696808795901</v>
      </c>
      <c r="J17" s="19">
        <f t="shared" si="4"/>
        <v>109.72969694198621</v>
      </c>
      <c r="K17" s="20">
        <f t="shared" si="8"/>
        <v>15</v>
      </c>
      <c r="L17" s="21"/>
      <c r="M17" s="21"/>
      <c r="N17" s="21"/>
      <c r="O17" s="21"/>
      <c r="P17" s="24">
        <f t="shared" si="9"/>
        <v>0</v>
      </c>
      <c r="Q17" s="24">
        <f t="shared" si="10"/>
        <v>0</v>
      </c>
      <c r="R17" s="24">
        <f t="shared" si="11"/>
        <v>0</v>
      </c>
      <c r="S17" s="24">
        <f t="shared" si="12"/>
        <v>0</v>
      </c>
    </row>
    <row r="18" spans="1:25" x14ac:dyDescent="0.35">
      <c r="A18" s="15">
        <v>16</v>
      </c>
      <c r="B18" s="15">
        <f t="shared" si="5"/>
        <v>16</v>
      </c>
      <c r="C18" s="16">
        <f t="shared" si="0"/>
        <v>14.2272</v>
      </c>
      <c r="D18" s="16">
        <f t="shared" si="6"/>
        <v>4.81336060460516</v>
      </c>
      <c r="E18" s="16">
        <f t="shared" si="1"/>
        <v>33.162309719687322</v>
      </c>
      <c r="F18" s="17">
        <f t="shared" si="7"/>
        <v>16</v>
      </c>
      <c r="G18" s="25">
        <f>$G$17+(F18-$F$17)*($G$22-$G$17)/($F$22-$F$17)</f>
        <v>101.2</v>
      </c>
      <c r="H18" s="19">
        <f t="shared" si="2"/>
        <v>56.672000000000004</v>
      </c>
      <c r="I18" s="19">
        <f t="shared" si="3"/>
        <v>16.324072178465297</v>
      </c>
      <c r="J18" s="19">
        <f t="shared" si="4"/>
        <v>127.13482571082706</v>
      </c>
      <c r="K18" s="20">
        <f t="shared" si="8"/>
        <v>16</v>
      </c>
      <c r="L18" s="21"/>
      <c r="M18" s="21"/>
      <c r="N18" s="31"/>
      <c r="O18" s="31"/>
      <c r="P18" s="24">
        <f t="shared" si="9"/>
        <v>0</v>
      </c>
      <c r="Q18" s="24">
        <f t="shared" si="10"/>
        <v>0</v>
      </c>
      <c r="R18" s="24">
        <f t="shared" si="11"/>
        <v>0</v>
      </c>
      <c r="S18" s="24">
        <f t="shared" si="12"/>
        <v>0</v>
      </c>
      <c r="X18" s="22"/>
      <c r="Y18" s="22"/>
    </row>
    <row r="19" spans="1:25" x14ac:dyDescent="0.35">
      <c r="A19" s="15">
        <v>17</v>
      </c>
      <c r="B19" s="15">
        <f t="shared" si="5"/>
        <v>17</v>
      </c>
      <c r="C19" s="16">
        <f t="shared" si="0"/>
        <v>15.116400000000001</v>
      </c>
      <c r="D19" s="16">
        <f t="shared" si="6"/>
        <v>5.0782333044806913</v>
      </c>
      <c r="E19" s="16">
        <f t="shared" si="1"/>
        <v>35.172319671970541</v>
      </c>
      <c r="F19" s="17">
        <f t="shared" si="7"/>
        <v>17</v>
      </c>
      <c r="G19" s="25">
        <f t="shared" ref="G19:G21" si="14">$G$17+(F19-$F$17)*($G$22-$G$17)/($F$22-$F$17)</f>
        <v>115.4</v>
      </c>
      <c r="H19" s="19">
        <f t="shared" si="2"/>
        <v>64.624000000000009</v>
      </c>
      <c r="I19" s="19">
        <f t="shared" si="3"/>
        <v>18.33226211661211</v>
      </c>
      <c r="J19" s="19">
        <f t="shared" si="4"/>
        <v>144.48215651976611</v>
      </c>
      <c r="K19" s="20">
        <f t="shared" si="8"/>
        <v>17</v>
      </c>
      <c r="L19" s="21"/>
      <c r="M19" s="21"/>
      <c r="N19" s="21"/>
      <c r="O19" s="21"/>
      <c r="P19" s="24">
        <f t="shared" si="9"/>
        <v>0</v>
      </c>
      <c r="Q19" s="24">
        <f t="shared" si="10"/>
        <v>0</v>
      </c>
      <c r="R19" s="24">
        <f t="shared" si="11"/>
        <v>0</v>
      </c>
      <c r="S19" s="24">
        <f t="shared" si="12"/>
        <v>0</v>
      </c>
      <c r="X19" s="22"/>
      <c r="Y19" s="22"/>
    </row>
    <row r="20" spans="1:25" x14ac:dyDescent="0.35">
      <c r="A20" s="15">
        <v>18</v>
      </c>
      <c r="B20" s="15">
        <f t="shared" si="5"/>
        <v>18</v>
      </c>
      <c r="C20" s="16">
        <f t="shared" si="0"/>
        <v>16.005600000000001</v>
      </c>
      <c r="D20" s="16">
        <f t="shared" si="6"/>
        <v>5.3412974993444156</v>
      </c>
      <c r="E20" s="16">
        <f t="shared" si="1"/>
        <v>37.179179811358189</v>
      </c>
      <c r="F20" s="17">
        <f t="shared" ref="F20:F22" si="15">F19+1</f>
        <v>18</v>
      </c>
      <c r="G20" s="25">
        <f t="shared" si="14"/>
        <v>129.6</v>
      </c>
      <c r="H20" s="19">
        <f t="shared" si="2"/>
        <v>72.576000000000008</v>
      </c>
      <c r="I20" s="19">
        <f t="shared" si="3"/>
        <v>20.311817458140109</v>
      </c>
      <c r="J20" s="19">
        <f t="shared" si="4"/>
        <v>161.77961540626072</v>
      </c>
      <c r="K20" s="20">
        <f t="shared" si="8"/>
        <v>18</v>
      </c>
      <c r="L20" s="21"/>
      <c r="M20" s="31"/>
      <c r="N20" s="31"/>
      <c r="O20" s="31"/>
      <c r="P20" s="24">
        <f t="shared" si="9"/>
        <v>0</v>
      </c>
      <c r="Q20" s="24">
        <f t="shared" si="10"/>
        <v>0</v>
      </c>
      <c r="R20" s="24">
        <f t="shared" si="11"/>
        <v>0</v>
      </c>
      <c r="S20" s="24">
        <f t="shared" si="12"/>
        <v>0</v>
      </c>
      <c r="V20" s="33"/>
      <c r="W20" s="34"/>
    </row>
    <row r="21" spans="1:25" x14ac:dyDescent="0.35">
      <c r="A21" s="15">
        <v>19</v>
      </c>
      <c r="B21" s="15">
        <f t="shared" si="5"/>
        <v>19</v>
      </c>
      <c r="C21" s="16">
        <f t="shared" si="0"/>
        <v>16.894799999999996</v>
      </c>
      <c r="D21" s="16">
        <f t="shared" si="6"/>
        <v>5.6026651130643454</v>
      </c>
      <c r="E21" s="16">
        <f t="shared" si="1"/>
        <v>39.183085071920395</v>
      </c>
      <c r="F21" s="17">
        <f t="shared" si="15"/>
        <v>19</v>
      </c>
      <c r="G21" s="25">
        <f t="shared" si="14"/>
        <v>143.80000000000001</v>
      </c>
      <c r="H21" s="19">
        <f t="shared" si="2"/>
        <v>80.52800000000002</v>
      </c>
      <c r="I21" s="19">
        <f t="shared" si="3"/>
        <v>22.266233405537594</v>
      </c>
      <c r="J21" s="19">
        <f t="shared" si="4"/>
        <v>179.03328984797801</v>
      </c>
      <c r="K21" s="20">
        <f t="shared" si="8"/>
        <v>19</v>
      </c>
      <c r="L21" s="35"/>
      <c r="M21" s="36"/>
      <c r="N21" s="36"/>
      <c r="O21" s="36"/>
      <c r="P21" s="24">
        <f t="shared" si="9"/>
        <v>0</v>
      </c>
      <c r="Q21" s="24">
        <f t="shared" si="10"/>
        <v>0</v>
      </c>
      <c r="R21" s="24">
        <f t="shared" si="11"/>
        <v>0</v>
      </c>
      <c r="S21" s="24">
        <f t="shared" si="12"/>
        <v>0</v>
      </c>
      <c r="W21" s="22"/>
    </row>
    <row r="22" spans="1:25" x14ac:dyDescent="0.35">
      <c r="A22" s="15">
        <v>20</v>
      </c>
      <c r="B22" s="15">
        <f t="shared" si="5"/>
        <v>20</v>
      </c>
      <c r="C22" s="16">
        <f t="shared" si="0"/>
        <v>17.783999999999999</v>
      </c>
      <c r="D22" s="16">
        <f t="shared" si="6"/>
        <v>5.862435622634961</v>
      </c>
      <c r="E22" s="16">
        <f t="shared" si="1"/>
        <v>41.184208709422556</v>
      </c>
      <c r="F22" s="17">
        <f t="shared" si="15"/>
        <v>20</v>
      </c>
      <c r="G22" s="19">
        <f>137+21</f>
        <v>158</v>
      </c>
      <c r="H22" s="19">
        <f t="shared" si="2"/>
        <v>88.48</v>
      </c>
      <c r="I22" s="19">
        <f t="shared" si="3"/>
        <v>24.198274979354846</v>
      </c>
      <c r="J22" s="19">
        <f t="shared" si="4"/>
        <v>196.24799558904303</v>
      </c>
      <c r="K22" s="20">
        <f t="shared" si="8"/>
        <v>20</v>
      </c>
      <c r="L22" s="24">
        <f>G22-G23</f>
        <v>64</v>
      </c>
      <c r="M22" s="31">
        <v>0</v>
      </c>
      <c r="N22" s="37">
        <v>0</v>
      </c>
      <c r="O22" s="37">
        <v>0</v>
      </c>
      <c r="P22" s="24">
        <f t="shared" si="9"/>
        <v>0</v>
      </c>
      <c r="Q22" s="24">
        <f t="shared" si="10"/>
        <v>0</v>
      </c>
      <c r="R22" s="24">
        <f t="shared" si="11"/>
        <v>0</v>
      </c>
      <c r="S22" s="24">
        <f t="shared" si="12"/>
        <v>0</v>
      </c>
      <c r="W22" s="22"/>
    </row>
    <row r="23" spans="1:25" x14ac:dyDescent="0.35">
      <c r="A23" s="15">
        <v>21</v>
      </c>
      <c r="B23" s="15">
        <f t="shared" si="5"/>
        <v>21</v>
      </c>
      <c r="C23" s="16">
        <f t="shared" si="0"/>
        <v>18.673199999999998</v>
      </c>
      <c r="D23" s="16">
        <f t="shared" si="6"/>
        <v>6.120697995410775</v>
      </c>
      <c r="E23" s="16">
        <f t="shared" si="1"/>
        <v>43.182705675340429</v>
      </c>
      <c r="F23" s="17">
        <v>20</v>
      </c>
      <c r="G23" s="19">
        <v>94</v>
      </c>
      <c r="H23" s="19">
        <f t="shared" si="2"/>
        <v>52.640000000000008</v>
      </c>
      <c r="I23" s="19">
        <f t="shared" si="3"/>
        <v>15.293496110554965</v>
      </c>
      <c r="J23" s="19">
        <f t="shared" si="4"/>
        <v>118.31750572588324</v>
      </c>
      <c r="K23" s="20">
        <f t="shared" si="8"/>
        <v>21</v>
      </c>
      <c r="L23" s="38"/>
      <c r="M23" s="31"/>
      <c r="N23" s="31"/>
      <c r="O23" s="31"/>
      <c r="P23" s="24">
        <f t="shared" si="9"/>
        <v>0</v>
      </c>
      <c r="Q23" s="24">
        <f t="shared" si="10"/>
        <v>0</v>
      </c>
      <c r="R23" s="24">
        <f t="shared" si="11"/>
        <v>0</v>
      </c>
      <c r="S23" s="24">
        <f t="shared" si="12"/>
        <v>0</v>
      </c>
      <c r="W23" s="22"/>
    </row>
    <row r="24" spans="1:25" x14ac:dyDescent="0.35">
      <c r="A24" s="15">
        <v>22</v>
      </c>
      <c r="B24" s="15">
        <f t="shared" si="5"/>
        <v>22</v>
      </c>
      <c r="C24" s="16">
        <f t="shared" si="0"/>
        <v>19.5624</v>
      </c>
      <c r="D24" s="16">
        <f t="shared" si="6"/>
        <v>6.3775322468881095</v>
      </c>
      <c r="E24" s="16">
        <f t="shared" si="1"/>
        <v>45.178715329996784</v>
      </c>
      <c r="F24" s="17">
        <f t="shared" ref="F24:F33" si="16">F23+1</f>
        <v>21</v>
      </c>
      <c r="G24" s="19">
        <f>$G$23+(F24-$F$23)*($G$28-$G$23)/($F$28-$F$23)</f>
        <v>107.8</v>
      </c>
      <c r="H24" s="19">
        <f t="shared" si="2"/>
        <v>60.368000000000002</v>
      </c>
      <c r="I24" s="19">
        <f t="shared" si="3"/>
        <v>17.261277821800029</v>
      </c>
      <c r="J24" s="19">
        <f t="shared" si="4"/>
        <v>135.20432553963505</v>
      </c>
      <c r="K24" s="20">
        <f t="shared" si="8"/>
        <v>22</v>
      </c>
      <c r="L24" s="21"/>
      <c r="M24" s="21"/>
      <c r="N24" s="31"/>
      <c r="O24" s="31"/>
      <c r="P24" s="24">
        <f t="shared" si="9"/>
        <v>0</v>
      </c>
      <c r="Q24" s="24">
        <f t="shared" si="10"/>
        <v>0</v>
      </c>
      <c r="R24" s="24">
        <f t="shared" si="11"/>
        <v>0</v>
      </c>
      <c r="S24" s="24">
        <f t="shared" si="12"/>
        <v>0</v>
      </c>
      <c r="W24" s="22"/>
    </row>
    <row r="25" spans="1:25" x14ac:dyDescent="0.35">
      <c r="A25" s="15">
        <v>23</v>
      </c>
      <c r="B25" s="15">
        <f t="shared" si="5"/>
        <v>23</v>
      </c>
      <c r="C25" s="16">
        <f t="shared" si="0"/>
        <v>20.451599999999999</v>
      </c>
      <c r="D25" s="16">
        <f t="shared" si="6"/>
        <v>6.6330107072474558</v>
      </c>
      <c r="E25" s="16">
        <f t="shared" si="1"/>
        <v>47.172363648455985</v>
      </c>
      <c r="F25" s="17">
        <f t="shared" si="16"/>
        <v>22</v>
      </c>
      <c r="G25" s="19">
        <f t="shared" ref="G25:G27" si="17">$G$23+(F25-$F$23)*($G$28-$G$23)/($F$28-$F$23)</f>
        <v>121.6</v>
      </c>
      <c r="H25" s="19">
        <f t="shared" si="2"/>
        <v>68.096000000000004</v>
      </c>
      <c r="I25" s="19">
        <f t="shared" si="3"/>
        <v>19.199871069347427</v>
      </c>
      <c r="J25" s="19">
        <f t="shared" si="4"/>
        <v>152.04030877911342</v>
      </c>
      <c r="K25" s="20">
        <f t="shared" si="8"/>
        <v>23</v>
      </c>
      <c r="L25" s="21"/>
      <c r="M25" s="31"/>
      <c r="N25" s="31"/>
      <c r="O25" s="37"/>
      <c r="P25" s="24">
        <f t="shared" si="9"/>
        <v>0</v>
      </c>
      <c r="Q25" s="24">
        <f t="shared" si="10"/>
        <v>0</v>
      </c>
      <c r="R25" s="24">
        <f t="shared" si="11"/>
        <v>0</v>
      </c>
      <c r="S25" s="24">
        <f t="shared" si="12"/>
        <v>0</v>
      </c>
      <c r="W25" s="22"/>
    </row>
    <row r="26" spans="1:25" x14ac:dyDescent="0.35">
      <c r="A26" s="15">
        <v>24</v>
      </c>
      <c r="B26" s="15">
        <f t="shared" si="5"/>
        <v>24</v>
      </c>
      <c r="C26" s="16">
        <f t="shared" si="0"/>
        <v>21.340800000000002</v>
      </c>
      <c r="D26" s="16">
        <f t="shared" si="6"/>
        <v>6.8871990614123195</v>
      </c>
      <c r="E26" s="16">
        <f t="shared" si="1"/>
        <v>49.163765031959791</v>
      </c>
      <c r="F26" s="17">
        <f t="shared" si="16"/>
        <v>23</v>
      </c>
      <c r="G26" s="19">
        <f t="shared" si="17"/>
        <v>135.4</v>
      </c>
      <c r="H26" s="19">
        <f t="shared" si="2"/>
        <v>75.824000000000012</v>
      </c>
      <c r="I26" s="19">
        <f t="shared" si="3"/>
        <v>21.11296643895113</v>
      </c>
      <c r="J26" s="19">
        <f t="shared" si="4"/>
        <v>168.83188321450658</v>
      </c>
      <c r="K26" s="20">
        <f t="shared" si="8"/>
        <v>24</v>
      </c>
      <c r="L26" s="39"/>
      <c r="M26" s="40"/>
      <c r="N26" s="31"/>
      <c r="O26" s="31"/>
      <c r="P26" s="24">
        <f t="shared" si="9"/>
        <v>0</v>
      </c>
      <c r="Q26" s="24">
        <f t="shared" si="10"/>
        <v>0</v>
      </c>
      <c r="R26" s="24">
        <f t="shared" si="11"/>
        <v>0</v>
      </c>
      <c r="S26" s="24">
        <f t="shared" si="12"/>
        <v>0</v>
      </c>
      <c r="W26" s="22"/>
    </row>
    <row r="27" spans="1:25" x14ac:dyDescent="0.35">
      <c r="A27" s="15">
        <v>25</v>
      </c>
      <c r="B27" s="15">
        <f t="shared" si="5"/>
        <v>25</v>
      </c>
      <c r="C27" s="16">
        <f t="shared" si="0"/>
        <v>22.229999999999997</v>
      </c>
      <c r="D27" s="16">
        <f t="shared" si="6"/>
        <v>7.140157210880437</v>
      </c>
      <c r="E27" s="16">
        <f t="shared" si="1"/>
        <v>51.153023808950088</v>
      </c>
      <c r="F27" s="17">
        <f t="shared" si="16"/>
        <v>24</v>
      </c>
      <c r="G27" s="19">
        <f t="shared" si="17"/>
        <v>149.19999999999999</v>
      </c>
      <c r="H27" s="19">
        <f t="shared" si="2"/>
        <v>83.552000000000007</v>
      </c>
      <c r="I27" s="19">
        <f t="shared" si="3"/>
        <v>23.003458599323775</v>
      </c>
      <c r="J27" s="19">
        <f t="shared" si="4"/>
        <v>185.58409039382227</v>
      </c>
      <c r="K27" s="20">
        <f t="shared" si="8"/>
        <v>25</v>
      </c>
      <c r="L27" s="41"/>
      <c r="M27" s="42"/>
      <c r="N27" s="42"/>
      <c r="O27" s="42"/>
      <c r="P27" s="24">
        <f t="shared" si="9"/>
        <v>0</v>
      </c>
      <c r="Q27" s="24">
        <f t="shared" si="10"/>
        <v>0</v>
      </c>
      <c r="R27" s="24">
        <f t="shared" si="11"/>
        <v>0</v>
      </c>
      <c r="S27" s="24">
        <f t="shared" si="12"/>
        <v>0</v>
      </c>
      <c r="W27" s="22"/>
    </row>
    <row r="28" spans="1:25" x14ac:dyDescent="0.35">
      <c r="A28" s="15">
        <v>26</v>
      </c>
      <c r="B28" s="15">
        <f t="shared" si="5"/>
        <v>26</v>
      </c>
      <c r="C28" s="16">
        <f t="shared" si="0"/>
        <v>23.119199999999999</v>
      </c>
      <c r="D28" s="16">
        <f t="shared" si="6"/>
        <v>7.3919399937804329</v>
      </c>
      <c r="E28" s="16">
        <f t="shared" si="1"/>
        <v>53.140235489167587</v>
      </c>
      <c r="F28" s="17">
        <f t="shared" si="16"/>
        <v>25</v>
      </c>
      <c r="G28" s="19">
        <v>163</v>
      </c>
      <c r="H28" s="19">
        <f t="shared" si="2"/>
        <v>91.280000000000015</v>
      </c>
      <c r="I28" s="19">
        <f t="shared" si="3"/>
        <v>24.873675988307212</v>
      </c>
      <c r="J28" s="19">
        <f t="shared" si="4"/>
        <v>202.30098567963509</v>
      </c>
      <c r="K28" s="20">
        <f t="shared" si="8"/>
        <v>26</v>
      </c>
      <c r="L28" s="39"/>
      <c r="M28" s="39"/>
      <c r="N28" s="31"/>
      <c r="O28" s="31"/>
      <c r="P28" s="24">
        <f t="shared" si="9"/>
        <v>0</v>
      </c>
      <c r="Q28" s="24">
        <f t="shared" si="10"/>
        <v>0</v>
      </c>
      <c r="R28" s="24">
        <f t="shared" si="11"/>
        <v>0</v>
      </c>
      <c r="S28" s="24">
        <f t="shared" si="12"/>
        <v>0</v>
      </c>
      <c r="W28" s="22"/>
    </row>
    <row r="29" spans="1:25" x14ac:dyDescent="0.35">
      <c r="A29" s="15">
        <v>27</v>
      </c>
      <c r="B29" s="15">
        <f t="shared" si="5"/>
        <v>27</v>
      </c>
      <c r="C29" s="16">
        <f t="shared" si="0"/>
        <v>24.008399999999998</v>
      </c>
      <c r="D29" s="16">
        <f t="shared" si="6"/>
        <v>7.6425977910346958</v>
      </c>
      <c r="E29" s="16">
        <f t="shared" si="1"/>
        <v>55.125487819385427</v>
      </c>
      <c r="F29" s="17">
        <f t="shared" si="16"/>
        <v>26</v>
      </c>
      <c r="G29" s="19">
        <f>$G$28+(F29-$F$28)*($G$33-$G$28)/($F$33-$F$28)</f>
        <v>176</v>
      </c>
      <c r="H29" s="19">
        <f t="shared" si="2"/>
        <v>98.56</v>
      </c>
      <c r="I29" s="19">
        <f t="shared" si="3"/>
        <v>26.618648341080334</v>
      </c>
      <c r="J29" s="19">
        <f t="shared" si="4"/>
        <v>218.01947919404824</v>
      </c>
      <c r="K29" s="20">
        <f t="shared" si="8"/>
        <v>27</v>
      </c>
      <c r="L29" s="39"/>
      <c r="M29" s="40"/>
      <c r="N29" s="31"/>
      <c r="O29" s="31"/>
      <c r="P29" s="24">
        <f t="shared" si="9"/>
        <v>0</v>
      </c>
      <c r="Q29" s="24">
        <f t="shared" si="10"/>
        <v>0</v>
      </c>
      <c r="R29" s="24">
        <f t="shared" si="11"/>
        <v>0</v>
      </c>
      <c r="S29" s="24">
        <f t="shared" si="12"/>
        <v>0</v>
      </c>
      <c r="W29" s="22"/>
    </row>
    <row r="30" spans="1:25" x14ac:dyDescent="0.35">
      <c r="A30" s="15">
        <v>28</v>
      </c>
      <c r="B30" s="15">
        <f t="shared" si="5"/>
        <v>28</v>
      </c>
      <c r="C30" s="16">
        <f t="shared" si="0"/>
        <v>24.897600000000001</v>
      </c>
      <c r="D30" s="16">
        <f t="shared" si="6"/>
        <v>7.8921770401958238</v>
      </c>
      <c r="E30" s="16">
        <f t="shared" si="1"/>
        <v>57.10886167834105</v>
      </c>
      <c r="F30" s="17">
        <f t="shared" si="16"/>
        <v>27</v>
      </c>
      <c r="G30" s="19">
        <f t="shared" ref="G30:G32" si="18">$G$28+(F30-$F$28)*($G$33-$G$28)/($F$33-$F$28)</f>
        <v>189</v>
      </c>
      <c r="H30" s="19">
        <f t="shared" si="2"/>
        <v>105.84</v>
      </c>
      <c r="I30" s="19">
        <f t="shared" si="3"/>
        <v>28.34866786274176</v>
      </c>
      <c r="J30" s="19">
        <f t="shared" si="4"/>
        <v>233.71192986094192</v>
      </c>
      <c r="K30" s="20">
        <f t="shared" si="8"/>
        <v>28</v>
      </c>
      <c r="L30" s="43"/>
      <c r="M30" s="40"/>
      <c r="N30" s="31"/>
      <c r="O30" s="31"/>
      <c r="P30" s="24">
        <f t="shared" si="9"/>
        <v>0</v>
      </c>
      <c r="Q30" s="24">
        <f t="shared" si="10"/>
        <v>0</v>
      </c>
      <c r="R30" s="24">
        <f t="shared" si="11"/>
        <v>0</v>
      </c>
      <c r="S30" s="24">
        <f t="shared" si="12"/>
        <v>0</v>
      </c>
      <c r="W30" s="22"/>
    </row>
    <row r="31" spans="1:25" x14ac:dyDescent="0.35">
      <c r="A31" s="15">
        <v>29</v>
      </c>
      <c r="B31" s="15">
        <f t="shared" si="5"/>
        <v>29</v>
      </c>
      <c r="C31" s="16">
        <f t="shared" si="0"/>
        <v>25.786799999999996</v>
      </c>
      <c r="D31" s="16">
        <f t="shared" si="6"/>
        <v>8.1407206738151334</v>
      </c>
      <c r="E31" s="16">
        <f t="shared" si="1"/>
        <v>59.090431840228007</v>
      </c>
      <c r="F31" s="17">
        <f t="shared" si="16"/>
        <v>28</v>
      </c>
      <c r="G31" s="19">
        <f t="shared" si="18"/>
        <v>202</v>
      </c>
      <c r="H31" s="19">
        <f t="shared" si="2"/>
        <v>113.12</v>
      </c>
      <c r="I31" s="19">
        <f t="shared" si="3"/>
        <v>30.064880056723688</v>
      </c>
      <c r="J31" s="19">
        <f t="shared" si="4"/>
        <v>249.38033276546039</v>
      </c>
      <c r="K31" s="20">
        <f t="shared" si="8"/>
        <v>29</v>
      </c>
      <c r="L31" s="39"/>
      <c r="M31" s="40"/>
      <c r="N31" s="31"/>
      <c r="O31" s="31"/>
      <c r="P31" s="24">
        <f t="shared" si="9"/>
        <v>0</v>
      </c>
      <c r="Q31" s="24">
        <f t="shared" si="10"/>
        <v>0</v>
      </c>
      <c r="R31" s="24">
        <f t="shared" si="11"/>
        <v>0</v>
      </c>
      <c r="S31" s="24">
        <f t="shared" si="12"/>
        <v>0</v>
      </c>
      <c r="W31" s="22"/>
    </row>
    <row r="32" spans="1:25" x14ac:dyDescent="0.35">
      <c r="A32" s="15">
        <v>30</v>
      </c>
      <c r="B32" s="15">
        <f t="shared" si="5"/>
        <v>30</v>
      </c>
      <c r="C32" s="16">
        <f t="shared" si="0"/>
        <v>26.675999999999998</v>
      </c>
      <c r="D32" s="16">
        <f t="shared" si="6"/>
        <v>8.388268495647786</v>
      </c>
      <c r="E32" s="16">
        <f t="shared" si="1"/>
        <v>61.07026762991989</v>
      </c>
      <c r="F32" s="17">
        <f t="shared" si="16"/>
        <v>29</v>
      </c>
      <c r="G32" s="19">
        <f t="shared" si="18"/>
        <v>215</v>
      </c>
      <c r="H32" s="19">
        <f t="shared" si="2"/>
        <v>120.4</v>
      </c>
      <c r="I32" s="19">
        <f t="shared" si="3"/>
        <v>31.768274648862857</v>
      </c>
      <c r="J32" s="19">
        <f t="shared" si="4"/>
        <v>265.02641168010274</v>
      </c>
      <c r="K32" s="20">
        <f t="shared" si="8"/>
        <v>30</v>
      </c>
      <c r="L32" s="57">
        <f>G33-G34</f>
        <v>88</v>
      </c>
      <c r="M32" s="40">
        <v>0</v>
      </c>
      <c r="N32" s="31">
        <v>0</v>
      </c>
      <c r="O32" s="31">
        <v>0</v>
      </c>
      <c r="P32" s="24">
        <f t="shared" si="9"/>
        <v>0</v>
      </c>
      <c r="Q32" s="24">
        <f t="shared" si="10"/>
        <v>0</v>
      </c>
      <c r="R32" s="24">
        <f t="shared" si="11"/>
        <v>0</v>
      </c>
      <c r="S32" s="24">
        <f t="shared" si="12"/>
        <v>0</v>
      </c>
      <c r="W32" s="22"/>
    </row>
    <row r="33" spans="1:25" x14ac:dyDescent="0.35">
      <c r="A33" s="15">
        <v>31</v>
      </c>
      <c r="B33" s="15">
        <f t="shared" si="5"/>
        <v>31</v>
      </c>
      <c r="C33" s="16">
        <f t="shared" si="0"/>
        <v>27.565199999999997</v>
      </c>
      <c r="D33" s="16">
        <f t="shared" si="6"/>
        <v>8.6348575052881742</v>
      </c>
      <c r="E33" s="16">
        <f t="shared" si="1"/>
        <v>63.048433488376901</v>
      </c>
      <c r="F33" s="17">
        <f t="shared" si="16"/>
        <v>30</v>
      </c>
      <c r="G33" s="19">
        <f>184+44</f>
        <v>228</v>
      </c>
      <c r="H33" s="19">
        <f t="shared" si="2"/>
        <v>127.68</v>
      </c>
      <c r="I33" s="19">
        <f t="shared" si="3"/>
        <v>33.459714914652182</v>
      </c>
      <c r="J33" s="19">
        <f t="shared" si="4"/>
        <v>280.6516701430192</v>
      </c>
      <c r="K33" s="20">
        <f t="shared" si="8"/>
        <v>31</v>
      </c>
      <c r="L33" s="39"/>
      <c r="M33" s="40"/>
      <c r="N33" s="31"/>
      <c r="O33" s="31"/>
      <c r="P33" s="24">
        <f t="shared" si="9"/>
        <v>0</v>
      </c>
      <c r="Q33" s="24">
        <f t="shared" si="10"/>
        <v>0</v>
      </c>
      <c r="R33" s="24">
        <f t="shared" si="11"/>
        <v>0</v>
      </c>
      <c r="S33" s="24">
        <f t="shared" si="12"/>
        <v>0</v>
      </c>
      <c r="W33" s="22"/>
    </row>
    <row r="34" spans="1:25" x14ac:dyDescent="0.35">
      <c r="A34" s="15">
        <v>32</v>
      </c>
      <c r="B34" s="15">
        <f t="shared" si="5"/>
        <v>32</v>
      </c>
      <c r="C34" s="16">
        <f t="shared" si="0"/>
        <v>28.4544</v>
      </c>
      <c r="D34" s="16">
        <f t="shared" si="6"/>
        <v>8.8805221797401614</v>
      </c>
      <c r="E34" s="16">
        <f t="shared" si="1"/>
        <v>65.024989463047447</v>
      </c>
      <c r="F34" s="17">
        <v>30</v>
      </c>
      <c r="G34" s="19">
        <v>140</v>
      </c>
      <c r="H34" s="19">
        <f t="shared" si="2"/>
        <v>78.400000000000006</v>
      </c>
      <c r="I34" s="19">
        <f t="shared" si="3"/>
        <v>21.745517018799472</v>
      </c>
      <c r="J34" s="19">
        <f t="shared" si="4"/>
        <v>174.42010880774242</v>
      </c>
      <c r="K34" s="20">
        <f t="shared" si="8"/>
        <v>32</v>
      </c>
      <c r="L34" s="36"/>
      <c r="M34" s="42"/>
      <c r="N34" s="42"/>
      <c r="O34" s="42"/>
      <c r="P34" s="24">
        <f t="shared" si="9"/>
        <v>0</v>
      </c>
      <c r="Q34" s="24">
        <f t="shared" si="10"/>
        <v>0</v>
      </c>
      <c r="R34" s="24">
        <f t="shared" si="11"/>
        <v>0</v>
      </c>
      <c r="S34" s="24">
        <f t="shared" si="12"/>
        <v>0</v>
      </c>
      <c r="W34" s="22"/>
    </row>
    <row r="35" spans="1:25" x14ac:dyDescent="0.35">
      <c r="A35" s="15">
        <v>33</v>
      </c>
      <c r="B35" s="15">
        <f t="shared" si="5"/>
        <v>33</v>
      </c>
      <c r="C35" s="16">
        <f t="shared" si="0"/>
        <v>29.343599999999999</v>
      </c>
      <c r="D35" s="16">
        <f t="shared" si="6"/>
        <v>9.1252947188023139</v>
      </c>
      <c r="E35" s="16">
        <f t="shared" si="1"/>
        <v>66.999991635247355</v>
      </c>
      <c r="F35" s="17">
        <f t="shared" ref="F35:F44" si="19">F34+1</f>
        <v>31</v>
      </c>
      <c r="G35" s="19">
        <f>$G$34+(F35-$F$34)*($G$39-$G$34)/($F$39-$F$34)</f>
        <v>152.19999999999999</v>
      </c>
      <c r="H35" s="19">
        <f t="shared" si="2"/>
        <v>85.231999999999999</v>
      </c>
      <c r="I35" s="19">
        <f t="shared" si="3"/>
        <v>23.411680703359245</v>
      </c>
      <c r="J35" s="19">
        <f t="shared" si="4"/>
        <v>189.22107722501735</v>
      </c>
      <c r="K35" s="20">
        <f t="shared" si="8"/>
        <v>33</v>
      </c>
      <c r="L35" s="39"/>
      <c r="M35" s="40"/>
      <c r="N35" s="31"/>
      <c r="O35" s="31"/>
      <c r="P35" s="24">
        <f t="shared" si="9"/>
        <v>0</v>
      </c>
      <c r="Q35" s="24">
        <f t="shared" si="10"/>
        <v>0</v>
      </c>
      <c r="R35" s="24">
        <f t="shared" si="11"/>
        <v>0</v>
      </c>
      <c r="S35" s="24">
        <f t="shared" si="12"/>
        <v>0</v>
      </c>
      <c r="W35" s="22"/>
      <c r="X35" s="22"/>
      <c r="Y35" s="22"/>
    </row>
    <row r="36" spans="1:25" x14ac:dyDescent="0.35">
      <c r="A36" s="15">
        <v>34</v>
      </c>
      <c r="B36" s="15">
        <f t="shared" si="5"/>
        <v>34</v>
      </c>
      <c r="C36" s="16">
        <f t="shared" si="0"/>
        <v>30.232800000000001</v>
      </c>
      <c r="D36" s="16">
        <f t="shared" si="6"/>
        <v>9.3692052598737945</v>
      </c>
      <c r="E36" s="16">
        <f t="shared" si="1"/>
        <v>68.97349249428018</v>
      </c>
      <c r="F36" s="17">
        <f t="shared" si="19"/>
        <v>32</v>
      </c>
      <c r="G36" s="19">
        <f t="shared" ref="G36:G38" si="20">$G$34+(F36-$F$34)*($G$39-$G$34)/($F$39-$F$34)</f>
        <v>164.4</v>
      </c>
      <c r="H36" s="19">
        <f t="shared" si="2"/>
        <v>92.064000000000007</v>
      </c>
      <c r="I36" s="19">
        <f t="shared" si="3"/>
        <v>25.062353288879756</v>
      </c>
      <c r="J36" s="19">
        <f t="shared" si="4"/>
        <v>203.99506531146554</v>
      </c>
      <c r="K36" s="20">
        <f t="shared" si="8"/>
        <v>34</v>
      </c>
      <c r="L36" s="39"/>
      <c r="M36" s="39"/>
      <c r="N36" s="21"/>
      <c r="O36" s="21"/>
      <c r="P36" s="24">
        <f t="shared" si="9"/>
        <v>0</v>
      </c>
      <c r="Q36" s="24">
        <f t="shared" si="10"/>
        <v>0</v>
      </c>
      <c r="R36" s="24">
        <f t="shared" si="11"/>
        <v>0</v>
      </c>
      <c r="S36" s="24">
        <f t="shared" si="12"/>
        <v>0</v>
      </c>
      <c r="W36" s="22"/>
      <c r="X36" s="22"/>
      <c r="Y36" s="22"/>
    </row>
    <row r="37" spans="1:25" x14ac:dyDescent="0.35">
      <c r="A37" s="15">
        <v>35</v>
      </c>
      <c r="B37" s="15">
        <f t="shared" si="5"/>
        <v>35</v>
      </c>
      <c r="C37" s="16">
        <f t="shared" si="0"/>
        <v>31.122</v>
      </c>
      <c r="D37" s="16">
        <f t="shared" si="6"/>
        <v>9.6122820667788016</v>
      </c>
      <c r="E37" s="16">
        <f t="shared" si="1"/>
        <v>70.945541266306407</v>
      </c>
      <c r="F37" s="17">
        <f t="shared" si="19"/>
        <v>33</v>
      </c>
      <c r="G37" s="19">
        <f t="shared" si="20"/>
        <v>176.6</v>
      </c>
      <c r="H37" s="19">
        <f t="shared" si="2"/>
        <v>98.896000000000001</v>
      </c>
      <c r="I37" s="19">
        <f t="shared" si="3"/>
        <v>26.698815080698978</v>
      </c>
      <c r="J37" s="19">
        <f t="shared" si="4"/>
        <v>218.74430293221735</v>
      </c>
      <c r="K37" s="20">
        <f t="shared" si="8"/>
        <v>35</v>
      </c>
      <c r="L37" s="43"/>
      <c r="M37" s="39"/>
      <c r="N37" s="21"/>
      <c r="O37" s="21"/>
      <c r="P37" s="24">
        <f t="shared" si="9"/>
        <v>0</v>
      </c>
      <c r="Q37" s="24">
        <f t="shared" si="10"/>
        <v>0</v>
      </c>
      <c r="R37" s="24">
        <f t="shared" si="11"/>
        <v>0</v>
      </c>
      <c r="S37" s="24">
        <f t="shared" si="12"/>
        <v>0</v>
      </c>
      <c r="W37" s="22"/>
      <c r="X37" s="22"/>
      <c r="Y37" s="22"/>
    </row>
    <row r="38" spans="1:25" x14ac:dyDescent="0.35">
      <c r="A38" s="15">
        <v>36</v>
      </c>
      <c r="B38" s="15">
        <f t="shared" si="5"/>
        <v>36</v>
      </c>
      <c r="C38" s="16">
        <f t="shared" si="0"/>
        <v>32.011200000000002</v>
      </c>
      <c r="D38" s="16">
        <f t="shared" si="6"/>
        <v>9.8545516964045792</v>
      </c>
      <c r="E38" s="16">
        <f t="shared" si="1"/>
        <v>72.916184204571309</v>
      </c>
      <c r="F38" s="17">
        <f t="shared" si="19"/>
        <v>34</v>
      </c>
      <c r="G38" s="19">
        <f t="shared" si="20"/>
        <v>188.8</v>
      </c>
      <c r="H38" s="19">
        <f t="shared" si="2"/>
        <v>105.72800000000002</v>
      </c>
      <c r="I38" s="19">
        <f t="shared" si="3"/>
        <v>28.322159475202664</v>
      </c>
      <c r="J38" s="19">
        <f t="shared" si="4"/>
        <v>233.47069441931134</v>
      </c>
      <c r="K38" s="20">
        <f t="shared" si="8"/>
        <v>36</v>
      </c>
      <c r="L38" s="39"/>
      <c r="M38" s="40"/>
      <c r="N38" s="31"/>
      <c r="O38" s="31"/>
      <c r="P38" s="24">
        <f t="shared" si="9"/>
        <v>0</v>
      </c>
      <c r="Q38" s="24">
        <f t="shared" si="10"/>
        <v>0</v>
      </c>
      <c r="R38" s="24">
        <f t="shared" si="11"/>
        <v>0</v>
      </c>
      <c r="S38" s="24">
        <f t="shared" si="12"/>
        <v>0</v>
      </c>
      <c r="W38" s="22"/>
      <c r="X38" s="22"/>
      <c r="Y38" s="22"/>
    </row>
    <row r="39" spans="1:25" x14ac:dyDescent="0.35">
      <c r="A39" s="15">
        <v>37</v>
      </c>
      <c r="B39" s="15">
        <f t="shared" si="5"/>
        <v>37</v>
      </c>
      <c r="C39" s="16">
        <f t="shared" si="0"/>
        <v>32.900399999999998</v>
      </c>
      <c r="D39" s="16">
        <f t="shared" si="6"/>
        <v>10.096039146303504</v>
      </c>
      <c r="E39" s="16">
        <f t="shared" si="1"/>
        <v>74.885464846478598</v>
      </c>
      <c r="F39" s="17">
        <f t="shared" si="19"/>
        <v>35</v>
      </c>
      <c r="G39" s="19">
        <v>201</v>
      </c>
      <c r="H39" s="19">
        <f t="shared" si="2"/>
        <v>112.56000000000002</v>
      </c>
      <c r="I39" s="19">
        <f t="shared" si="3"/>
        <v>29.933330570949426</v>
      </c>
      <c r="J39" s="19">
        <f t="shared" si="4"/>
        <v>248.17588407773692</v>
      </c>
      <c r="K39" s="20">
        <f t="shared" si="8"/>
        <v>37</v>
      </c>
      <c r="L39" s="39"/>
      <c r="M39" s="39"/>
      <c r="N39" s="21"/>
      <c r="O39" s="21"/>
      <c r="P39" s="24">
        <f t="shared" si="9"/>
        <v>0</v>
      </c>
      <c r="Q39" s="24">
        <f t="shared" si="10"/>
        <v>0</v>
      </c>
      <c r="R39" s="24">
        <f t="shared" si="11"/>
        <v>0</v>
      </c>
      <c r="S39" s="24">
        <f t="shared" si="12"/>
        <v>0</v>
      </c>
      <c r="W39" s="22"/>
      <c r="X39" s="22"/>
      <c r="Y39" s="22"/>
    </row>
    <row r="40" spans="1:25" x14ac:dyDescent="0.35">
      <c r="A40" s="15">
        <v>38</v>
      </c>
      <c r="B40" s="15">
        <f t="shared" si="5"/>
        <v>38</v>
      </c>
      <c r="C40" s="16">
        <f t="shared" si="0"/>
        <v>33.789599999999993</v>
      </c>
      <c r="D40" s="16">
        <f t="shared" si="6"/>
        <v>10.336767985889495</v>
      </c>
      <c r="E40" s="16">
        <f t="shared" si="1"/>
        <v>76.853424242090853</v>
      </c>
      <c r="F40" s="17">
        <f t="shared" si="19"/>
        <v>36</v>
      </c>
      <c r="G40" s="19">
        <f>$G$39+(F40-$F$39)*($G$44-$G$39)/($F$44-$F$39)</f>
        <v>211.8</v>
      </c>
      <c r="H40" s="19">
        <f t="shared" si="2"/>
        <v>118.60800000000002</v>
      </c>
      <c r="I40" s="19">
        <f t="shared" si="3"/>
        <v>31.350118016112177</v>
      </c>
      <c r="J40" s="19">
        <f t="shared" si="4"/>
        <v>261.17705554472872</v>
      </c>
      <c r="K40" s="20">
        <f t="shared" si="8"/>
        <v>38</v>
      </c>
      <c r="L40" s="39"/>
      <c r="M40" s="39"/>
      <c r="N40" s="21"/>
      <c r="O40" s="21"/>
      <c r="P40" s="24">
        <f t="shared" si="9"/>
        <v>0</v>
      </c>
      <c r="Q40" s="24">
        <f t="shared" si="10"/>
        <v>0</v>
      </c>
      <c r="R40" s="24">
        <f t="shared" si="11"/>
        <v>0</v>
      </c>
      <c r="S40" s="24">
        <f t="shared" si="12"/>
        <v>0</v>
      </c>
      <c r="W40" s="22"/>
      <c r="X40" s="22"/>
      <c r="Y40" s="22"/>
    </row>
    <row r="41" spans="1:25" x14ac:dyDescent="0.35">
      <c r="A41" s="15">
        <v>39</v>
      </c>
      <c r="B41" s="15">
        <f t="shared" si="5"/>
        <v>39</v>
      </c>
      <c r="C41" s="16">
        <f t="shared" si="0"/>
        <v>34.678799999999995</v>
      </c>
      <c r="D41" s="16">
        <f t="shared" si="6"/>
        <v>10.576760473435781</v>
      </c>
      <c r="E41" s="16">
        <f t="shared" si="1"/>
        <v>78.820101157900638</v>
      </c>
      <c r="F41" s="17">
        <f t="shared" si="19"/>
        <v>37</v>
      </c>
      <c r="G41" s="19">
        <f t="shared" ref="G41:G43" si="21">$G$39+(F41-$F$39)*($G$44-$G$39)/($F$44-$F$39)</f>
        <v>222.6</v>
      </c>
      <c r="H41" s="19">
        <f t="shared" si="2"/>
        <v>124.65600000000001</v>
      </c>
      <c r="I41" s="19">
        <f t="shared" si="3"/>
        <v>32.758517314968422</v>
      </c>
      <c r="J41" s="19">
        <f t="shared" si="4"/>
        <v>274.16361765690334</v>
      </c>
      <c r="K41" s="20">
        <f t="shared" si="8"/>
        <v>39</v>
      </c>
      <c r="L41" s="36"/>
      <c r="M41" s="42"/>
      <c r="N41" s="42"/>
      <c r="O41" s="42"/>
      <c r="P41" s="24">
        <f t="shared" si="9"/>
        <v>0</v>
      </c>
      <c r="Q41" s="24">
        <f t="shared" si="10"/>
        <v>0</v>
      </c>
      <c r="R41" s="24">
        <f t="shared" si="11"/>
        <v>0</v>
      </c>
      <c r="S41" s="24">
        <f t="shared" si="12"/>
        <v>0</v>
      </c>
      <c r="W41" s="22"/>
      <c r="X41" s="22"/>
      <c r="Y41" s="22"/>
    </row>
    <row r="42" spans="1:25" x14ac:dyDescent="0.35">
      <c r="A42" s="15">
        <v>40</v>
      </c>
      <c r="B42" s="15">
        <f t="shared" si="5"/>
        <v>40</v>
      </c>
      <c r="C42" s="16">
        <f t="shared" si="0"/>
        <v>35.567999999999998</v>
      </c>
      <c r="D42" s="16">
        <f t="shared" si="6"/>
        <v>10.816037660735208</v>
      </c>
      <c r="E42" s="16">
        <f t="shared" si="1"/>
        <v>80.785532259113808</v>
      </c>
      <c r="F42" s="17">
        <f t="shared" si="19"/>
        <v>38</v>
      </c>
      <c r="G42" s="19">
        <f t="shared" si="21"/>
        <v>233.4</v>
      </c>
      <c r="H42" s="19">
        <f t="shared" si="2"/>
        <v>130.70400000000001</v>
      </c>
      <c r="I42" s="19">
        <f t="shared" si="3"/>
        <v>34.158981894673722</v>
      </c>
      <c r="J42" s="19">
        <f t="shared" si="4"/>
        <v>287.13636013322338</v>
      </c>
      <c r="K42" s="20">
        <f t="shared" si="8"/>
        <v>40</v>
      </c>
      <c r="L42" s="39"/>
      <c r="M42" s="39"/>
      <c r="N42" s="21"/>
      <c r="O42" s="21"/>
      <c r="P42" s="24">
        <f t="shared" si="9"/>
        <v>0</v>
      </c>
      <c r="Q42" s="24">
        <f t="shared" si="10"/>
        <v>0</v>
      </c>
      <c r="R42" s="24">
        <f t="shared" si="11"/>
        <v>0</v>
      </c>
      <c r="S42" s="24">
        <f t="shared" si="12"/>
        <v>0</v>
      </c>
      <c r="W42" s="22"/>
      <c r="X42" s="22"/>
      <c r="Y42" s="22"/>
    </row>
    <row r="43" spans="1:25" x14ac:dyDescent="0.35">
      <c r="A43" s="15">
        <v>41</v>
      </c>
      <c r="B43" s="15">
        <f t="shared" si="5"/>
        <v>41</v>
      </c>
      <c r="C43" s="16">
        <f t="shared" si="0"/>
        <v>36.4572</v>
      </c>
      <c r="D43" s="16">
        <f t="shared" si="6"/>
        <v>11.054619486999963</v>
      </c>
      <c r="E43" s="16">
        <f t="shared" si="1"/>
        <v>82.749752273191604</v>
      </c>
      <c r="F43" s="17">
        <f t="shared" si="19"/>
        <v>39</v>
      </c>
      <c r="G43" s="19">
        <f t="shared" si="21"/>
        <v>244.2</v>
      </c>
      <c r="H43" s="19">
        <f t="shared" si="2"/>
        <v>136.75200000000001</v>
      </c>
      <c r="I43" s="19">
        <f t="shared" si="3"/>
        <v>35.551920848349972</v>
      </c>
      <c r="J43" s="19">
        <f t="shared" si="4"/>
        <v>300.09599547754289</v>
      </c>
      <c r="K43" s="20">
        <f t="shared" si="8"/>
        <v>41</v>
      </c>
      <c r="L43" s="39"/>
      <c r="M43" s="39"/>
      <c r="N43" s="21"/>
      <c r="O43" s="21"/>
      <c r="P43" s="24">
        <f t="shared" si="9"/>
        <v>0</v>
      </c>
      <c r="Q43" s="24">
        <f t="shared" si="10"/>
        <v>0</v>
      </c>
      <c r="R43" s="24">
        <f t="shared" si="11"/>
        <v>0</v>
      </c>
      <c r="S43" s="24">
        <f t="shared" si="12"/>
        <v>0</v>
      </c>
      <c r="W43" s="22"/>
      <c r="X43" s="22"/>
      <c r="Y43" s="22"/>
    </row>
    <row r="44" spans="1:25" x14ac:dyDescent="0.35">
      <c r="A44" s="15">
        <v>42</v>
      </c>
      <c r="B44" s="15">
        <f t="shared" si="5"/>
        <v>42</v>
      </c>
      <c r="C44" s="16">
        <f t="shared" si="0"/>
        <v>37.346399999999996</v>
      </c>
      <c r="D44" s="16">
        <f t="shared" si="6"/>
        <v>11.292524863342392</v>
      </c>
      <c r="E44" s="16">
        <f t="shared" si="1"/>
        <v>84.712794136987995</v>
      </c>
      <c r="F44" s="17">
        <f t="shared" si="19"/>
        <v>40</v>
      </c>
      <c r="G44" s="44">
        <f>213+42</f>
        <v>255</v>
      </c>
      <c r="H44" s="19">
        <f t="shared" si="2"/>
        <v>142.80000000000001</v>
      </c>
      <c r="I44" s="19">
        <f t="shared" si="3"/>
        <v>36.937705038052215</v>
      </c>
      <c r="J44" s="19">
        <f t="shared" si="4"/>
        <v>313.04316960794102</v>
      </c>
      <c r="K44" s="20">
        <f t="shared" si="8"/>
        <v>42</v>
      </c>
      <c r="L44" s="43"/>
      <c r="M44" s="40"/>
      <c r="N44" s="31"/>
      <c r="O44" s="31"/>
      <c r="P44" s="24">
        <f t="shared" si="9"/>
        <v>0</v>
      </c>
      <c r="Q44" s="24">
        <f t="shared" si="10"/>
        <v>0</v>
      </c>
      <c r="R44" s="24">
        <f t="shared" si="11"/>
        <v>0</v>
      </c>
      <c r="S44" s="24">
        <f t="shared" si="12"/>
        <v>0</v>
      </c>
      <c r="W44" s="22"/>
      <c r="X44" s="22"/>
      <c r="Y44" s="22"/>
    </row>
    <row r="45" spans="1:25" x14ac:dyDescent="0.35">
      <c r="A45" s="15">
        <v>43</v>
      </c>
      <c r="B45" s="15">
        <f t="shared" si="5"/>
        <v>43</v>
      </c>
      <c r="C45" s="16">
        <f t="shared" si="0"/>
        <v>38.235599999999998</v>
      </c>
      <c r="D45" s="16">
        <f t="shared" si="6"/>
        <v>11.529771748983352</v>
      </c>
      <c r="E45" s="16">
        <f t="shared" si="1"/>
        <v>86.674689129479319</v>
      </c>
      <c r="F45" s="17">
        <v>40</v>
      </c>
      <c r="G45" s="44">
        <v>174</v>
      </c>
      <c r="H45" s="19">
        <f t="shared" si="2"/>
        <v>97.440000000000012</v>
      </c>
      <c r="I45" s="19">
        <f t="shared" si="3"/>
        <v>26.351195394682179</v>
      </c>
      <c r="J45" s="19">
        <f t="shared" si="4"/>
        <v>215.60299864573813</v>
      </c>
      <c r="K45" s="20">
        <f t="shared" si="8"/>
        <v>43</v>
      </c>
      <c r="L45" s="39"/>
      <c r="M45" s="39"/>
      <c r="N45" s="21"/>
      <c r="O45" s="21"/>
      <c r="P45" s="24">
        <f t="shared" si="9"/>
        <v>0</v>
      </c>
      <c r="Q45" s="24">
        <f t="shared" si="10"/>
        <v>0</v>
      </c>
      <c r="R45" s="24">
        <f t="shared" si="11"/>
        <v>0</v>
      </c>
      <c r="S45" s="24">
        <f t="shared" si="12"/>
        <v>0</v>
      </c>
      <c r="W45" s="22"/>
      <c r="X45" s="22"/>
      <c r="Y45" s="22"/>
    </row>
    <row r="46" spans="1:25" x14ac:dyDescent="0.35">
      <c r="A46" s="15">
        <v>44</v>
      </c>
      <c r="B46" s="15">
        <f t="shared" si="5"/>
        <v>44</v>
      </c>
      <c r="C46" s="16">
        <f t="shared" si="0"/>
        <v>39.1248</v>
      </c>
      <c r="D46" s="16">
        <f t="shared" si="6"/>
        <v>11.766377220171686</v>
      </c>
      <c r="E46" s="16">
        <f t="shared" si="1"/>
        <v>88.635466991799021</v>
      </c>
      <c r="F46" s="17">
        <f t="shared" ref="F46:F55" si="22">F45+1</f>
        <v>41</v>
      </c>
      <c r="G46" s="44">
        <f>$G$45+(F46-$F$45)*($G$50-$G$45)/($F$50-$F$45)</f>
        <v>183.8</v>
      </c>
      <c r="H46" s="19">
        <f t="shared" si="2"/>
        <v>102.92800000000001</v>
      </c>
      <c r="I46" s="19">
        <f t="shared" si="3"/>
        <v>27.658377225574537</v>
      </c>
      <c r="J46" s="19">
        <f t="shared" si="4"/>
        <v>227.43794033454233</v>
      </c>
      <c r="K46" s="20">
        <f t="shared" si="8"/>
        <v>44</v>
      </c>
      <c r="L46" s="39"/>
      <c r="M46" s="39"/>
      <c r="N46" s="21"/>
      <c r="O46" s="21"/>
      <c r="P46" s="24">
        <f t="shared" si="9"/>
        <v>0</v>
      </c>
      <c r="Q46" s="24">
        <f t="shared" si="10"/>
        <v>0</v>
      </c>
      <c r="R46" s="24">
        <f t="shared" si="11"/>
        <v>0</v>
      </c>
      <c r="S46" s="24">
        <f t="shared" si="12"/>
        <v>0</v>
      </c>
      <c r="W46" s="22"/>
      <c r="X46" s="22"/>
      <c r="Y46" s="22"/>
    </row>
    <row r="47" spans="1:25" x14ac:dyDescent="0.35">
      <c r="A47" s="15">
        <v>45</v>
      </c>
      <c r="B47" s="15">
        <f t="shared" si="5"/>
        <v>45</v>
      </c>
      <c r="C47" s="16">
        <f t="shared" si="0"/>
        <v>40.013999999999996</v>
      </c>
      <c r="D47" s="16">
        <f t="shared" si="6"/>
        <v>12.002357532661732</v>
      </c>
      <c r="E47" s="16">
        <f t="shared" si="1"/>
        <v>90.595156036052515</v>
      </c>
      <c r="F47" s="17">
        <f t="shared" si="22"/>
        <v>42</v>
      </c>
      <c r="G47" s="44">
        <f t="shared" ref="G47:G49" si="23">$G$45+(F47-$F$45)*($G$50-$G$45)/($F$50-$F$45)</f>
        <v>193.6</v>
      </c>
      <c r="H47" s="19">
        <f t="shared" si="2"/>
        <v>108.41600000000001</v>
      </c>
      <c r="I47" s="19">
        <f t="shared" si="3"/>
        <v>28.95746735509783</v>
      </c>
      <c r="J47" s="19">
        <f t="shared" si="4"/>
        <v>239.25878897679539</v>
      </c>
      <c r="K47" s="20">
        <f t="shared" si="8"/>
        <v>45</v>
      </c>
      <c r="L47" s="36"/>
      <c r="M47" s="36"/>
      <c r="N47" s="36"/>
      <c r="O47" s="36"/>
      <c r="P47" s="24">
        <f t="shared" si="9"/>
        <v>0</v>
      </c>
      <c r="Q47" s="24">
        <f t="shared" si="10"/>
        <v>0</v>
      </c>
      <c r="R47" s="24">
        <f t="shared" si="11"/>
        <v>0</v>
      </c>
      <c r="S47" s="24">
        <f t="shared" si="12"/>
        <v>0</v>
      </c>
      <c r="W47" s="22"/>
      <c r="X47" s="22"/>
      <c r="Y47" s="22"/>
    </row>
    <row r="48" spans="1:25" x14ac:dyDescent="0.35">
      <c r="A48" s="15">
        <v>46</v>
      </c>
      <c r="B48" s="15">
        <f t="shared" si="5"/>
        <v>46</v>
      </c>
      <c r="C48" s="16">
        <f t="shared" si="0"/>
        <v>40.903199999999998</v>
      </c>
      <c r="D48" s="16">
        <f t="shared" si="6"/>
        <v>12.2377281784806</v>
      </c>
      <c r="E48" s="16">
        <f t="shared" si="1"/>
        <v>92.553783244187045</v>
      </c>
      <c r="F48" s="17">
        <f t="shared" si="22"/>
        <v>43</v>
      </c>
      <c r="G48" s="44">
        <f t="shared" si="23"/>
        <v>203.4</v>
      </c>
      <c r="H48" s="19">
        <f t="shared" si="2"/>
        <v>113.90400000000001</v>
      </c>
      <c r="I48" s="19">
        <f t="shared" si="3"/>
        <v>30.248922116095741</v>
      </c>
      <c r="J48" s="19">
        <f t="shared" si="4"/>
        <v>251.06633935220006</v>
      </c>
      <c r="K48" s="20">
        <f t="shared" si="8"/>
        <v>46</v>
      </c>
      <c r="L48" s="39"/>
      <c r="M48" s="40"/>
      <c r="N48" s="31"/>
      <c r="O48" s="31"/>
      <c r="P48" s="24">
        <f t="shared" si="9"/>
        <v>0</v>
      </c>
      <c r="Q48" s="24">
        <f t="shared" si="10"/>
        <v>0</v>
      </c>
      <c r="R48" s="24">
        <f t="shared" si="11"/>
        <v>0</v>
      </c>
      <c r="S48" s="24">
        <f t="shared" si="12"/>
        <v>0</v>
      </c>
      <c r="W48" s="22"/>
      <c r="X48" s="22"/>
      <c r="Y48" s="22"/>
    </row>
    <row r="49" spans="1:25" x14ac:dyDescent="0.35">
      <c r="A49" s="15">
        <v>47</v>
      </c>
      <c r="B49" s="15">
        <f t="shared" si="5"/>
        <v>47</v>
      </c>
      <c r="C49" s="16">
        <f t="shared" si="0"/>
        <v>41.792400000000001</v>
      </c>
      <c r="D49" s="16">
        <f t="shared" si="6"/>
        <v>12.472503937619972</v>
      </c>
      <c r="E49" s="16">
        <f t="shared" si="1"/>
        <v>94.511374358021442</v>
      </c>
      <c r="F49" s="17">
        <f t="shared" si="22"/>
        <v>44</v>
      </c>
      <c r="G49" s="44">
        <f t="shared" si="23"/>
        <v>213.2</v>
      </c>
      <c r="H49" s="19">
        <f t="shared" si="2"/>
        <v>119.39200000000001</v>
      </c>
      <c r="I49" s="19">
        <f t="shared" si="3"/>
        <v>31.533151383804046</v>
      </c>
      <c r="J49" s="19">
        <f t="shared" si="4"/>
        <v>262.86130532679209</v>
      </c>
      <c r="K49" s="20">
        <f t="shared" si="8"/>
        <v>47</v>
      </c>
      <c r="L49" s="39"/>
      <c r="M49" s="39"/>
      <c r="N49" s="21"/>
      <c r="O49" s="21"/>
      <c r="P49" s="24">
        <f t="shared" si="9"/>
        <v>0</v>
      </c>
      <c r="Q49" s="24">
        <f t="shared" si="10"/>
        <v>0</v>
      </c>
      <c r="R49" s="24">
        <f t="shared" si="11"/>
        <v>0</v>
      </c>
      <c r="S49" s="24">
        <f t="shared" si="12"/>
        <v>0</v>
      </c>
      <c r="W49" s="22"/>
      <c r="X49" s="22"/>
      <c r="Y49" s="22"/>
    </row>
    <row r="50" spans="1:25" x14ac:dyDescent="0.35">
      <c r="A50" s="15">
        <v>48</v>
      </c>
      <c r="B50" s="15">
        <f t="shared" si="5"/>
        <v>48</v>
      </c>
      <c r="C50" s="16">
        <f t="shared" si="0"/>
        <v>42.681600000000003</v>
      </c>
      <c r="D50" s="16">
        <f t="shared" si="6"/>
        <v>12.70669892520443</v>
      </c>
      <c r="E50" s="16">
        <f t="shared" si="1"/>
        <v>96.467953961397711</v>
      </c>
      <c r="F50" s="17">
        <f t="shared" si="22"/>
        <v>45</v>
      </c>
      <c r="G50" s="44">
        <v>223</v>
      </c>
      <c r="H50" s="19">
        <f t="shared" si="2"/>
        <v>124.88000000000001</v>
      </c>
      <c r="I50" s="19">
        <f t="shared" si="3"/>
        <v>32.810525222866438</v>
      </c>
      <c r="J50" s="19">
        <f t="shared" si="4"/>
        <v>274.64433142982574</v>
      </c>
      <c r="K50" s="20">
        <f t="shared" si="8"/>
        <v>48</v>
      </c>
      <c r="L50" s="43"/>
      <c r="M50" s="40"/>
      <c r="N50" s="31"/>
      <c r="O50" s="31"/>
      <c r="P50" s="24"/>
      <c r="Q50" s="24"/>
      <c r="R50" s="24"/>
      <c r="S50" s="24"/>
      <c r="W50" s="22"/>
      <c r="X50" s="22"/>
      <c r="Y50" s="22"/>
    </row>
    <row r="51" spans="1:25" x14ac:dyDescent="0.35">
      <c r="A51" s="15">
        <v>49</v>
      </c>
      <c r="B51" s="15">
        <f t="shared" si="5"/>
        <v>49</v>
      </c>
      <c r="C51" s="16">
        <f t="shared" si="0"/>
        <v>43.570799999999998</v>
      </c>
      <c r="D51" s="16">
        <f t="shared" si="6"/>
        <v>12.940326634618202</v>
      </c>
      <c r="E51" s="16">
        <f t="shared" si="1"/>
        <v>98.423545555293359</v>
      </c>
      <c r="F51" s="17">
        <f t="shared" si="22"/>
        <v>46</v>
      </c>
      <c r="G51" s="45">
        <f>$G$50+(F51-$F$50)*($G$55-$G$50)/($F$55-$F$50)</f>
        <v>231.8</v>
      </c>
      <c r="H51" s="19">
        <f t="shared" si="2"/>
        <v>129.80800000000002</v>
      </c>
      <c r="I51" s="19">
        <f t="shared" si="3"/>
        <v>33.951989953983613</v>
      </c>
      <c r="J51" s="19">
        <f t="shared" si="4"/>
        <v>285.21531583652148</v>
      </c>
      <c r="K51" s="20">
        <f t="shared" si="8"/>
        <v>49</v>
      </c>
      <c r="L51" s="43"/>
      <c r="M51" s="39"/>
      <c r="N51" s="21"/>
      <c r="O51" s="21"/>
      <c r="P51" s="24"/>
      <c r="Q51" s="24"/>
      <c r="R51" s="24"/>
      <c r="S51" s="24"/>
      <c r="W51" s="22"/>
      <c r="X51" s="22"/>
      <c r="Y51" s="22"/>
    </row>
    <row r="52" spans="1:25" x14ac:dyDescent="0.35">
      <c r="A52" s="15">
        <v>50</v>
      </c>
      <c r="B52" s="15">
        <f t="shared" si="5"/>
        <v>50</v>
      </c>
      <c r="C52" s="16">
        <f t="shared" si="0"/>
        <v>44.459999999999994</v>
      </c>
      <c r="D52" s="16">
        <f t="shared" si="6"/>
        <v>13.173399977011854</v>
      </c>
      <c r="E52" s="16">
        <f t="shared" si="1"/>
        <v>100.37817162662895</v>
      </c>
      <c r="F52" s="17">
        <f t="shared" si="22"/>
        <v>47</v>
      </c>
      <c r="G52" s="45">
        <f t="shared" ref="G52:G54" si="24">$G$50+(F52-$F$50)*($G$55-$G$50)/($F$55-$F$50)</f>
        <v>240.6</v>
      </c>
      <c r="H52" s="19">
        <f t="shared" si="2"/>
        <v>134.73600000000002</v>
      </c>
      <c r="I52" s="19">
        <f t="shared" si="3"/>
        <v>35.088420424388168</v>
      </c>
      <c r="J52" s="19">
        <f t="shared" si="4"/>
        <v>295.77753223914277</v>
      </c>
      <c r="K52" s="20">
        <f t="shared" si="8"/>
        <v>50</v>
      </c>
      <c r="L52" s="39"/>
      <c r="M52" s="39"/>
      <c r="N52" s="21"/>
      <c r="O52" s="21"/>
      <c r="P52" s="24"/>
      <c r="Q52" s="24"/>
      <c r="R52" s="24"/>
      <c r="S52" s="24"/>
      <c r="W52" s="22"/>
      <c r="X52" s="22"/>
      <c r="Y52" s="22"/>
    </row>
    <row r="53" spans="1:25" x14ac:dyDescent="0.35">
      <c r="A53" s="15">
        <v>51</v>
      </c>
      <c r="B53" s="15">
        <f t="shared" si="5"/>
        <v>51</v>
      </c>
      <c r="C53" s="16">
        <f t="shared" si="0"/>
        <v>45.349199999999996</v>
      </c>
      <c r="D53" s="16">
        <f t="shared" si="6"/>
        <v>13.405931317559235</v>
      </c>
      <c r="E53" s="16">
        <f t="shared" si="1"/>
        <v>102.33185371141566</v>
      </c>
      <c r="F53" s="17">
        <f t="shared" si="22"/>
        <v>48</v>
      </c>
      <c r="G53" s="45">
        <f t="shared" si="24"/>
        <v>249.4</v>
      </c>
      <c r="H53" s="19">
        <f t="shared" si="2"/>
        <v>139.66400000000002</v>
      </c>
      <c r="I53" s="19">
        <f t="shared" si="3"/>
        <v>36.22002185208828</v>
      </c>
      <c r="J53" s="19">
        <f t="shared" si="4"/>
        <v>306.33133805905373</v>
      </c>
      <c r="K53" s="20">
        <f t="shared" si="8"/>
        <v>51</v>
      </c>
      <c r="L53" s="39"/>
      <c r="M53" s="39"/>
      <c r="N53" s="21"/>
      <c r="O53" s="21"/>
      <c r="P53" s="24"/>
      <c r="Q53" s="24"/>
      <c r="R53" s="24"/>
      <c r="S53" s="24"/>
      <c r="W53" s="22"/>
      <c r="X53" s="22"/>
      <c r="Y53" s="22"/>
    </row>
    <row r="54" spans="1:25" x14ac:dyDescent="0.35">
      <c r="A54" s="15">
        <v>52</v>
      </c>
      <c r="B54" s="15">
        <f t="shared" si="5"/>
        <v>52</v>
      </c>
      <c r="C54" s="16">
        <f t="shared" si="0"/>
        <v>46.238399999999999</v>
      </c>
      <c r="D54" s="16">
        <f t="shared" si="6"/>
        <v>13.637932508790355</v>
      </c>
      <c r="E54" s="16">
        <f t="shared" si="1"/>
        <v>104.28461245280987</v>
      </c>
      <c r="F54" s="17">
        <f t="shared" si="22"/>
        <v>49</v>
      </c>
      <c r="G54" s="45">
        <f t="shared" si="24"/>
        <v>258.2</v>
      </c>
      <c r="H54" s="19">
        <f t="shared" si="2"/>
        <v>144.59200000000001</v>
      </c>
      <c r="I54" s="19">
        <f t="shared" si="3"/>
        <v>37.346984151880989</v>
      </c>
      <c r="J54" s="19">
        <f t="shared" si="4"/>
        <v>316.87706406452611</v>
      </c>
      <c r="K54" s="20">
        <f t="shared" si="8"/>
        <v>52</v>
      </c>
      <c r="L54" s="36"/>
      <c r="M54" s="36"/>
      <c r="N54" s="36"/>
      <c r="O54" s="36"/>
      <c r="P54" s="24"/>
      <c r="Q54" s="24"/>
      <c r="R54" s="24"/>
      <c r="S54" s="24"/>
      <c r="W54" s="22"/>
      <c r="X54" s="22"/>
      <c r="Y54" s="22"/>
    </row>
    <row r="55" spans="1:25" x14ac:dyDescent="0.35">
      <c r="A55" s="15">
        <v>53</v>
      </c>
      <c r="B55" s="15">
        <f t="shared" si="5"/>
        <v>53</v>
      </c>
      <c r="C55" s="16">
        <f t="shared" si="0"/>
        <v>47.127599999999994</v>
      </c>
      <c r="D55" s="16">
        <f t="shared" si="6"/>
        <v>13.869414921287742</v>
      </c>
      <c r="E55" s="16">
        <f t="shared" si="1"/>
        <v>106.23646765457613</v>
      </c>
      <c r="F55" s="17">
        <f t="shared" si="22"/>
        <v>50</v>
      </c>
      <c r="G55" s="45">
        <f>231+36</f>
        <v>267</v>
      </c>
      <c r="H55" s="19">
        <f t="shared" si="2"/>
        <v>149.52000000000001</v>
      </c>
      <c r="I55" s="19">
        <f t="shared" si="3"/>
        <v>38.469483558825885</v>
      </c>
      <c r="J55" s="19">
        <f t="shared" si="4"/>
        <v>327.41501719828841</v>
      </c>
      <c r="K55" s="20">
        <f t="shared" si="8"/>
        <v>53</v>
      </c>
      <c r="L55" s="39"/>
      <c r="M55" s="40"/>
      <c r="N55" s="31"/>
      <c r="O55" s="31"/>
      <c r="P55" s="24"/>
      <c r="Q55" s="24"/>
      <c r="R55" s="24"/>
      <c r="S55" s="24"/>
      <c r="W55" s="22"/>
      <c r="X55" s="22"/>
      <c r="Y55" s="22"/>
    </row>
    <row r="56" spans="1:25" x14ac:dyDescent="0.35">
      <c r="A56" s="15">
        <v>54</v>
      </c>
      <c r="B56" s="15">
        <f t="shared" si="5"/>
        <v>54</v>
      </c>
      <c r="C56" s="16">
        <f t="shared" si="0"/>
        <v>48.016799999999996</v>
      </c>
      <c r="D56" s="16">
        <f t="shared" si="6"/>
        <v>14.10038947200055</v>
      </c>
      <c r="E56" s="16">
        <f t="shared" si="1"/>
        <v>108.18743833040095</v>
      </c>
      <c r="F56" s="17">
        <v>50</v>
      </c>
      <c r="G56" s="45">
        <v>199</v>
      </c>
      <c r="H56" s="19">
        <f t="shared" si="2"/>
        <v>111.44000000000001</v>
      </c>
      <c r="I56" s="19">
        <f t="shared" si="3"/>
        <v>29.670002564032004</v>
      </c>
      <c r="J56" s="19">
        <f t="shared" si="4"/>
        <v>245.76658779902243</v>
      </c>
      <c r="K56" s="20">
        <f t="shared" si="8"/>
        <v>54</v>
      </c>
      <c r="L56" s="21"/>
      <c r="M56" s="31"/>
      <c r="N56" s="31"/>
      <c r="O56" s="31"/>
      <c r="P56" s="24"/>
      <c r="Q56" s="24"/>
      <c r="R56" s="24"/>
      <c r="S56" s="24"/>
      <c r="W56" s="22"/>
      <c r="X56" s="22"/>
      <c r="Y56" s="22"/>
    </row>
    <row r="57" spans="1:25" x14ac:dyDescent="0.35">
      <c r="A57" s="15">
        <v>55</v>
      </c>
      <c r="B57" s="15">
        <f t="shared" si="5"/>
        <v>55</v>
      </c>
      <c r="C57" s="16">
        <f t="shared" si="0"/>
        <v>48.905999999999999</v>
      </c>
      <c r="D57" s="16">
        <f t="shared" si="6"/>
        <v>14.330866650402026</v>
      </c>
      <c r="E57" s="16">
        <f t="shared" si="1"/>
        <v>110.13754274945018</v>
      </c>
      <c r="F57" s="17">
        <f t="shared" ref="F57:F66" si="25">F56+1</f>
        <v>51</v>
      </c>
      <c r="G57" s="45">
        <f>$G$56+(F57-$F$56)*($G$61-$G$56)/($F$61-$F$56)</f>
        <v>206.6</v>
      </c>
      <c r="H57" s="19">
        <f t="shared" si="2"/>
        <v>115.69600000000001</v>
      </c>
      <c r="I57" s="19">
        <f t="shared" si="3"/>
        <v>30.669038012373807</v>
      </c>
      <c r="J57" s="19">
        <f t="shared" si="4"/>
        <v>254.91910787155106</v>
      </c>
      <c r="K57" s="20">
        <f t="shared" si="8"/>
        <v>55</v>
      </c>
      <c r="L57" s="21"/>
      <c r="M57" s="21"/>
      <c r="N57" s="21"/>
      <c r="O57" s="21"/>
      <c r="P57" s="24"/>
      <c r="Q57" s="24"/>
      <c r="R57" s="24"/>
      <c r="S57" s="24"/>
      <c r="W57" s="22"/>
      <c r="X57" s="22"/>
      <c r="Y57" s="22"/>
    </row>
    <row r="58" spans="1:25" x14ac:dyDescent="0.35">
      <c r="A58" s="15">
        <v>56</v>
      </c>
      <c r="B58" s="15">
        <f t="shared" si="5"/>
        <v>56</v>
      </c>
      <c r="C58" s="16">
        <f t="shared" si="0"/>
        <v>49.795200000000001</v>
      </c>
      <c r="D58" s="16">
        <f t="shared" si="6"/>
        <v>14.560856542690781</v>
      </c>
      <c r="E58" s="16">
        <f t="shared" si="1"/>
        <v>112.08679847851977</v>
      </c>
      <c r="F58" s="17">
        <f t="shared" si="25"/>
        <v>52</v>
      </c>
      <c r="G58" s="45">
        <f t="shared" ref="G58:G60" si="26">$G$56+(F58-$F$56)*($G$61-$G$56)/($F$61-$F$56)</f>
        <v>214.2</v>
      </c>
      <c r="H58" s="19">
        <f t="shared" si="2"/>
        <v>119.952</v>
      </c>
      <c r="I58" s="19">
        <f t="shared" si="3"/>
        <v>31.663803821709188</v>
      </c>
      <c r="J58" s="19">
        <f t="shared" si="4"/>
        <v>264.06419165614346</v>
      </c>
      <c r="K58" s="20">
        <f t="shared" si="8"/>
        <v>56</v>
      </c>
      <c r="L58" s="38"/>
      <c r="M58" s="21"/>
      <c r="N58" s="21"/>
      <c r="O58" s="21"/>
      <c r="P58" s="24"/>
      <c r="Q58" s="24"/>
      <c r="R58" s="24"/>
      <c r="S58" s="24"/>
      <c r="T58" s="22"/>
      <c r="U58" s="22"/>
      <c r="V58" s="22"/>
      <c r="W58" s="22"/>
      <c r="X58" s="22"/>
      <c r="Y58" s="22"/>
    </row>
    <row r="59" spans="1:25" x14ac:dyDescent="0.35">
      <c r="A59" s="15">
        <v>57</v>
      </c>
      <c r="B59" s="15">
        <f t="shared" si="5"/>
        <v>57</v>
      </c>
      <c r="C59" s="16">
        <f t="shared" si="0"/>
        <v>50.684399999999997</v>
      </c>
      <c r="D59" s="16">
        <f t="shared" si="6"/>
        <v>14.790368854214469</v>
      </c>
      <c r="E59" s="16">
        <f t="shared" si="1"/>
        <v>114.03522242109018</v>
      </c>
      <c r="F59" s="17">
        <f t="shared" si="25"/>
        <v>53</v>
      </c>
      <c r="G59" s="45">
        <f t="shared" si="26"/>
        <v>221.8</v>
      </c>
      <c r="H59" s="19">
        <f t="shared" si="2"/>
        <v>124.20800000000001</v>
      </c>
      <c r="I59" s="19">
        <f t="shared" si="3"/>
        <v>32.65446883926203</v>
      </c>
      <c r="J59" s="19">
        <f t="shared" si="4"/>
        <v>273.2021332283814</v>
      </c>
      <c r="K59" s="20">
        <f t="shared" si="8"/>
        <v>57</v>
      </c>
      <c r="L59" s="21"/>
      <c r="M59" s="21"/>
      <c r="N59" s="21"/>
      <c r="O59" s="21"/>
      <c r="P59" s="24"/>
      <c r="Q59" s="24"/>
      <c r="R59" s="24"/>
      <c r="S59" s="24"/>
      <c r="T59" s="22"/>
      <c r="U59" s="22"/>
      <c r="V59" s="22"/>
      <c r="W59" s="22"/>
      <c r="X59" s="22"/>
      <c r="Y59" s="22"/>
    </row>
    <row r="60" spans="1:25" x14ac:dyDescent="0.35">
      <c r="A60" s="15">
        <v>58</v>
      </c>
      <c r="B60" s="15">
        <f t="shared" si="5"/>
        <v>58</v>
      </c>
      <c r="C60" s="16">
        <f t="shared" si="0"/>
        <v>51.573599999999992</v>
      </c>
      <c r="D60" s="16">
        <f t="shared" si="6"/>
        <v>15.019412930275323</v>
      </c>
      <c r="E60" s="16">
        <f t="shared" si="1"/>
        <v>115.98283085356282</v>
      </c>
      <c r="F60" s="17">
        <f t="shared" si="25"/>
        <v>54</v>
      </c>
      <c r="G60" s="45">
        <f t="shared" si="26"/>
        <v>229.4</v>
      </c>
      <c r="H60" s="19">
        <f t="shared" si="2"/>
        <v>128.46400000000003</v>
      </c>
      <c r="I60" s="19">
        <f t="shared" si="3"/>
        <v>33.641189684783953</v>
      </c>
      <c r="J60" s="19">
        <f t="shared" si="4"/>
        <v>282.33320536766536</v>
      </c>
      <c r="K60" s="20">
        <f t="shared" si="8"/>
        <v>58</v>
      </c>
      <c r="L60" s="21"/>
      <c r="M60" s="21"/>
      <c r="N60" s="21"/>
      <c r="O60" s="21"/>
      <c r="P60" s="24"/>
      <c r="Q60" s="24"/>
      <c r="R60" s="24"/>
      <c r="S60" s="24"/>
      <c r="T60" s="22"/>
      <c r="U60" s="22"/>
      <c r="V60" s="22"/>
      <c r="W60" s="22"/>
      <c r="X60" s="22"/>
      <c r="Y60" s="22"/>
    </row>
    <row r="61" spans="1:25" x14ac:dyDescent="0.35">
      <c r="A61" s="15">
        <v>59</v>
      </c>
      <c r="B61" s="15">
        <f t="shared" si="5"/>
        <v>59</v>
      </c>
      <c r="C61" s="16">
        <f t="shared" si="0"/>
        <v>52.462799999999994</v>
      </c>
      <c r="D61" s="16">
        <f t="shared" si="6"/>
        <v>15.247997775460169</v>
      </c>
      <c r="E61" s="16">
        <f t="shared" si="1"/>
        <v>117.92963945892645</v>
      </c>
      <c r="F61" s="17">
        <f t="shared" si="25"/>
        <v>55</v>
      </c>
      <c r="G61" s="45">
        <v>237</v>
      </c>
      <c r="H61" s="19">
        <f t="shared" si="2"/>
        <v>132.72</v>
      </c>
      <c r="I61" s="19">
        <f t="shared" si="3"/>
        <v>34.624112011504067</v>
      </c>
      <c r="J61" s="19">
        <f t="shared" si="4"/>
        <v>291.45766175336962</v>
      </c>
      <c r="K61" s="20">
        <f t="shared" si="8"/>
        <v>59</v>
      </c>
      <c r="L61" s="36"/>
      <c r="M61" s="36"/>
      <c r="N61" s="36"/>
      <c r="O61" s="36"/>
      <c r="P61" s="24"/>
      <c r="Q61" s="24"/>
      <c r="R61" s="24"/>
      <c r="S61" s="24"/>
      <c r="T61" s="22"/>
      <c r="U61" s="22"/>
      <c r="V61" s="22"/>
      <c r="W61" s="22"/>
      <c r="X61" s="22"/>
      <c r="Y61" s="22"/>
    </row>
    <row r="62" spans="1:25" x14ac:dyDescent="0.35">
      <c r="A62" s="15">
        <v>60</v>
      </c>
      <c r="B62" s="15">
        <f t="shared" si="5"/>
        <v>60</v>
      </c>
      <c r="C62" s="16">
        <f t="shared" si="0"/>
        <v>53.351999999999997</v>
      </c>
      <c r="D62" s="16">
        <f t="shared" si="6"/>
        <v>15.476132071622843</v>
      </c>
      <c r="E62" s="16">
        <f t="shared" si="1"/>
        <v>119.87566335807644</v>
      </c>
      <c r="F62" s="17">
        <f t="shared" si="25"/>
        <v>56</v>
      </c>
      <c r="G62" s="45">
        <f>$G$61+(F62-$F$61)*($G$66-$G$61)/($F$66-$F$61)</f>
        <v>243.8</v>
      </c>
      <c r="H62" s="19">
        <f t="shared" si="2"/>
        <v>136.52800000000002</v>
      </c>
      <c r="I62" s="19">
        <f t="shared" si="3"/>
        <v>35.500460285192347</v>
      </c>
      <c r="J62" s="19">
        <f t="shared" si="4"/>
        <v>299.61623499670998</v>
      </c>
      <c r="K62" s="20">
        <f t="shared" si="8"/>
        <v>60</v>
      </c>
      <c r="L62" s="36"/>
      <c r="M62" s="42"/>
      <c r="N62" s="42"/>
      <c r="O62" s="42"/>
      <c r="P62" s="24"/>
      <c r="Q62" s="24"/>
      <c r="R62" s="24"/>
      <c r="S62" s="24"/>
      <c r="T62" s="22"/>
      <c r="U62" s="22"/>
      <c r="V62" s="22"/>
    </row>
    <row r="63" spans="1:25" x14ac:dyDescent="0.35">
      <c r="A63" s="15">
        <v>61</v>
      </c>
      <c r="B63" s="15">
        <f t="shared" si="5"/>
        <v>61</v>
      </c>
      <c r="C63" s="16">
        <f t="shared" si="0"/>
        <v>54.241199999999999</v>
      </c>
      <c r="D63" s="16">
        <f t="shared" si="6"/>
        <v>15.703824194633755</v>
      </c>
      <c r="E63" s="16">
        <f t="shared" si="1"/>
        <v>121.82091713898713</v>
      </c>
      <c r="F63" s="17">
        <f t="shared" si="25"/>
        <v>57</v>
      </c>
      <c r="G63" s="45">
        <f t="shared" ref="G63:G65" si="27">$G$61+(F63-$F$61)*($G$66-$G$61)/($F$66-$F$61)</f>
        <v>250.6</v>
      </c>
      <c r="H63" s="19">
        <f t="shared" si="2"/>
        <v>140.33600000000001</v>
      </c>
      <c r="I63" s="19">
        <f t="shared" si="3"/>
        <v>36.373967634759062</v>
      </c>
      <c r="J63" s="19">
        <f t="shared" si="4"/>
        <v>307.76986029720541</v>
      </c>
      <c r="K63" s="20">
        <f t="shared" si="8"/>
        <v>61</v>
      </c>
      <c r="L63" s="36"/>
      <c r="M63" s="36"/>
      <c r="N63" s="36"/>
      <c r="O63" s="36"/>
      <c r="P63" s="24"/>
      <c r="Q63" s="24"/>
      <c r="R63" s="24"/>
      <c r="S63" s="24"/>
      <c r="T63" s="22"/>
      <c r="U63" s="22"/>
      <c r="V63" s="22"/>
    </row>
    <row r="64" spans="1:25" x14ac:dyDescent="0.35">
      <c r="A64" s="15">
        <v>62</v>
      </c>
      <c r="B64" s="15">
        <f t="shared" si="5"/>
        <v>62</v>
      </c>
      <c r="C64" s="16">
        <f t="shared" si="0"/>
        <v>55.130399999999995</v>
      </c>
      <c r="D64" s="16">
        <f t="shared" si="6"/>
        <v>15.931082230000035</v>
      </c>
      <c r="E64" s="16">
        <f t="shared" si="1"/>
        <v>123.7654148839167</v>
      </c>
      <c r="F64" s="17">
        <f t="shared" si="25"/>
        <v>58</v>
      </c>
      <c r="G64" s="45">
        <f t="shared" si="27"/>
        <v>257.39999999999998</v>
      </c>
      <c r="H64" s="19">
        <f t="shared" si="2"/>
        <v>144.14400000000001</v>
      </c>
      <c r="I64" s="19">
        <f t="shared" si="3"/>
        <v>37.244720006976252</v>
      </c>
      <c r="J64" s="19">
        <f t="shared" si="4"/>
        <v>315.91868734548365</v>
      </c>
      <c r="K64" s="20">
        <f t="shared" si="8"/>
        <v>62</v>
      </c>
      <c r="L64" s="36"/>
      <c r="M64" s="36"/>
      <c r="N64" s="36"/>
      <c r="O64" s="36"/>
      <c r="P64" s="24"/>
      <c r="Q64" s="24"/>
      <c r="R64" s="24"/>
      <c r="S64" s="24"/>
    </row>
    <row r="65" spans="1:19" x14ac:dyDescent="0.35">
      <c r="A65" s="15">
        <v>63</v>
      </c>
      <c r="B65" s="15">
        <f t="shared" si="5"/>
        <v>63</v>
      </c>
      <c r="C65" s="16">
        <f t="shared" si="0"/>
        <v>56.019599999999997</v>
      </c>
      <c r="D65" s="16">
        <f t="shared" si="6"/>
        <v>16.15791398744928</v>
      </c>
      <c r="E65" s="16">
        <f t="shared" si="1"/>
        <v>125.70917019480748</v>
      </c>
      <c r="F65" s="17">
        <f t="shared" si="25"/>
        <v>59</v>
      </c>
      <c r="G65" s="45">
        <f t="shared" si="27"/>
        <v>264.2</v>
      </c>
      <c r="H65" s="19">
        <f t="shared" si="2"/>
        <v>147.952</v>
      </c>
      <c r="I65" s="19">
        <f t="shared" si="3"/>
        <v>38.112798548931586</v>
      </c>
      <c r="J65" s="19">
        <f t="shared" si="4"/>
        <v>324.0628574727225</v>
      </c>
      <c r="K65" s="20">
        <f t="shared" si="8"/>
        <v>63</v>
      </c>
      <c r="L65" s="36"/>
      <c r="M65" s="36"/>
      <c r="N65" s="36"/>
      <c r="O65" s="36"/>
      <c r="P65" s="24"/>
      <c r="Q65" s="24"/>
      <c r="R65" s="24"/>
      <c r="S65" s="24"/>
    </row>
    <row r="66" spans="1:19" x14ac:dyDescent="0.35">
      <c r="A66" s="15">
        <v>64</v>
      </c>
      <c r="B66" s="15">
        <f t="shared" si="5"/>
        <v>64</v>
      </c>
      <c r="C66" s="16">
        <f t="shared" si="0"/>
        <v>56.908799999999999</v>
      </c>
      <c r="D66" s="16">
        <f t="shared" si="6"/>
        <v>16.384327014561205</v>
      </c>
      <c r="E66" s="16">
        <f t="shared" si="1"/>
        <v>127.65219621702742</v>
      </c>
      <c r="F66" s="17">
        <f t="shared" si="25"/>
        <v>60</v>
      </c>
      <c r="G66" s="45">
        <f>242+29</f>
        <v>271</v>
      </c>
      <c r="H66" s="19">
        <f t="shared" si="2"/>
        <v>151.76000000000002</v>
      </c>
      <c r="I66" s="19">
        <f t="shared" si="3"/>
        <v>38.978279992607398</v>
      </c>
      <c r="J66" s="19">
        <f t="shared" si="4"/>
        <v>332.20250432045793</v>
      </c>
      <c r="K66" s="20">
        <f t="shared" si="8"/>
        <v>64</v>
      </c>
      <c r="L66" s="41"/>
      <c r="M66" s="36"/>
      <c r="N66" s="36"/>
      <c r="O66" s="36"/>
      <c r="P66" s="24"/>
      <c r="Q66" s="24"/>
      <c r="R66" s="24"/>
      <c r="S66" s="24"/>
    </row>
    <row r="67" spans="1:19" x14ac:dyDescent="0.35">
      <c r="A67" s="15">
        <v>65</v>
      </c>
      <c r="B67" s="15">
        <f t="shared" si="5"/>
        <v>65</v>
      </c>
      <c r="C67" s="16">
        <f t="shared" ref="C67:C72" si="28">B67*$Y$1*1.56</f>
        <v>57.797999999999995</v>
      </c>
      <c r="D67" s="16">
        <f t="shared" si="6"/>
        <v>16.610328609522991</v>
      </c>
      <c r="E67" s="16">
        <f t="shared" ref="E67:E72" si="29">(C67+D67)*0.475*44/12</f>
        <v>129.59450566158586</v>
      </c>
      <c r="F67" s="17">
        <v>60</v>
      </c>
      <c r="G67" s="45">
        <v>216</v>
      </c>
      <c r="H67" s="19">
        <f t="shared" ref="H67:H78" si="30">G67*$W$1</f>
        <v>120.96000000000001</v>
      </c>
      <c r="I67" s="19">
        <f t="shared" ref="I67:I77" si="31">EXP(-1.0587+0.8836*LN(H67)+0.284)</f>
        <v>31.898799588373006</v>
      </c>
      <c r="J67" s="19">
        <f t="shared" ref="J67:J78" si="32">(H67+I67)*0.475*44/12</f>
        <v>266.22907594974964</v>
      </c>
      <c r="K67" s="20">
        <f t="shared" si="8"/>
        <v>65</v>
      </c>
      <c r="L67" s="36"/>
      <c r="M67" s="36"/>
      <c r="N67" s="36"/>
      <c r="O67" s="36"/>
      <c r="P67" s="24"/>
      <c r="Q67" s="24"/>
      <c r="R67" s="24"/>
      <c r="S67" s="24"/>
    </row>
    <row r="68" spans="1:19" x14ac:dyDescent="0.35">
      <c r="A68" s="15">
        <v>66</v>
      </c>
      <c r="B68" s="15">
        <f t="shared" ref="B68:B72" si="33">B67+1</f>
        <v>66</v>
      </c>
      <c r="C68" s="16">
        <f t="shared" si="28"/>
        <v>58.687199999999997</v>
      </c>
      <c r="D68" s="16">
        <f t="shared" ref="D68:D72" si="34">EXP(-1.0587+0.8836*LN(C68)+0.284)</f>
        <v>16.835925833077539</v>
      </c>
      <c r="E68" s="16">
        <f t="shared" si="29"/>
        <v>131.53611082594338</v>
      </c>
      <c r="F68" s="17">
        <f t="shared" ref="F68:F77" si="35">F67+1</f>
        <v>61</v>
      </c>
      <c r="G68" s="45">
        <f>$G$67+(F68-$F$67)*($G$72-$G$67)/($F$72-$F$67)</f>
        <v>222</v>
      </c>
      <c r="H68" s="19">
        <f t="shared" si="30"/>
        <v>124.32000000000001</v>
      </c>
      <c r="I68" s="19">
        <f t="shared" si="31"/>
        <v>32.68048504751404</v>
      </c>
      <c r="J68" s="19">
        <f t="shared" si="32"/>
        <v>273.4425114577536</v>
      </c>
      <c r="K68" s="20">
        <f t="shared" ref="K68:K78" si="36">K67+1</f>
        <v>66</v>
      </c>
      <c r="L68" s="36"/>
      <c r="M68" s="36"/>
      <c r="N68" s="36"/>
      <c r="O68" s="36"/>
      <c r="P68" s="24"/>
      <c r="Q68" s="24"/>
      <c r="R68" s="24"/>
      <c r="S68" s="24"/>
    </row>
    <row r="69" spans="1:19" x14ac:dyDescent="0.35">
      <c r="A69" s="15">
        <v>67</v>
      </c>
      <c r="B69" s="15">
        <f t="shared" si="33"/>
        <v>67</v>
      </c>
      <c r="C69" s="16">
        <f t="shared" si="28"/>
        <v>59.5764</v>
      </c>
      <c r="D69" s="16">
        <f t="shared" si="34"/>
        <v>17.06112551972695</v>
      </c>
      <c r="E69" s="16">
        <f t="shared" si="29"/>
        <v>133.47702361352444</v>
      </c>
      <c r="F69" s="17">
        <f t="shared" si="35"/>
        <v>62</v>
      </c>
      <c r="G69" s="45">
        <f t="shared" ref="G69:G71" si="37">$G$67+(F69-$F$67)*($G$72-$G$67)/($F$72-$F$67)</f>
        <v>228</v>
      </c>
      <c r="H69" s="19">
        <f t="shared" si="30"/>
        <v>127.68</v>
      </c>
      <c r="I69" s="19">
        <f t="shared" si="31"/>
        <v>33.459714914652182</v>
      </c>
      <c r="J69" s="19">
        <f>(H69+I69)*0.475*44/12</f>
        <v>280.6516701430192</v>
      </c>
      <c r="K69" s="20">
        <f t="shared" si="36"/>
        <v>67</v>
      </c>
      <c r="L69" s="36"/>
      <c r="M69" s="36"/>
      <c r="N69" s="36"/>
      <c r="O69" s="36"/>
      <c r="P69" s="24"/>
      <c r="Q69" s="24"/>
      <c r="R69" s="24"/>
      <c r="S69" s="24"/>
    </row>
    <row r="70" spans="1:19" x14ac:dyDescent="0.35">
      <c r="A70" s="15">
        <v>68</v>
      </c>
      <c r="B70" s="15">
        <f t="shared" si="33"/>
        <v>68</v>
      </c>
      <c r="C70" s="16">
        <f t="shared" si="28"/>
        <v>60.465600000000002</v>
      </c>
      <c r="D70" s="16">
        <f t="shared" si="34"/>
        <v>17.28593428824821</v>
      </c>
      <c r="E70" s="16">
        <f t="shared" si="29"/>
        <v>135.41725555203229</v>
      </c>
      <c r="F70" s="17">
        <f t="shared" si="35"/>
        <v>63</v>
      </c>
      <c r="G70" s="45">
        <f t="shared" si="37"/>
        <v>234</v>
      </c>
      <c r="H70" s="19">
        <f t="shared" si="30"/>
        <v>131.04000000000002</v>
      </c>
      <c r="I70" s="19">
        <f t="shared" si="31"/>
        <v>34.236561238949918</v>
      </c>
      <c r="J70" s="19">
        <f t="shared" si="32"/>
        <v>287.85667749117118</v>
      </c>
      <c r="K70" s="20">
        <f t="shared" si="36"/>
        <v>68</v>
      </c>
      <c r="L70" s="36"/>
      <c r="M70" s="36"/>
      <c r="N70" s="36"/>
      <c r="O70" s="36"/>
      <c r="P70" s="24"/>
      <c r="Q70" s="24"/>
      <c r="R70" s="24"/>
      <c r="S70" s="24"/>
    </row>
    <row r="71" spans="1:19" x14ac:dyDescent="0.35">
      <c r="A71" s="15">
        <v>69</v>
      </c>
      <c r="B71" s="15">
        <f t="shared" si="33"/>
        <v>69</v>
      </c>
      <c r="C71" s="16">
        <f t="shared" si="28"/>
        <v>61.354799999999997</v>
      </c>
      <c r="D71" s="16">
        <f t="shared" si="34"/>
        <v>17.510358551572615</v>
      </c>
      <c r="E71" s="16">
        <f t="shared" si="29"/>
        <v>137.35681781065566</v>
      </c>
      <c r="F71" s="17">
        <f t="shared" si="35"/>
        <v>64</v>
      </c>
      <c r="G71" s="45">
        <f t="shared" si="37"/>
        <v>240</v>
      </c>
      <c r="H71" s="19">
        <f t="shared" si="30"/>
        <v>134.4</v>
      </c>
      <c r="I71" s="19">
        <f t="shared" si="31"/>
        <v>35.011092164239862</v>
      </c>
      <c r="J71" s="19">
        <f t="shared" si="32"/>
        <v>295.05765218605109</v>
      </c>
      <c r="K71" s="20">
        <f t="shared" si="36"/>
        <v>69</v>
      </c>
      <c r="L71" s="36"/>
      <c r="M71" s="36"/>
      <c r="N71" s="36"/>
      <c r="O71" s="36"/>
      <c r="P71" s="24"/>
      <c r="Q71" s="24"/>
      <c r="R71" s="24"/>
      <c r="S71" s="24"/>
    </row>
    <row r="72" spans="1:19" x14ac:dyDescent="0.35">
      <c r="A72" s="15">
        <v>70</v>
      </c>
      <c r="B72" s="15">
        <f t="shared" si="33"/>
        <v>70</v>
      </c>
      <c r="C72" s="16">
        <f t="shared" si="28"/>
        <v>62.244</v>
      </c>
      <c r="D72" s="16">
        <f t="shared" si="34"/>
        <v>17.734404526076432</v>
      </c>
      <c r="E72" s="16">
        <f t="shared" si="29"/>
        <v>139.29572121624977</v>
      </c>
      <c r="F72" s="17">
        <f t="shared" si="35"/>
        <v>65</v>
      </c>
      <c r="G72" s="44">
        <v>246</v>
      </c>
      <c r="H72" s="19">
        <f t="shared" si="30"/>
        <v>137.76000000000002</v>
      </c>
      <c r="I72" s="19">
        <f t="shared" si="31"/>
        <v>35.783372232974457</v>
      </c>
      <c r="J72" s="19">
        <f t="shared" si="32"/>
        <v>302.25470663909721</v>
      </c>
      <c r="K72" s="20">
        <f t="shared" si="36"/>
        <v>70</v>
      </c>
      <c r="L72" s="41"/>
      <c r="M72" s="36"/>
      <c r="N72" s="36"/>
      <c r="O72" s="36"/>
      <c r="P72" s="24"/>
      <c r="Q72" s="24"/>
      <c r="R72" s="24"/>
      <c r="S72" s="24"/>
    </row>
    <row r="73" spans="1:19" x14ac:dyDescent="0.35">
      <c r="A73" s="22"/>
      <c r="B73" s="22"/>
      <c r="C73" s="23"/>
      <c r="D73" s="23"/>
      <c r="E73" s="23"/>
      <c r="F73" s="17">
        <f t="shared" si="35"/>
        <v>66</v>
      </c>
      <c r="G73" s="44">
        <f>$G$72+(F73-$F$72)*($G$77-$G$72)/($F$77-$F$72)</f>
        <v>251.2</v>
      </c>
      <c r="H73" s="19">
        <f t="shared" si="30"/>
        <v>140.672</v>
      </c>
      <c r="I73" s="19">
        <f t="shared" si="31"/>
        <v>36.450908328810399</v>
      </c>
      <c r="J73" s="19">
        <f t="shared" si="32"/>
        <v>308.48906533934479</v>
      </c>
      <c r="K73" s="20">
        <f t="shared" si="36"/>
        <v>71</v>
      </c>
      <c r="L73" s="36"/>
      <c r="M73" s="26"/>
      <c r="N73" s="26"/>
      <c r="O73" s="26"/>
      <c r="P73" s="26"/>
      <c r="Q73" s="26"/>
      <c r="R73" s="26"/>
      <c r="S73" s="26"/>
    </row>
    <row r="74" spans="1:19" x14ac:dyDescent="0.35">
      <c r="A74" s="22"/>
      <c r="B74" s="22"/>
      <c r="C74" s="23"/>
      <c r="D74" s="23"/>
      <c r="E74" s="23"/>
      <c r="F74" s="17">
        <f t="shared" si="35"/>
        <v>67</v>
      </c>
      <c r="G74" s="44">
        <f t="shared" ref="G74:G76" si="38">$G$72+(F74-$F$72)*($G$77-$G$72)/($F$77-$F$72)</f>
        <v>256.39999999999998</v>
      </c>
      <c r="H74" s="19">
        <f t="shared" si="30"/>
        <v>143.584</v>
      </c>
      <c r="I74" s="19">
        <f t="shared" si="31"/>
        <v>37.116837775277986</v>
      </c>
      <c r="J74" s="19">
        <f t="shared" si="32"/>
        <v>314.7206257919425</v>
      </c>
      <c r="K74" s="20">
        <f t="shared" si="36"/>
        <v>72</v>
      </c>
      <c r="L74" s="46"/>
      <c r="M74" s="26"/>
      <c r="N74" s="26"/>
      <c r="O74" s="26"/>
      <c r="P74" s="26"/>
      <c r="Q74" s="26"/>
      <c r="R74" s="26"/>
      <c r="S74" s="26"/>
    </row>
    <row r="75" spans="1:19" x14ac:dyDescent="0.35">
      <c r="A75" s="22"/>
      <c r="B75" s="22"/>
      <c r="C75" s="23"/>
      <c r="D75" s="23"/>
      <c r="E75" s="23"/>
      <c r="F75" s="17">
        <f t="shared" si="35"/>
        <v>68</v>
      </c>
      <c r="G75" s="44">
        <f t="shared" si="38"/>
        <v>261.60000000000002</v>
      </c>
      <c r="H75" s="19">
        <f t="shared" si="30"/>
        <v>146.49600000000004</v>
      </c>
      <c r="I75" s="19">
        <f t="shared" si="31"/>
        <v>37.781196911449818</v>
      </c>
      <c r="J75" s="19">
        <f t="shared" si="32"/>
        <v>320.94945128744183</v>
      </c>
      <c r="K75" s="20">
        <f t="shared" si="36"/>
        <v>73</v>
      </c>
      <c r="L75" s="36"/>
      <c r="M75" s="26"/>
      <c r="N75" s="26"/>
      <c r="O75" s="26"/>
      <c r="P75" s="26"/>
      <c r="Q75" s="26"/>
      <c r="R75" s="26"/>
      <c r="S75" s="26"/>
    </row>
    <row r="76" spans="1:19" x14ac:dyDescent="0.35">
      <c r="A76" s="22"/>
      <c r="B76" s="22"/>
      <c r="C76" s="23"/>
      <c r="D76" s="23"/>
      <c r="E76" s="23"/>
      <c r="F76" s="17">
        <f t="shared" si="35"/>
        <v>69</v>
      </c>
      <c r="G76" s="44">
        <f t="shared" si="38"/>
        <v>266.8</v>
      </c>
      <c r="H76" s="19">
        <f t="shared" si="30"/>
        <v>149.40800000000002</v>
      </c>
      <c r="I76" s="19">
        <f t="shared" si="31"/>
        <v>38.444020549111777</v>
      </c>
      <c r="J76" s="19">
        <f t="shared" si="32"/>
        <v>327.17560245636969</v>
      </c>
      <c r="K76" s="20">
        <f t="shared" si="36"/>
        <v>74</v>
      </c>
      <c r="L76" s="36"/>
      <c r="M76" s="26"/>
      <c r="N76" s="26"/>
      <c r="O76" s="26"/>
      <c r="P76" s="26"/>
      <c r="Q76" s="26"/>
      <c r="R76" s="26"/>
      <c r="S76" s="26"/>
    </row>
    <row r="77" spans="1:19" x14ac:dyDescent="0.35">
      <c r="A77" s="22"/>
      <c r="B77" s="22"/>
      <c r="C77" s="23"/>
      <c r="D77" s="23"/>
      <c r="E77" s="23"/>
      <c r="F77" s="17">
        <f t="shared" si="35"/>
        <v>70</v>
      </c>
      <c r="G77" s="44">
        <f>249+23</f>
        <v>272</v>
      </c>
      <c r="H77" s="19">
        <f t="shared" si="30"/>
        <v>152.32000000000002</v>
      </c>
      <c r="I77" s="19">
        <f t="shared" si="31"/>
        <v>39.105342065447388</v>
      </c>
      <c r="J77" s="19">
        <f t="shared" si="32"/>
        <v>333.39913743065421</v>
      </c>
      <c r="K77" s="20">
        <f t="shared" si="36"/>
        <v>75</v>
      </c>
      <c r="L77" s="36"/>
      <c r="M77" s="26"/>
      <c r="N77" s="26"/>
      <c r="O77" s="26"/>
      <c r="P77" s="26"/>
      <c r="Q77" s="26"/>
      <c r="R77" s="26"/>
      <c r="S77" s="26"/>
    </row>
    <row r="78" spans="1:19" x14ac:dyDescent="0.35">
      <c r="A78" s="22"/>
      <c r="B78" s="22"/>
      <c r="C78" s="23"/>
      <c r="D78" s="23"/>
      <c r="E78" s="23"/>
      <c r="F78" s="17">
        <v>70</v>
      </c>
      <c r="G78" s="44">
        <v>0</v>
      </c>
      <c r="H78" s="19">
        <f t="shared" si="30"/>
        <v>0</v>
      </c>
      <c r="I78" s="19">
        <v>0</v>
      </c>
      <c r="J78" s="19">
        <f t="shared" si="32"/>
        <v>0</v>
      </c>
      <c r="K78" s="20">
        <f t="shared" si="36"/>
        <v>76</v>
      </c>
      <c r="L78" s="36"/>
      <c r="M78" s="26"/>
      <c r="N78" s="26"/>
      <c r="O78" s="26"/>
      <c r="P78" s="26"/>
      <c r="Q78" s="26"/>
      <c r="R78" s="26"/>
      <c r="S78" s="26"/>
    </row>
    <row r="79" spans="1:19" x14ac:dyDescent="0.35">
      <c r="A79" s="26"/>
      <c r="B79" s="26"/>
      <c r="C79" s="26"/>
      <c r="D79" s="26"/>
      <c r="E79" s="26"/>
      <c r="F79" s="26"/>
    </row>
    <row r="80" spans="1:19" x14ac:dyDescent="0.35">
      <c r="A80" s="26"/>
      <c r="B80" s="26"/>
      <c r="C80" s="26"/>
      <c r="D80" s="26"/>
      <c r="E80" s="26"/>
      <c r="F80" s="26"/>
    </row>
    <row r="162" spans="1:11" x14ac:dyDescent="0.35">
      <c r="A162" s="22"/>
      <c r="B162" s="22"/>
      <c r="C162" s="22"/>
      <c r="D162" s="22"/>
      <c r="E162" s="23"/>
    </row>
    <row r="163" spans="1:11" x14ac:dyDescent="0.35">
      <c r="A163" s="22"/>
      <c r="B163" s="22"/>
      <c r="C163" s="22"/>
      <c r="D163" s="22"/>
      <c r="E163" s="23"/>
    </row>
    <row r="164" spans="1:11" x14ac:dyDescent="0.35">
      <c r="A164" s="22"/>
      <c r="B164" s="22"/>
      <c r="C164" s="22"/>
      <c r="D164" s="22"/>
      <c r="E164" s="23"/>
    </row>
    <row r="165" spans="1:11" x14ac:dyDescent="0.35">
      <c r="A165" s="22"/>
      <c r="B165" s="22"/>
      <c r="C165" s="22"/>
      <c r="D165" s="22"/>
      <c r="E165" s="23"/>
    </row>
    <row r="166" spans="1:11" x14ac:dyDescent="0.35">
      <c r="A166" s="22"/>
      <c r="B166" s="22"/>
      <c r="C166" s="22"/>
      <c r="D166" s="22"/>
      <c r="E166" s="23"/>
      <c r="F166" s="22"/>
      <c r="G166" s="26"/>
      <c r="H166" s="23"/>
      <c r="I166" s="23"/>
      <c r="J166" s="23"/>
      <c r="K166" s="22"/>
    </row>
    <row r="167" spans="1:11" x14ac:dyDescent="0.35">
      <c r="A167" s="22"/>
      <c r="B167" s="22"/>
      <c r="C167" s="22"/>
      <c r="D167" s="22"/>
      <c r="E167" s="23"/>
    </row>
    <row r="168" spans="1:11" x14ac:dyDescent="0.35">
      <c r="A168" s="22"/>
      <c r="B168" s="22"/>
      <c r="C168" s="22"/>
      <c r="D168" s="22"/>
      <c r="E168" s="23"/>
    </row>
    <row r="169" spans="1:11" x14ac:dyDescent="0.35">
      <c r="A169" s="22"/>
      <c r="B169" s="22"/>
      <c r="C169" s="22"/>
      <c r="D169" s="22"/>
      <c r="E169" s="23"/>
    </row>
    <row r="170" spans="1:11" x14ac:dyDescent="0.35">
      <c r="F170" s="22"/>
    </row>
    <row r="171" spans="1:11" x14ac:dyDescent="0.35">
      <c r="F171" s="22"/>
    </row>
    <row r="172" spans="1:11" x14ac:dyDescent="0.35">
      <c r="F172" s="22"/>
    </row>
    <row r="173" spans="1:11" x14ac:dyDescent="0.35">
      <c r="F173" s="22"/>
    </row>
    <row r="174" spans="1:11" x14ac:dyDescent="0.35">
      <c r="F174" s="22"/>
    </row>
    <row r="175" spans="1:11" x14ac:dyDescent="0.35">
      <c r="F175" s="22"/>
    </row>
    <row r="176" spans="1:11" x14ac:dyDescent="0.35">
      <c r="F176" s="22"/>
    </row>
    <row r="177" spans="6:6" x14ac:dyDescent="0.35">
      <c r="F177" s="22"/>
    </row>
    <row r="178" spans="6:6" x14ac:dyDescent="0.35">
      <c r="F178" s="22"/>
    </row>
    <row r="179" spans="6:6" x14ac:dyDescent="0.35">
      <c r="F179" s="22"/>
    </row>
    <row r="180" spans="6:6" x14ac:dyDescent="0.35">
      <c r="F180" s="22"/>
    </row>
    <row r="181" spans="6:6" x14ac:dyDescent="0.35">
      <c r="F181" s="22"/>
    </row>
    <row r="182" spans="6:6" x14ac:dyDescent="0.35">
      <c r="F182" s="22"/>
    </row>
    <row r="183" spans="6:6" x14ac:dyDescent="0.35">
      <c r="F183" s="22"/>
    </row>
    <row r="184" spans="6:6" x14ac:dyDescent="0.35">
      <c r="F184" s="22"/>
    </row>
    <row r="185" spans="6:6" x14ac:dyDescent="0.35">
      <c r="F185" s="22"/>
    </row>
    <row r="186" spans="6:6" x14ac:dyDescent="0.35">
      <c r="F186" s="22"/>
    </row>
    <row r="187" spans="6:6" x14ac:dyDescent="0.35">
      <c r="F187" s="22"/>
    </row>
    <row r="188" spans="6:6" x14ac:dyDescent="0.35">
      <c r="F188" s="22"/>
    </row>
    <row r="189" spans="6:6" x14ac:dyDescent="0.35">
      <c r="F189" s="22"/>
    </row>
    <row r="190" spans="6:6" x14ac:dyDescent="0.35">
      <c r="F190" s="22"/>
    </row>
    <row r="191" spans="6:6" x14ac:dyDescent="0.35">
      <c r="F191" s="22"/>
    </row>
    <row r="192" spans="6:6" x14ac:dyDescent="0.35">
      <c r="F192" s="22"/>
    </row>
    <row r="193" spans="6:6" x14ac:dyDescent="0.35">
      <c r="F193" s="22"/>
    </row>
    <row r="194" spans="6:6" x14ac:dyDescent="0.35">
      <c r="F194" s="22"/>
    </row>
    <row r="195" spans="6:6" x14ac:dyDescent="0.35">
      <c r="F195" s="22"/>
    </row>
    <row r="196" spans="6:6" x14ac:dyDescent="0.35">
      <c r="F196" s="22"/>
    </row>
    <row r="197" spans="6:6" x14ac:dyDescent="0.35">
      <c r="F197" s="22"/>
    </row>
    <row r="198" spans="6:6" x14ac:dyDescent="0.35">
      <c r="F198" s="22"/>
    </row>
    <row r="199" spans="6:6" x14ac:dyDescent="0.35">
      <c r="F199" s="22"/>
    </row>
    <row r="200" spans="6:6" x14ac:dyDescent="0.35">
      <c r="F200" s="22"/>
    </row>
    <row r="201" spans="6:6" x14ac:dyDescent="0.35">
      <c r="F201" s="22"/>
    </row>
    <row r="202" spans="6:6" x14ac:dyDescent="0.35">
      <c r="F202" s="22"/>
    </row>
    <row r="203" spans="6:6" x14ac:dyDescent="0.35">
      <c r="F203" s="22"/>
    </row>
    <row r="204" spans="6:6" x14ac:dyDescent="0.35">
      <c r="F204" s="22"/>
    </row>
    <row r="205" spans="6:6" x14ac:dyDescent="0.35">
      <c r="F205" s="22"/>
    </row>
    <row r="206" spans="6:6" x14ac:dyDescent="0.35">
      <c r="F206" s="22"/>
    </row>
    <row r="207" spans="6:6" x14ac:dyDescent="0.35">
      <c r="F207" s="22"/>
    </row>
    <row r="208" spans="6:6" x14ac:dyDescent="0.35">
      <c r="F208" s="22"/>
    </row>
    <row r="209" spans="6:6" x14ac:dyDescent="0.35">
      <c r="F209" s="22"/>
    </row>
    <row r="210" spans="6:6" x14ac:dyDescent="0.35">
      <c r="F210" s="22"/>
    </row>
    <row r="211" spans="6:6" x14ac:dyDescent="0.35">
      <c r="F211" s="22"/>
    </row>
    <row r="212" spans="6:6" x14ac:dyDescent="0.35">
      <c r="F212" s="22"/>
    </row>
    <row r="213" spans="6:6" x14ac:dyDescent="0.35">
      <c r="F213" s="22"/>
    </row>
    <row r="214" spans="6:6" x14ac:dyDescent="0.35">
      <c r="F214" s="22"/>
    </row>
    <row r="215" spans="6:6" x14ac:dyDescent="0.35">
      <c r="F215" s="22"/>
    </row>
    <row r="216" spans="6:6" x14ac:dyDescent="0.35">
      <c r="F216" s="22"/>
    </row>
    <row r="217" spans="6:6" x14ac:dyDescent="0.35">
      <c r="F217" s="22"/>
    </row>
    <row r="218" spans="6:6" x14ac:dyDescent="0.35">
      <c r="F218" s="22"/>
    </row>
    <row r="219" spans="6:6" x14ac:dyDescent="0.35">
      <c r="F219" s="22"/>
    </row>
    <row r="220" spans="6:6" x14ac:dyDescent="0.35">
      <c r="F220" s="22"/>
    </row>
    <row r="221" spans="6:6" x14ac:dyDescent="0.35">
      <c r="F221" s="22"/>
    </row>
    <row r="222" spans="6:6" x14ac:dyDescent="0.35">
      <c r="F222" s="22"/>
    </row>
    <row r="223" spans="6:6" x14ac:dyDescent="0.35">
      <c r="F223" s="22"/>
    </row>
    <row r="224" spans="6:6" x14ac:dyDescent="0.35">
      <c r="F224" s="22"/>
    </row>
    <row r="225" spans="6:6" x14ac:dyDescent="0.35">
      <c r="F225" s="22"/>
    </row>
    <row r="226" spans="6:6" x14ac:dyDescent="0.35">
      <c r="F226" s="22"/>
    </row>
    <row r="227" spans="6:6" x14ac:dyDescent="0.35">
      <c r="F227" s="22"/>
    </row>
    <row r="228" spans="6:6" x14ac:dyDescent="0.35">
      <c r="F228" s="22"/>
    </row>
    <row r="229" spans="6:6" x14ac:dyDescent="0.35">
      <c r="F229" s="22"/>
    </row>
    <row r="230" spans="6:6" x14ac:dyDescent="0.35">
      <c r="F230" s="22"/>
    </row>
    <row r="231" spans="6:6" x14ac:dyDescent="0.35">
      <c r="F231" s="22"/>
    </row>
    <row r="232" spans="6:6" x14ac:dyDescent="0.35">
      <c r="F232" s="22"/>
    </row>
    <row r="233" spans="6:6" x14ac:dyDescent="0.35">
      <c r="F233" s="22"/>
    </row>
    <row r="234" spans="6:6" x14ac:dyDescent="0.35">
      <c r="F234" s="22"/>
    </row>
    <row r="235" spans="6:6" x14ac:dyDescent="0.35">
      <c r="F235" s="22"/>
    </row>
    <row r="236" spans="6:6" x14ac:dyDescent="0.35">
      <c r="F236" s="22"/>
    </row>
    <row r="237" spans="6:6" x14ac:dyDescent="0.35">
      <c r="F237" s="22"/>
    </row>
    <row r="238" spans="6:6" x14ac:dyDescent="0.35">
      <c r="F238" s="22"/>
    </row>
    <row r="239" spans="6:6" x14ac:dyDescent="0.35">
      <c r="F239" s="22"/>
    </row>
    <row r="240" spans="6:6" x14ac:dyDescent="0.35">
      <c r="F240" s="22"/>
    </row>
    <row r="241" spans="6:6" x14ac:dyDescent="0.35">
      <c r="F241" s="22"/>
    </row>
    <row r="242" spans="6:6" x14ac:dyDescent="0.35">
      <c r="F242" s="22"/>
    </row>
    <row r="243" spans="6:6" x14ac:dyDescent="0.35">
      <c r="F243" s="22"/>
    </row>
  </sheetData>
  <mergeCells count="1">
    <mergeCell ref="Z1:Z16"/>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3945-3A64-429E-8C05-EFA2F5F3798F}">
  <dimension ref="K2:L15"/>
  <sheetViews>
    <sheetView workbookViewId="0">
      <selection activeCell="L6" sqref="L6"/>
    </sheetView>
  </sheetViews>
  <sheetFormatPr baseColWidth="10" defaultRowHeight="14.5" x14ac:dyDescent="0.35"/>
  <cols>
    <col min="11" max="11" width="17.7265625" bestFit="1" customWidth="1"/>
    <col min="12" max="12" width="51.81640625" bestFit="1" customWidth="1"/>
  </cols>
  <sheetData>
    <row r="2" spans="11:12" ht="18.5" x14ac:dyDescent="0.45">
      <c r="K2" s="58"/>
    </row>
    <row r="7" spans="11:12" x14ac:dyDescent="0.35">
      <c r="K7" s="53" t="s">
        <v>96</v>
      </c>
      <c r="L7" s="59" t="s">
        <v>97</v>
      </c>
    </row>
    <row r="8" spans="11:12" x14ac:dyDescent="0.35">
      <c r="K8" s="60" t="s">
        <v>80</v>
      </c>
      <c r="L8" s="56" t="s">
        <v>98</v>
      </c>
    </row>
    <row r="9" spans="11:12" x14ac:dyDescent="0.35">
      <c r="K9" s="60" t="s">
        <v>82</v>
      </c>
      <c r="L9" s="56" t="s">
        <v>99</v>
      </c>
    </row>
    <row r="10" spans="11:12" x14ac:dyDescent="0.35">
      <c r="K10" s="60" t="s">
        <v>12</v>
      </c>
      <c r="L10" s="56">
        <v>1972</v>
      </c>
    </row>
    <row r="11" spans="11:12" x14ac:dyDescent="0.35">
      <c r="K11" s="60" t="s">
        <v>84</v>
      </c>
      <c r="L11" s="56" t="s">
        <v>100</v>
      </c>
    </row>
    <row r="12" spans="11:12" x14ac:dyDescent="0.35">
      <c r="K12" s="60" t="s">
        <v>86</v>
      </c>
      <c r="L12" s="56">
        <v>6</v>
      </c>
    </row>
    <row r="13" spans="11:12" x14ac:dyDescent="0.35">
      <c r="K13" s="60" t="s">
        <v>87</v>
      </c>
      <c r="L13" s="56">
        <v>2</v>
      </c>
    </row>
    <row r="14" spans="11:12" x14ac:dyDescent="0.35">
      <c r="K14" s="60" t="s">
        <v>88</v>
      </c>
      <c r="L14" s="56" t="s">
        <v>101</v>
      </c>
    </row>
    <row r="15" spans="11:12" x14ac:dyDescent="0.35">
      <c r="K15" s="60" t="s">
        <v>90</v>
      </c>
      <c r="L15" s="56" t="s">
        <v>102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764CD-E6E5-48B1-9BD3-594BC1925B39}">
  <dimension ref="A1:AB150"/>
  <sheetViews>
    <sheetView topLeftCell="S1" workbookViewId="0">
      <selection activeCell="Y12" sqref="Y12"/>
    </sheetView>
  </sheetViews>
  <sheetFormatPr baseColWidth="10" defaultColWidth="10.81640625" defaultRowHeight="14.5" x14ac:dyDescent="0.35"/>
  <cols>
    <col min="1" max="1" width="6.81640625" style="62" bestFit="1" customWidth="1"/>
    <col min="2" max="2" width="9.54296875" style="62" bestFit="1" customWidth="1"/>
    <col min="3" max="6" width="10.81640625" style="62"/>
    <col min="7" max="7" width="6.81640625" style="62" bestFit="1" customWidth="1"/>
    <col min="8" max="8" width="9.54296875" style="62" bestFit="1" customWidth="1"/>
    <col min="9" max="10" width="9.453125" style="62" bestFit="1" customWidth="1"/>
    <col min="11" max="11" width="12.26953125" style="62" bestFit="1" customWidth="1"/>
    <col min="12" max="12" width="12.26953125" style="62" customWidth="1"/>
    <col min="13" max="13" width="6.81640625" style="62" bestFit="1" customWidth="1"/>
    <col min="14" max="14" width="9" style="62" bestFit="1" customWidth="1"/>
    <col min="15" max="15" width="9.453125" style="62" bestFit="1" customWidth="1"/>
    <col min="16" max="16" width="11.81640625" style="62" bestFit="1" customWidth="1"/>
    <col min="17" max="17" width="9.1796875" style="62" bestFit="1" customWidth="1"/>
    <col min="18" max="18" width="9.453125" style="62" bestFit="1" customWidth="1"/>
    <col min="19" max="19" width="9.7265625" style="62" bestFit="1" customWidth="1"/>
    <col min="20" max="20" width="11" style="62" bestFit="1" customWidth="1"/>
    <col min="21" max="21" width="13.7265625" style="62" customWidth="1"/>
    <col min="22" max="22" width="23.26953125" style="62" customWidth="1"/>
    <col min="23" max="23" width="15.453125" style="62" bestFit="1" customWidth="1"/>
    <col min="24" max="24" width="29.7265625" style="62" bestFit="1" customWidth="1"/>
    <col min="25" max="25" width="12.1796875" style="62" bestFit="1" customWidth="1"/>
    <col min="26" max="26" width="39.81640625" style="62" customWidth="1"/>
    <col min="27" max="27" width="38.54296875" style="62" bestFit="1" customWidth="1"/>
    <col min="28" max="28" width="34.7265625" style="62" customWidth="1"/>
    <col min="29" max="16384" width="10.81640625" style="62"/>
  </cols>
  <sheetData>
    <row r="1" spans="1:28" ht="58" x14ac:dyDescent="0.35">
      <c r="A1" s="101" t="s">
        <v>12</v>
      </c>
      <c r="B1" s="101" t="s">
        <v>13</v>
      </c>
      <c r="C1" s="94" t="s">
        <v>14</v>
      </c>
      <c r="D1" s="94" t="s">
        <v>15</v>
      </c>
      <c r="E1" s="94" t="s">
        <v>16</v>
      </c>
      <c r="F1" s="94" t="s">
        <v>114</v>
      </c>
      <c r="G1" s="69" t="s">
        <v>12</v>
      </c>
      <c r="H1" s="70" t="s">
        <v>17</v>
      </c>
      <c r="I1" s="68" t="s">
        <v>14</v>
      </c>
      <c r="J1" s="68" t="s">
        <v>15</v>
      </c>
      <c r="K1" s="68" t="s">
        <v>115</v>
      </c>
      <c r="L1" s="68" t="s">
        <v>114</v>
      </c>
      <c r="M1" s="76" t="s">
        <v>12</v>
      </c>
      <c r="N1" s="77" t="s">
        <v>116</v>
      </c>
      <c r="O1" s="78" t="s">
        <v>20</v>
      </c>
      <c r="P1" s="78" t="s">
        <v>21</v>
      </c>
      <c r="Q1" s="77" t="s">
        <v>22</v>
      </c>
      <c r="R1" s="77" t="s">
        <v>23</v>
      </c>
      <c r="S1" s="77" t="s">
        <v>24</v>
      </c>
      <c r="T1" s="77" t="s">
        <v>25</v>
      </c>
      <c r="U1" s="77" t="s">
        <v>26</v>
      </c>
      <c r="V1" s="94" t="s">
        <v>104</v>
      </c>
      <c r="W1" s="95">
        <v>0.56999999999999995</v>
      </c>
      <c r="X1" s="68" t="s">
        <v>117</v>
      </c>
      <c r="Y1" s="70">
        <v>0.35</v>
      </c>
      <c r="Z1" s="127" t="s">
        <v>118</v>
      </c>
      <c r="AA1" s="61"/>
      <c r="AB1" s="61"/>
    </row>
    <row r="2" spans="1:28" x14ac:dyDescent="0.35">
      <c r="A2" s="102">
        <v>0</v>
      </c>
      <c r="B2" s="103">
        <v>0</v>
      </c>
      <c r="C2" s="104">
        <f t="shared" ref="C2:C27" si="0">B2*1.56*$W$1</f>
        <v>0</v>
      </c>
      <c r="D2" s="104">
        <v>0</v>
      </c>
      <c r="E2" s="104">
        <f>(C2+D2)*0.475*44/12</f>
        <v>0</v>
      </c>
      <c r="F2" s="104">
        <f>AVERAGE($E$2:$E$27)</f>
        <v>25.944481104378426</v>
      </c>
      <c r="G2" s="71">
        <v>0</v>
      </c>
      <c r="H2" s="25">
        <v>0</v>
      </c>
      <c r="I2" s="73">
        <f t="shared" ref="I2:I28" si="1">H2*$Y$1</f>
        <v>0</v>
      </c>
      <c r="J2" s="72">
        <v>0</v>
      </c>
      <c r="K2" s="72">
        <v>0</v>
      </c>
      <c r="L2" s="73">
        <f t="shared" ref="L2:L27" si="2">AVERAGE($K$2:$K$27)</f>
        <v>99.342415930393528</v>
      </c>
      <c r="M2" s="87">
        <v>0</v>
      </c>
      <c r="N2" s="79"/>
      <c r="O2" s="79"/>
      <c r="P2" s="79"/>
      <c r="Q2" s="79"/>
      <c r="R2" s="79">
        <v>0</v>
      </c>
      <c r="S2" s="79">
        <v>0</v>
      </c>
      <c r="T2" s="79">
        <v>0</v>
      </c>
      <c r="U2" s="79">
        <f>SUM(R2:T2)</f>
        <v>0</v>
      </c>
      <c r="W2" s="64" t="s">
        <v>119</v>
      </c>
      <c r="X2" s="64" t="s">
        <v>31</v>
      </c>
      <c r="Y2" s="65">
        <f>AVERAGE(K2:K27)</f>
        <v>99.342415930393528</v>
      </c>
      <c r="Z2" s="127"/>
      <c r="AA2" s="66"/>
    </row>
    <row r="3" spans="1:28" x14ac:dyDescent="0.35">
      <c r="A3" s="102">
        <v>1</v>
      </c>
      <c r="B3" s="103">
        <f>B2+1</f>
        <v>1</v>
      </c>
      <c r="C3" s="104">
        <f t="shared" si="0"/>
        <v>0.88919999999999999</v>
      </c>
      <c r="D3" s="104">
        <f t="shared" ref="D3:D27" si="3">EXP(-1.0587+0.8836*LN(C3)+0.284)</f>
        <v>0.41542055579923082</v>
      </c>
      <c r="E3" s="104">
        <f t="shared" ref="E3:E27" si="4">(C3+D3)*0.475*44/12</f>
        <v>2.2722141346836602</v>
      </c>
      <c r="F3" s="104">
        <f t="shared" ref="F3:F27" si="5">AVERAGE($E$2:$E$27)</f>
        <v>25.944481104378426</v>
      </c>
      <c r="G3" s="71">
        <f>G2+1</f>
        <v>1</v>
      </c>
      <c r="H3" s="73">
        <v>0.5</v>
      </c>
      <c r="I3" s="73">
        <f t="shared" si="1"/>
        <v>0.17499999999999999</v>
      </c>
      <c r="J3" s="73">
        <f t="shared" ref="J3:J27" si="6">EXP(-1.0587+0.8836*LN(I3)+0.284)</f>
        <v>9.8787156467188955E-2</v>
      </c>
      <c r="K3" s="73">
        <f>(I3+J3)*0.475*44/12</f>
        <v>0.47684596418035402</v>
      </c>
      <c r="L3" s="73">
        <f t="shared" si="2"/>
        <v>99.342415930393528</v>
      </c>
      <c r="M3" s="87">
        <f>M2+1</f>
        <v>1</v>
      </c>
      <c r="N3" s="79"/>
      <c r="O3" s="79"/>
      <c r="P3" s="79"/>
      <c r="Q3" s="79"/>
      <c r="R3" s="80">
        <f t="shared" ref="R3:R32" si="7">EXP(-LN(2)/35)*R2+(1-EXP(-LN(2)/35))/(LN(2)/35)*O3*N3*$Y$1*0.475*44/12</f>
        <v>0</v>
      </c>
      <c r="S3" s="80">
        <f t="shared" ref="S3:S32" si="8">EXP(-LN(2)/25)*S2+(1-EXP(-LN(2)/25))/(LN(2)/25)*P3*N3*$Y$1*0.475*44/12</f>
        <v>0</v>
      </c>
      <c r="T3" s="80">
        <f t="shared" ref="T3:T32" si="9">EXP(-LN(2)/2)*T2+(1-EXP(-LN(2)/2))/(LN(2)/2)*Q3*N3*$Y$1*0.475*44/12</f>
        <v>0</v>
      </c>
      <c r="U3" s="80">
        <f>SUM(R3:T3)</f>
        <v>0</v>
      </c>
      <c r="W3" s="64" t="s">
        <v>32</v>
      </c>
      <c r="X3" s="64" t="s">
        <v>31</v>
      </c>
      <c r="Y3" s="65">
        <f>AVERAGE(E2:E27)</f>
        <v>25.944481104378426</v>
      </c>
      <c r="Z3" s="127"/>
      <c r="AA3" s="64"/>
    </row>
    <row r="4" spans="1:28" x14ac:dyDescent="0.35">
      <c r="A4" s="102">
        <v>2</v>
      </c>
      <c r="B4" s="103">
        <f t="shared" ref="B4:B27" si="10">B3+1</f>
        <v>2</v>
      </c>
      <c r="C4" s="104">
        <f t="shared" si="0"/>
        <v>1.7784</v>
      </c>
      <c r="D4" s="104">
        <f t="shared" si="3"/>
        <v>0.76643986660078545</v>
      </c>
      <c r="E4" s="104">
        <f t="shared" si="4"/>
        <v>4.4322627676630342</v>
      </c>
      <c r="F4" s="104">
        <f t="shared" si="5"/>
        <v>25.944481104378426</v>
      </c>
      <c r="G4" s="71">
        <f t="shared" ref="G4:G27" si="11">G3+1</f>
        <v>2</v>
      </c>
      <c r="H4" s="73">
        <v>1</v>
      </c>
      <c r="I4" s="73">
        <f t="shared" si="1"/>
        <v>0.35</v>
      </c>
      <c r="J4" s="73">
        <f t="shared" si="6"/>
        <v>0.18225967388377226</v>
      </c>
      <c r="K4" s="73">
        <f t="shared" ref="K4:K28" si="12">(I4+J4)*0.475*44/12</f>
        <v>0.92701893201423669</v>
      </c>
      <c r="L4" s="73">
        <f t="shared" si="2"/>
        <v>99.342415930393528</v>
      </c>
      <c r="M4" s="87">
        <f t="shared" ref="M4:M32" si="13">M3+1</f>
        <v>2</v>
      </c>
      <c r="N4" s="79"/>
      <c r="O4" s="79"/>
      <c r="P4" s="79"/>
      <c r="Q4" s="79"/>
      <c r="R4" s="80">
        <f t="shared" si="7"/>
        <v>0</v>
      </c>
      <c r="S4" s="80">
        <f t="shared" si="8"/>
        <v>0</v>
      </c>
      <c r="T4" s="80">
        <f t="shared" si="9"/>
        <v>0</v>
      </c>
      <c r="U4" s="80">
        <f>SUM(R4:T4)</f>
        <v>0</v>
      </c>
      <c r="W4" s="64"/>
      <c r="X4" s="63" t="s">
        <v>33</v>
      </c>
      <c r="Y4" s="65">
        <f>Y2-Y3</f>
        <v>73.397934826015103</v>
      </c>
      <c r="Z4" s="127"/>
      <c r="AA4" s="64"/>
    </row>
    <row r="5" spans="1:28" x14ac:dyDescent="0.35">
      <c r="A5" s="102">
        <v>3</v>
      </c>
      <c r="B5" s="103">
        <f t="shared" si="10"/>
        <v>3</v>
      </c>
      <c r="C5" s="104">
        <f t="shared" si="0"/>
        <v>2.6675999999999997</v>
      </c>
      <c r="D5" s="104">
        <f t="shared" si="3"/>
        <v>1.0966608080083624</v>
      </c>
      <c r="E5" s="104">
        <f t="shared" si="4"/>
        <v>6.5560875739478979</v>
      </c>
      <c r="F5" s="104">
        <f t="shared" si="5"/>
        <v>25.944481104378426</v>
      </c>
      <c r="G5" s="71">
        <f t="shared" si="11"/>
        <v>3</v>
      </c>
      <c r="H5" s="73">
        <v>1.5</v>
      </c>
      <c r="I5" s="73">
        <f t="shared" si="1"/>
        <v>0.52499999999999991</v>
      </c>
      <c r="J5" s="73">
        <f t="shared" si="6"/>
        <v>0.26078633163380061</v>
      </c>
      <c r="K5" s="73">
        <f t="shared" si="12"/>
        <v>1.368577860928869</v>
      </c>
      <c r="L5" s="73">
        <f t="shared" si="2"/>
        <v>99.342415930393528</v>
      </c>
      <c r="M5" s="87">
        <f t="shared" si="13"/>
        <v>3</v>
      </c>
      <c r="N5" s="79"/>
      <c r="O5" s="79"/>
      <c r="P5" s="79"/>
      <c r="Q5" s="79"/>
      <c r="R5" s="80">
        <f t="shared" si="7"/>
        <v>0</v>
      </c>
      <c r="S5" s="80">
        <f t="shared" si="8"/>
        <v>0</v>
      </c>
      <c r="T5" s="80">
        <f t="shared" si="9"/>
        <v>0</v>
      </c>
      <c r="U5" s="80">
        <f t="shared" ref="U5:U32" si="14">SUM(R5:T5)</f>
        <v>0</v>
      </c>
      <c r="W5" s="64"/>
      <c r="X5" s="64" t="s">
        <v>35</v>
      </c>
      <c r="Y5" s="65">
        <f>Y4</f>
        <v>73.397934826015103</v>
      </c>
      <c r="Z5" s="127"/>
      <c r="AA5" s="64"/>
    </row>
    <row r="6" spans="1:28" x14ac:dyDescent="0.35">
      <c r="A6" s="102">
        <v>4</v>
      </c>
      <c r="B6" s="103">
        <f t="shared" si="10"/>
        <v>4</v>
      </c>
      <c r="C6" s="104">
        <f t="shared" si="0"/>
        <v>3.5568</v>
      </c>
      <c r="D6" s="104">
        <f t="shared" si="3"/>
        <v>1.4140611505968179</v>
      </c>
      <c r="E6" s="104">
        <f t="shared" si="4"/>
        <v>8.6575831706227913</v>
      </c>
      <c r="F6" s="104">
        <f t="shared" si="5"/>
        <v>25.944481104378426</v>
      </c>
      <c r="G6" s="71">
        <f t="shared" si="11"/>
        <v>4</v>
      </c>
      <c r="H6" s="73">
        <v>2</v>
      </c>
      <c r="I6" s="73">
        <f t="shared" si="1"/>
        <v>0.7</v>
      </c>
      <c r="J6" s="73">
        <f t="shared" si="6"/>
        <v>0.33626424640790431</v>
      </c>
      <c r="K6" s="73">
        <f t="shared" si="12"/>
        <v>1.8048268958271001</v>
      </c>
      <c r="L6" s="73">
        <f t="shared" si="2"/>
        <v>99.342415930393528</v>
      </c>
      <c r="M6" s="87">
        <f t="shared" si="13"/>
        <v>4</v>
      </c>
      <c r="N6" s="79"/>
      <c r="O6" s="79"/>
      <c r="P6" s="79"/>
      <c r="Q6" s="79"/>
      <c r="R6" s="80">
        <f t="shared" si="7"/>
        <v>0</v>
      </c>
      <c r="S6" s="80">
        <f t="shared" si="8"/>
        <v>0</v>
      </c>
      <c r="T6" s="80">
        <f t="shared" si="9"/>
        <v>0</v>
      </c>
      <c r="U6" s="80">
        <f t="shared" si="14"/>
        <v>0</v>
      </c>
      <c r="W6" s="64"/>
      <c r="X6" s="64" t="s">
        <v>36</v>
      </c>
      <c r="Y6" s="91">
        <v>0</v>
      </c>
      <c r="Z6" s="127"/>
      <c r="AA6" s="64"/>
    </row>
    <row r="7" spans="1:28" x14ac:dyDescent="0.35">
      <c r="A7" s="102">
        <v>5</v>
      </c>
      <c r="B7" s="103">
        <f t="shared" si="10"/>
        <v>5</v>
      </c>
      <c r="C7" s="104">
        <f t="shared" si="0"/>
        <v>4.4459999999999997</v>
      </c>
      <c r="D7" s="104">
        <f t="shared" si="3"/>
        <v>1.7222566815192897</v>
      </c>
      <c r="E7" s="104">
        <f t="shared" si="4"/>
        <v>10.743047053646096</v>
      </c>
      <c r="F7" s="104">
        <f t="shared" si="5"/>
        <v>25.944481104378426</v>
      </c>
      <c r="G7" s="71">
        <f t="shared" si="11"/>
        <v>5</v>
      </c>
      <c r="H7" s="25">
        <v>3</v>
      </c>
      <c r="I7" s="73">
        <f t="shared" si="1"/>
        <v>1.0499999999999998</v>
      </c>
      <c r="J7" s="73">
        <f t="shared" si="6"/>
        <v>0.48114383951023654</v>
      </c>
      <c r="K7" s="73">
        <f t="shared" si="12"/>
        <v>2.6667421871469945</v>
      </c>
      <c r="L7" s="73">
        <f t="shared" si="2"/>
        <v>99.342415930393528</v>
      </c>
      <c r="M7" s="87">
        <f t="shared" si="13"/>
        <v>5</v>
      </c>
      <c r="N7" s="79"/>
      <c r="O7" s="79"/>
      <c r="P7" s="79"/>
      <c r="Q7" s="79"/>
      <c r="R7" s="80">
        <f t="shared" si="7"/>
        <v>0</v>
      </c>
      <c r="S7" s="80">
        <f t="shared" si="8"/>
        <v>0</v>
      </c>
      <c r="T7" s="80">
        <f t="shared" si="9"/>
        <v>0</v>
      </c>
      <c r="U7" s="80">
        <f t="shared" si="14"/>
        <v>0</v>
      </c>
      <c r="W7" s="64"/>
      <c r="X7" s="64" t="s">
        <v>37</v>
      </c>
      <c r="Y7" s="63">
        <v>0</v>
      </c>
      <c r="Z7" s="127"/>
    </row>
    <row r="8" spans="1:28" x14ac:dyDescent="0.35">
      <c r="A8" s="102">
        <v>6</v>
      </c>
      <c r="B8" s="103">
        <f t="shared" si="10"/>
        <v>6</v>
      </c>
      <c r="C8" s="104">
        <f t="shared" si="0"/>
        <v>5.3351999999999995</v>
      </c>
      <c r="D8" s="104">
        <f t="shared" si="3"/>
        <v>2.0233099967312578</v>
      </c>
      <c r="E8" s="104">
        <f t="shared" si="4"/>
        <v>12.816071577640272</v>
      </c>
      <c r="F8" s="104">
        <f t="shared" si="5"/>
        <v>25.944481104378426</v>
      </c>
      <c r="G8" s="71">
        <f t="shared" si="11"/>
        <v>6</v>
      </c>
      <c r="H8" s="25">
        <v>4</v>
      </c>
      <c r="I8" s="73">
        <f t="shared" si="1"/>
        <v>1.4</v>
      </c>
      <c r="J8" s="73">
        <f t="shared" si="6"/>
        <v>0.62039858298212092</v>
      </c>
      <c r="K8" s="73">
        <f t="shared" si="12"/>
        <v>3.5188608653605269</v>
      </c>
      <c r="L8" s="73">
        <f t="shared" si="2"/>
        <v>99.342415930393528</v>
      </c>
      <c r="M8" s="87">
        <f t="shared" si="13"/>
        <v>6</v>
      </c>
      <c r="N8" s="79"/>
      <c r="O8" s="79"/>
      <c r="P8" s="79"/>
      <c r="Q8" s="79"/>
      <c r="R8" s="80">
        <f t="shared" si="7"/>
        <v>0</v>
      </c>
      <c r="S8" s="80">
        <f t="shared" si="8"/>
        <v>0</v>
      </c>
      <c r="T8" s="80">
        <f t="shared" si="9"/>
        <v>0</v>
      </c>
      <c r="U8" s="80">
        <f t="shared" si="14"/>
        <v>0</v>
      </c>
      <c r="W8" s="64"/>
      <c r="X8" s="64" t="s">
        <v>38</v>
      </c>
      <c r="Y8" s="91">
        <v>0</v>
      </c>
      <c r="Z8" s="127"/>
    </row>
    <row r="9" spans="1:28" x14ac:dyDescent="0.35">
      <c r="A9" s="102">
        <v>7</v>
      </c>
      <c r="B9" s="103">
        <f t="shared" si="10"/>
        <v>7</v>
      </c>
      <c r="C9" s="104">
        <f t="shared" si="0"/>
        <v>6.2243999999999993</v>
      </c>
      <c r="D9" s="104">
        <f t="shared" si="3"/>
        <v>2.3185507720937846</v>
      </c>
      <c r="E9" s="104">
        <f t="shared" si="4"/>
        <v>14.878972594730007</v>
      </c>
      <c r="F9" s="104">
        <f t="shared" si="5"/>
        <v>25.944481104378426</v>
      </c>
      <c r="G9" s="71">
        <f t="shared" si="11"/>
        <v>7</v>
      </c>
      <c r="H9" s="25">
        <v>6</v>
      </c>
      <c r="I9" s="73">
        <f t="shared" si="1"/>
        <v>2.0999999999999996</v>
      </c>
      <c r="J9" s="73">
        <f t="shared" si="6"/>
        <v>0.8876975754378359</v>
      </c>
      <c r="K9" s="73">
        <f t="shared" si="12"/>
        <v>5.2035732772208965</v>
      </c>
      <c r="L9" s="73">
        <f t="shared" si="2"/>
        <v>99.342415930393528</v>
      </c>
      <c r="M9" s="87">
        <f t="shared" si="13"/>
        <v>7</v>
      </c>
      <c r="N9" s="79"/>
      <c r="O9" s="79"/>
      <c r="P9" s="79"/>
      <c r="Q9" s="79"/>
      <c r="R9" s="80">
        <f t="shared" si="7"/>
        <v>0</v>
      </c>
      <c r="S9" s="80">
        <f t="shared" si="8"/>
        <v>0</v>
      </c>
      <c r="T9" s="80">
        <f t="shared" si="9"/>
        <v>0</v>
      </c>
      <c r="U9" s="80">
        <f t="shared" si="14"/>
        <v>0</v>
      </c>
      <c r="W9" s="64"/>
      <c r="X9" s="67" t="s">
        <v>39</v>
      </c>
      <c r="Y9" s="92">
        <f>SUM(Y5:Y8)</f>
        <v>73.397934826015103</v>
      </c>
      <c r="Z9" s="127"/>
      <c r="AA9" s="64"/>
    </row>
    <row r="10" spans="1:28" x14ac:dyDescent="0.35">
      <c r="A10" s="102">
        <v>8</v>
      </c>
      <c r="B10" s="103">
        <f t="shared" si="10"/>
        <v>8</v>
      </c>
      <c r="C10" s="104">
        <f t="shared" si="0"/>
        <v>7.1135999999999999</v>
      </c>
      <c r="D10" s="104">
        <f t="shared" si="3"/>
        <v>2.6089051793396725</v>
      </c>
      <c r="E10" s="104">
        <f t="shared" si="4"/>
        <v>16.933363187349929</v>
      </c>
      <c r="F10" s="104">
        <f t="shared" si="5"/>
        <v>25.944481104378426</v>
      </c>
      <c r="G10" s="71">
        <f t="shared" si="11"/>
        <v>8</v>
      </c>
      <c r="H10" s="25">
        <v>7.8336000000000006</v>
      </c>
      <c r="I10" s="73">
        <f t="shared" si="1"/>
        <v>2.7417600000000002</v>
      </c>
      <c r="J10" s="73">
        <f t="shared" si="6"/>
        <v>1.123556391564114</v>
      </c>
      <c r="K10" s="73">
        <f t="shared" si="12"/>
        <v>6.7320927153074983</v>
      </c>
      <c r="L10" s="73">
        <f t="shared" si="2"/>
        <v>99.342415930393528</v>
      </c>
      <c r="M10" s="87">
        <f t="shared" si="13"/>
        <v>8</v>
      </c>
      <c r="N10" s="79"/>
      <c r="O10" s="79"/>
      <c r="P10" s="79"/>
      <c r="Q10" s="79"/>
      <c r="R10" s="80">
        <f t="shared" si="7"/>
        <v>0</v>
      </c>
      <c r="S10" s="80">
        <f t="shared" si="8"/>
        <v>0</v>
      </c>
      <c r="T10" s="80">
        <f t="shared" si="9"/>
        <v>0</v>
      </c>
      <c r="U10" s="80">
        <f t="shared" si="14"/>
        <v>0</v>
      </c>
      <c r="W10" s="64"/>
      <c r="X10" s="64" t="s">
        <v>40</v>
      </c>
      <c r="Y10" s="65">
        <f>SUM(N2:N32)</f>
        <v>302.89920000000001</v>
      </c>
      <c r="Z10" s="127"/>
      <c r="AA10" s="64"/>
    </row>
    <row r="11" spans="1:28" x14ac:dyDescent="0.35">
      <c r="A11" s="102">
        <v>9</v>
      </c>
      <c r="B11" s="103">
        <f t="shared" si="10"/>
        <v>9</v>
      </c>
      <c r="C11" s="104">
        <f t="shared" si="0"/>
        <v>8.0028000000000006</v>
      </c>
      <c r="D11" s="104">
        <f t="shared" si="3"/>
        <v>2.8950539664743791</v>
      </c>
      <c r="E11" s="104">
        <f t="shared" si="4"/>
        <v>18.980428991609543</v>
      </c>
      <c r="F11" s="104">
        <f t="shared" si="5"/>
        <v>25.944481104378426</v>
      </c>
      <c r="G11" s="71">
        <f t="shared" si="11"/>
        <v>9</v>
      </c>
      <c r="H11" s="25">
        <v>28.723200000000002</v>
      </c>
      <c r="I11" s="73">
        <f t="shared" si="1"/>
        <v>10.05312</v>
      </c>
      <c r="J11" s="73">
        <f t="shared" si="6"/>
        <v>3.5414825854533278</v>
      </c>
      <c r="K11" s="73">
        <f t="shared" si="12"/>
        <v>23.677266169664545</v>
      </c>
      <c r="L11" s="73">
        <f t="shared" si="2"/>
        <v>99.342415930393528</v>
      </c>
      <c r="M11" s="87">
        <f t="shared" si="13"/>
        <v>9</v>
      </c>
      <c r="N11" s="79"/>
      <c r="O11" s="79"/>
      <c r="P11" s="79"/>
      <c r="Q11" s="79"/>
      <c r="R11" s="80">
        <f t="shared" si="7"/>
        <v>0</v>
      </c>
      <c r="S11" s="80">
        <f t="shared" si="8"/>
        <v>0</v>
      </c>
      <c r="T11" s="80">
        <f t="shared" si="9"/>
        <v>0</v>
      </c>
      <c r="U11" s="80">
        <f t="shared" si="14"/>
        <v>0</v>
      </c>
      <c r="W11" s="64"/>
      <c r="X11" s="64" t="s">
        <v>41</v>
      </c>
      <c r="Y11" s="64">
        <v>1.03</v>
      </c>
      <c r="Z11" s="127"/>
      <c r="AA11" s="64"/>
    </row>
    <row r="12" spans="1:28" x14ac:dyDescent="0.35">
      <c r="A12" s="102">
        <v>10</v>
      </c>
      <c r="B12" s="103">
        <f t="shared" si="10"/>
        <v>10</v>
      </c>
      <c r="C12" s="104">
        <f t="shared" si="0"/>
        <v>8.8919999999999995</v>
      </c>
      <c r="D12" s="104">
        <f t="shared" si="3"/>
        <v>3.177517729464268</v>
      </c>
      <c r="E12" s="104">
        <f t="shared" si="4"/>
        <v>21.021076712150265</v>
      </c>
      <c r="F12" s="104">
        <f t="shared" si="5"/>
        <v>25.944481104378426</v>
      </c>
      <c r="G12" s="71">
        <f t="shared" si="11"/>
        <v>10</v>
      </c>
      <c r="H12" s="25">
        <v>52.223999999999997</v>
      </c>
      <c r="I12" s="73">
        <f t="shared" si="1"/>
        <v>18.278399999999998</v>
      </c>
      <c r="J12" s="73">
        <f t="shared" si="6"/>
        <v>6.0062117346081276</v>
      </c>
      <c r="K12" s="73">
        <f t="shared" si="12"/>
        <v>42.295698771109151</v>
      </c>
      <c r="L12" s="73">
        <f t="shared" si="2"/>
        <v>99.342415930393528</v>
      </c>
      <c r="M12" s="87">
        <f t="shared" si="13"/>
        <v>10</v>
      </c>
      <c r="N12" s="79"/>
      <c r="O12" s="79"/>
      <c r="P12" s="79"/>
      <c r="Q12" s="79"/>
      <c r="R12" s="80">
        <f t="shared" si="7"/>
        <v>0</v>
      </c>
      <c r="S12" s="80">
        <f t="shared" si="8"/>
        <v>0</v>
      </c>
      <c r="T12" s="80">
        <f t="shared" si="9"/>
        <v>0</v>
      </c>
      <c r="U12" s="80">
        <f t="shared" si="14"/>
        <v>0</v>
      </c>
      <c r="W12" s="64"/>
      <c r="X12" s="67" t="s">
        <v>42</v>
      </c>
      <c r="Y12" s="86">
        <f>Y10*Y11</f>
        <v>311.986176</v>
      </c>
      <c r="Z12" s="127"/>
      <c r="AA12" s="64"/>
    </row>
    <row r="13" spans="1:28" x14ac:dyDescent="0.35">
      <c r="A13" s="102">
        <v>11</v>
      </c>
      <c r="B13" s="103">
        <f t="shared" si="10"/>
        <v>11</v>
      </c>
      <c r="C13" s="104">
        <f t="shared" si="0"/>
        <v>9.7812000000000001</v>
      </c>
      <c r="D13" s="104">
        <f t="shared" si="3"/>
        <v>3.4567069199829903</v>
      </c>
      <c r="E13" s="104">
        <f t="shared" si="4"/>
        <v>23.056021218970372</v>
      </c>
      <c r="F13" s="104">
        <f t="shared" si="5"/>
        <v>25.944481104378426</v>
      </c>
      <c r="G13" s="71">
        <f t="shared" si="11"/>
        <v>11</v>
      </c>
      <c r="H13" s="25">
        <v>75.724800000000002</v>
      </c>
      <c r="I13" s="73">
        <f t="shared" si="1"/>
        <v>26.503679999999999</v>
      </c>
      <c r="J13" s="73">
        <f t="shared" si="6"/>
        <v>8.3403716793838125</v>
      </c>
      <c r="K13" s="73">
        <f>(I13+J13)*0.475*44/12</f>
        <v>60.686723341593456</v>
      </c>
      <c r="L13" s="73">
        <f t="shared" si="2"/>
        <v>99.342415930393528</v>
      </c>
      <c r="M13" s="87">
        <f t="shared" si="13"/>
        <v>11</v>
      </c>
      <c r="N13" s="79"/>
      <c r="O13" s="79"/>
      <c r="P13" s="79"/>
      <c r="Q13" s="79"/>
      <c r="R13" s="80">
        <f t="shared" si="7"/>
        <v>0</v>
      </c>
      <c r="S13" s="80">
        <f t="shared" si="8"/>
        <v>0</v>
      </c>
      <c r="T13" s="80">
        <f t="shared" si="9"/>
        <v>0</v>
      </c>
      <c r="U13" s="80">
        <f t="shared" si="14"/>
        <v>0</v>
      </c>
      <c r="W13" s="64"/>
      <c r="X13" s="67" t="s">
        <v>43</v>
      </c>
      <c r="Y13" s="92">
        <f>AVERAGE(U2:U32)</f>
        <v>29.662237825215133</v>
      </c>
      <c r="Z13" s="127"/>
      <c r="AA13" s="64"/>
    </row>
    <row r="14" spans="1:28" x14ac:dyDescent="0.35">
      <c r="A14" s="102">
        <v>12</v>
      </c>
      <c r="B14" s="103">
        <f t="shared" si="10"/>
        <v>12</v>
      </c>
      <c r="C14" s="104">
        <f t="shared" si="0"/>
        <v>10.670399999999999</v>
      </c>
      <c r="D14" s="104">
        <f t="shared" si="3"/>
        <v>3.7329530817348457</v>
      </c>
      <c r="E14" s="104">
        <f t="shared" si="4"/>
        <v>25.085839950688193</v>
      </c>
      <c r="F14" s="104">
        <f t="shared" si="5"/>
        <v>25.944481104378426</v>
      </c>
      <c r="G14" s="71">
        <f t="shared" si="11"/>
        <v>12</v>
      </c>
      <c r="H14" s="25">
        <v>101.83680000000001</v>
      </c>
      <c r="I14" s="73">
        <f t="shared" si="1"/>
        <v>35.642879999999998</v>
      </c>
      <c r="J14" s="73">
        <f t="shared" si="6"/>
        <v>10.836155304531353</v>
      </c>
      <c r="K14" s="73">
        <f t="shared" si="12"/>
        <v>80.950986488725434</v>
      </c>
      <c r="L14" s="73">
        <f t="shared" si="2"/>
        <v>99.342415930393528</v>
      </c>
      <c r="M14" s="87">
        <f t="shared" si="13"/>
        <v>12</v>
      </c>
      <c r="N14" s="79"/>
      <c r="O14" s="79"/>
      <c r="P14" s="79"/>
      <c r="Q14" s="79"/>
      <c r="R14" s="80">
        <f t="shared" si="7"/>
        <v>0</v>
      </c>
      <c r="S14" s="80">
        <f t="shared" si="8"/>
        <v>0</v>
      </c>
      <c r="T14" s="80">
        <f t="shared" si="9"/>
        <v>0</v>
      </c>
      <c r="U14" s="80">
        <f t="shared" si="14"/>
        <v>0</v>
      </c>
      <c r="W14" s="64"/>
      <c r="Z14" s="127"/>
      <c r="AA14" s="64"/>
    </row>
    <row r="15" spans="1:28" x14ac:dyDescent="0.35">
      <c r="A15" s="102">
        <v>13</v>
      </c>
      <c r="B15" s="103">
        <f t="shared" si="10"/>
        <v>13</v>
      </c>
      <c r="C15" s="104">
        <f t="shared" si="0"/>
        <v>11.5596</v>
      </c>
      <c r="D15" s="104">
        <f t="shared" si="3"/>
        <v>4.0065293501366055</v>
      </c>
      <c r="E15" s="104">
        <f t="shared" si="4"/>
        <v>27.111008618154589</v>
      </c>
      <c r="F15" s="104">
        <f t="shared" si="5"/>
        <v>25.944481104378426</v>
      </c>
      <c r="G15" s="71">
        <f t="shared" si="11"/>
        <v>13</v>
      </c>
      <c r="H15" s="25">
        <v>125.33760000000001</v>
      </c>
      <c r="I15" s="73">
        <f t="shared" si="1"/>
        <v>43.868160000000003</v>
      </c>
      <c r="J15" s="73">
        <f t="shared" si="6"/>
        <v>13.018330452623808</v>
      </c>
      <c r="K15" s="73">
        <f t="shared" si="12"/>
        <v>99.077304204986476</v>
      </c>
      <c r="L15" s="73">
        <f t="shared" si="2"/>
        <v>99.342415930393528</v>
      </c>
      <c r="M15" s="87">
        <f t="shared" si="13"/>
        <v>13</v>
      </c>
      <c r="N15" s="79"/>
      <c r="O15" s="79"/>
      <c r="P15" s="79"/>
      <c r="Q15" s="79"/>
      <c r="R15" s="80">
        <f t="shared" si="7"/>
        <v>0</v>
      </c>
      <c r="S15" s="80">
        <f t="shared" si="8"/>
        <v>0</v>
      </c>
      <c r="T15" s="80">
        <f t="shared" si="9"/>
        <v>0</v>
      </c>
      <c r="U15" s="80">
        <f t="shared" si="14"/>
        <v>0</v>
      </c>
      <c r="W15" s="64"/>
      <c r="X15" s="97" t="s">
        <v>107</v>
      </c>
      <c r="Y15" s="92">
        <f>Y9+Y12+Y13</f>
        <v>415.04634865123023</v>
      </c>
      <c r="Z15" s="64"/>
      <c r="AA15" s="64"/>
    </row>
    <row r="16" spans="1:28" x14ac:dyDescent="0.35">
      <c r="A16" s="102">
        <v>14</v>
      </c>
      <c r="B16" s="103">
        <f t="shared" si="10"/>
        <v>14</v>
      </c>
      <c r="C16" s="104">
        <f t="shared" si="0"/>
        <v>12.448799999999999</v>
      </c>
      <c r="D16" s="104">
        <f t="shared" si="3"/>
        <v>4.2776644527179633</v>
      </c>
      <c r="E16" s="104">
        <f t="shared" si="4"/>
        <v>29.131925588483782</v>
      </c>
      <c r="F16" s="104">
        <f t="shared" si="5"/>
        <v>25.944481104378426</v>
      </c>
      <c r="G16" s="71">
        <f t="shared" si="11"/>
        <v>14</v>
      </c>
      <c r="H16" s="25">
        <v>148.83840000000001</v>
      </c>
      <c r="I16" s="73">
        <f t="shared" si="1"/>
        <v>52.093440000000001</v>
      </c>
      <c r="J16" s="73">
        <f t="shared" si="6"/>
        <v>15.153102343397276</v>
      </c>
      <c r="K16" s="73">
        <f t="shared" si="12"/>
        <v>117.12106124808359</v>
      </c>
      <c r="L16" s="73">
        <f t="shared" si="2"/>
        <v>99.342415930393528</v>
      </c>
      <c r="M16" s="87">
        <f t="shared" si="13"/>
        <v>14</v>
      </c>
      <c r="N16" s="79"/>
      <c r="O16" s="81"/>
      <c r="P16" s="81"/>
      <c r="Q16" s="81"/>
      <c r="R16" s="80">
        <f t="shared" si="7"/>
        <v>0</v>
      </c>
      <c r="S16" s="80">
        <f t="shared" si="8"/>
        <v>0</v>
      </c>
      <c r="T16" s="80">
        <f t="shared" si="9"/>
        <v>0</v>
      </c>
      <c r="U16" s="80">
        <f t="shared" si="14"/>
        <v>0</v>
      </c>
      <c r="W16" s="64"/>
      <c r="Z16" s="64"/>
      <c r="AA16" s="64"/>
    </row>
    <row r="17" spans="1:27" x14ac:dyDescent="0.35">
      <c r="A17" s="102">
        <v>15</v>
      </c>
      <c r="B17" s="103">
        <f t="shared" si="10"/>
        <v>15</v>
      </c>
      <c r="C17" s="104">
        <f t="shared" si="0"/>
        <v>13.337999999999999</v>
      </c>
      <c r="D17" s="104">
        <f t="shared" si="3"/>
        <v>4.5465525901071517</v>
      </c>
      <c r="E17" s="104">
        <f t="shared" si="4"/>
        <v>31.148929094436621</v>
      </c>
      <c r="F17" s="104">
        <f t="shared" si="5"/>
        <v>25.944481104378426</v>
      </c>
      <c r="G17" s="71">
        <f t="shared" si="11"/>
        <v>15</v>
      </c>
      <c r="H17" s="25">
        <v>172.33919999999998</v>
      </c>
      <c r="I17" s="73">
        <f t="shared" si="1"/>
        <v>60.318719999999985</v>
      </c>
      <c r="J17" s="73">
        <f t="shared" si="6"/>
        <v>17.248826564712438</v>
      </c>
      <c r="K17" s="73">
        <f t="shared" si="12"/>
        <v>135.09681026687412</v>
      </c>
      <c r="L17" s="73">
        <f t="shared" si="2"/>
        <v>99.342415930393528</v>
      </c>
      <c r="M17" s="87">
        <f t="shared" si="13"/>
        <v>15</v>
      </c>
      <c r="N17" s="79"/>
      <c r="O17" s="79"/>
      <c r="P17" s="79"/>
      <c r="Q17" s="79"/>
      <c r="R17" s="80">
        <f t="shared" si="7"/>
        <v>0</v>
      </c>
      <c r="S17" s="80">
        <f t="shared" si="8"/>
        <v>0</v>
      </c>
      <c r="T17" s="80">
        <f t="shared" si="9"/>
        <v>0</v>
      </c>
      <c r="U17" s="80">
        <f t="shared" si="14"/>
        <v>0</v>
      </c>
    </row>
    <row r="18" spans="1:27" x14ac:dyDescent="0.35">
      <c r="A18" s="102">
        <v>16</v>
      </c>
      <c r="B18" s="103">
        <f t="shared" si="10"/>
        <v>16</v>
      </c>
      <c r="C18" s="104">
        <f t="shared" si="0"/>
        <v>14.2272</v>
      </c>
      <c r="D18" s="104">
        <f t="shared" si="3"/>
        <v>4.81336060460516</v>
      </c>
      <c r="E18" s="104">
        <f t="shared" si="4"/>
        <v>33.162309719687322</v>
      </c>
      <c r="F18" s="104">
        <f t="shared" si="5"/>
        <v>25.944481104378426</v>
      </c>
      <c r="G18" s="71">
        <f t="shared" si="11"/>
        <v>16</v>
      </c>
      <c r="H18" s="25">
        <v>193.22880000000001</v>
      </c>
      <c r="I18" s="73">
        <f t="shared" si="1"/>
        <v>67.630079999999992</v>
      </c>
      <c r="J18" s="73">
        <f t="shared" si="6"/>
        <v>19.083748371032655</v>
      </c>
      <c r="K18" s="73">
        <f t="shared" si="12"/>
        <v>151.02658441288187</v>
      </c>
      <c r="L18" s="73">
        <f t="shared" si="2"/>
        <v>99.342415930393528</v>
      </c>
      <c r="M18" s="87">
        <f t="shared" si="13"/>
        <v>16</v>
      </c>
      <c r="N18" s="79"/>
      <c r="O18" s="79"/>
      <c r="P18" s="81"/>
      <c r="Q18" s="81"/>
      <c r="R18" s="80">
        <f t="shared" si="7"/>
        <v>0</v>
      </c>
      <c r="S18" s="80">
        <f t="shared" si="8"/>
        <v>0</v>
      </c>
      <c r="T18" s="80">
        <f t="shared" si="9"/>
        <v>0</v>
      </c>
      <c r="U18" s="80">
        <f t="shared" si="14"/>
        <v>0</v>
      </c>
      <c r="Z18" s="64"/>
      <c r="AA18" s="64"/>
    </row>
    <row r="19" spans="1:27" x14ac:dyDescent="0.35">
      <c r="A19" s="102">
        <v>17</v>
      </c>
      <c r="B19" s="103">
        <f t="shared" si="10"/>
        <v>17</v>
      </c>
      <c r="C19" s="104">
        <f t="shared" si="0"/>
        <v>15.116399999999999</v>
      </c>
      <c r="D19" s="104">
        <f t="shared" si="3"/>
        <v>5.0782333044806913</v>
      </c>
      <c r="E19" s="104">
        <f t="shared" si="4"/>
        <v>35.172319671970534</v>
      </c>
      <c r="F19" s="104">
        <f t="shared" si="5"/>
        <v>25.944481104378426</v>
      </c>
      <c r="G19" s="71">
        <f t="shared" si="11"/>
        <v>17</v>
      </c>
      <c r="H19" s="25">
        <v>211.50720000000001</v>
      </c>
      <c r="I19" s="73">
        <f t="shared" si="1"/>
        <v>74.027519999999996</v>
      </c>
      <c r="J19" s="73">
        <f t="shared" si="6"/>
        <v>20.670353155130776</v>
      </c>
      <c r="K19" s="73">
        <f t="shared" si="12"/>
        <v>164.93212907851941</v>
      </c>
      <c r="L19" s="73">
        <f t="shared" si="2"/>
        <v>99.342415930393528</v>
      </c>
      <c r="M19" s="87">
        <f t="shared" si="13"/>
        <v>17</v>
      </c>
      <c r="N19" s="79"/>
      <c r="O19" s="79"/>
      <c r="P19" s="79"/>
      <c r="Q19" s="79"/>
      <c r="R19" s="80">
        <f t="shared" si="7"/>
        <v>0</v>
      </c>
      <c r="S19" s="80">
        <f t="shared" si="8"/>
        <v>0</v>
      </c>
      <c r="T19" s="80">
        <f t="shared" si="9"/>
        <v>0</v>
      </c>
      <c r="U19" s="80">
        <f t="shared" si="14"/>
        <v>0</v>
      </c>
      <c r="Z19" s="64"/>
      <c r="AA19" s="64"/>
    </row>
    <row r="20" spans="1:27" x14ac:dyDescent="0.35">
      <c r="A20" s="102">
        <v>18</v>
      </c>
      <c r="B20" s="103">
        <f t="shared" si="10"/>
        <v>18</v>
      </c>
      <c r="C20" s="104">
        <f t="shared" si="0"/>
        <v>16.005600000000001</v>
      </c>
      <c r="D20" s="104">
        <f t="shared" si="3"/>
        <v>5.3412974993444156</v>
      </c>
      <c r="E20" s="104">
        <f t="shared" si="4"/>
        <v>37.179179811358189</v>
      </c>
      <c r="F20" s="104">
        <f t="shared" si="5"/>
        <v>25.944481104378426</v>
      </c>
      <c r="G20" s="71">
        <f t="shared" si="11"/>
        <v>18</v>
      </c>
      <c r="H20" s="25">
        <v>229.78560000000002</v>
      </c>
      <c r="I20" s="73">
        <f t="shared" si="1"/>
        <v>80.424959999999999</v>
      </c>
      <c r="J20" s="73">
        <f t="shared" si="6"/>
        <v>22.241056998141804</v>
      </c>
      <c r="K20" s="73">
        <f t="shared" si="12"/>
        <v>178.80997960509694</v>
      </c>
      <c r="L20" s="73">
        <f t="shared" si="2"/>
        <v>99.342415930393528</v>
      </c>
      <c r="M20" s="87">
        <f t="shared" si="13"/>
        <v>18</v>
      </c>
      <c r="N20" s="79"/>
      <c r="O20" s="81"/>
      <c r="P20" s="81"/>
      <c r="Q20" s="81"/>
      <c r="R20" s="80">
        <f t="shared" si="7"/>
        <v>0</v>
      </c>
      <c r="S20" s="80">
        <f t="shared" si="8"/>
        <v>0</v>
      </c>
      <c r="T20" s="80">
        <f t="shared" si="9"/>
        <v>0</v>
      </c>
      <c r="U20" s="80">
        <f t="shared" si="14"/>
        <v>0</v>
      </c>
      <c r="X20" s="66"/>
      <c r="Y20" s="85"/>
    </row>
    <row r="21" spans="1:27" x14ac:dyDescent="0.35">
      <c r="A21" s="102">
        <v>19</v>
      </c>
      <c r="B21" s="103">
        <f t="shared" si="10"/>
        <v>19</v>
      </c>
      <c r="C21" s="104">
        <f t="shared" si="0"/>
        <v>16.8948</v>
      </c>
      <c r="D21" s="104">
        <f t="shared" si="3"/>
        <v>5.6026651130643454</v>
      </c>
      <c r="E21" s="104">
        <f t="shared" si="4"/>
        <v>39.183085071920395</v>
      </c>
      <c r="F21" s="104">
        <f t="shared" si="5"/>
        <v>25.944481104378426</v>
      </c>
      <c r="G21" s="71">
        <f t="shared" si="11"/>
        <v>19</v>
      </c>
      <c r="H21" s="25">
        <v>245.4528</v>
      </c>
      <c r="I21" s="73">
        <f t="shared" si="1"/>
        <v>85.908479999999997</v>
      </c>
      <c r="J21" s="73">
        <f t="shared" si="6"/>
        <v>23.575792769127819</v>
      </c>
      <c r="K21" s="73">
        <f t="shared" si="12"/>
        <v>190.68510840623094</v>
      </c>
      <c r="L21" s="73">
        <f t="shared" si="2"/>
        <v>99.342415930393528</v>
      </c>
      <c r="M21" s="87">
        <f t="shared" si="13"/>
        <v>19</v>
      </c>
      <c r="N21" s="82"/>
      <c r="O21" s="89"/>
      <c r="P21" s="89"/>
      <c r="Q21" s="89"/>
      <c r="R21" s="80">
        <f t="shared" si="7"/>
        <v>0</v>
      </c>
      <c r="S21" s="80">
        <f t="shared" si="8"/>
        <v>0</v>
      </c>
      <c r="T21" s="80">
        <f t="shared" si="9"/>
        <v>0</v>
      </c>
      <c r="U21" s="80">
        <f t="shared" si="14"/>
        <v>0</v>
      </c>
      <c r="Y21" s="64"/>
    </row>
    <row r="22" spans="1:27" x14ac:dyDescent="0.35">
      <c r="A22" s="102">
        <v>20</v>
      </c>
      <c r="B22" s="103">
        <f t="shared" si="10"/>
        <v>20</v>
      </c>
      <c r="C22" s="104">
        <f t="shared" si="0"/>
        <v>17.783999999999999</v>
      </c>
      <c r="D22" s="104">
        <f t="shared" si="3"/>
        <v>5.862435622634961</v>
      </c>
      <c r="E22" s="104">
        <f t="shared" si="4"/>
        <v>41.184208709422556</v>
      </c>
      <c r="F22" s="104">
        <f t="shared" si="5"/>
        <v>25.944481104378426</v>
      </c>
      <c r="G22" s="71">
        <f t="shared" si="11"/>
        <v>20</v>
      </c>
      <c r="H22" s="25">
        <v>258.50880000000001</v>
      </c>
      <c r="I22" s="73">
        <f t="shared" si="1"/>
        <v>90.478079999999991</v>
      </c>
      <c r="J22" s="73">
        <f t="shared" si="6"/>
        <v>24.680490801643625</v>
      </c>
      <c r="K22" s="73">
        <f t="shared" si="12"/>
        <v>200.56784414619597</v>
      </c>
      <c r="L22" s="73">
        <f t="shared" si="2"/>
        <v>99.342415930393528</v>
      </c>
      <c r="M22" s="87">
        <f t="shared" si="13"/>
        <v>20</v>
      </c>
      <c r="N22" s="79"/>
      <c r="O22" s="81"/>
      <c r="P22" s="93"/>
      <c r="Q22" s="93"/>
      <c r="R22" s="80">
        <f t="shared" si="7"/>
        <v>0</v>
      </c>
      <c r="S22" s="80">
        <f t="shared" si="8"/>
        <v>0</v>
      </c>
      <c r="T22" s="80">
        <f t="shared" si="9"/>
        <v>0</v>
      </c>
      <c r="U22" s="80">
        <f t="shared" si="14"/>
        <v>0</v>
      </c>
      <c r="Y22" s="64"/>
    </row>
    <row r="23" spans="1:27" x14ac:dyDescent="0.35">
      <c r="A23" s="102">
        <v>21</v>
      </c>
      <c r="B23" s="103">
        <f t="shared" si="10"/>
        <v>21</v>
      </c>
      <c r="C23" s="104">
        <f t="shared" si="0"/>
        <v>18.673199999999998</v>
      </c>
      <c r="D23" s="104">
        <f t="shared" si="3"/>
        <v>6.120697995410775</v>
      </c>
      <c r="E23" s="104">
        <f t="shared" si="4"/>
        <v>43.182705675340429</v>
      </c>
      <c r="F23" s="104">
        <f t="shared" si="5"/>
        <v>25.944481104378426</v>
      </c>
      <c r="G23" s="71">
        <f t="shared" si="11"/>
        <v>21</v>
      </c>
      <c r="H23" s="25">
        <v>271.56479999999999</v>
      </c>
      <c r="I23" s="73">
        <f t="shared" si="1"/>
        <v>95.047679999999986</v>
      </c>
      <c r="J23" s="73">
        <f t="shared" si="6"/>
        <v>25.778710693110984</v>
      </c>
      <c r="K23" s="73">
        <f t="shared" si="12"/>
        <v>210.4392971238349</v>
      </c>
      <c r="L23" s="73">
        <f t="shared" si="2"/>
        <v>99.342415930393528</v>
      </c>
      <c r="M23" s="87">
        <f t="shared" si="13"/>
        <v>21</v>
      </c>
      <c r="N23" s="79"/>
      <c r="O23" s="81"/>
      <c r="P23" s="81"/>
      <c r="Q23" s="81"/>
      <c r="R23" s="80">
        <f t="shared" si="7"/>
        <v>0</v>
      </c>
      <c r="S23" s="80">
        <f t="shared" si="8"/>
        <v>0</v>
      </c>
      <c r="T23" s="80">
        <f t="shared" si="9"/>
        <v>0</v>
      </c>
      <c r="U23" s="80">
        <f t="shared" si="14"/>
        <v>0</v>
      </c>
      <c r="Y23" s="64"/>
    </row>
    <row r="24" spans="1:27" x14ac:dyDescent="0.35">
      <c r="A24" s="102">
        <v>22</v>
      </c>
      <c r="B24" s="103">
        <f t="shared" si="10"/>
        <v>22</v>
      </c>
      <c r="C24" s="104">
        <f t="shared" si="0"/>
        <v>19.5624</v>
      </c>
      <c r="D24" s="104">
        <f t="shared" si="3"/>
        <v>6.3775322468881095</v>
      </c>
      <c r="E24" s="104">
        <f t="shared" si="4"/>
        <v>45.178715329996784</v>
      </c>
      <c r="F24" s="104">
        <f t="shared" si="5"/>
        <v>25.944481104378426</v>
      </c>
      <c r="G24" s="71">
        <f t="shared" si="11"/>
        <v>22</v>
      </c>
      <c r="H24" s="25">
        <v>279.39840000000004</v>
      </c>
      <c r="I24" s="73">
        <f t="shared" si="1"/>
        <v>97.789440000000013</v>
      </c>
      <c r="J24" s="73">
        <f t="shared" si="6"/>
        <v>26.434678930847817</v>
      </c>
      <c r="K24" s="73">
        <f t="shared" si="12"/>
        <v>216.35700713789331</v>
      </c>
      <c r="L24" s="73">
        <f t="shared" si="2"/>
        <v>99.342415930393528</v>
      </c>
      <c r="M24" s="87">
        <f t="shared" si="13"/>
        <v>22</v>
      </c>
      <c r="N24" s="79"/>
      <c r="O24" s="79"/>
      <c r="P24" s="79"/>
      <c r="Q24" s="79"/>
      <c r="R24" s="80">
        <f t="shared" si="7"/>
        <v>0</v>
      </c>
      <c r="S24" s="80">
        <f t="shared" si="8"/>
        <v>0</v>
      </c>
      <c r="T24" s="80">
        <f t="shared" si="9"/>
        <v>0</v>
      </c>
      <c r="U24" s="80">
        <f t="shared" si="14"/>
        <v>0</v>
      </c>
      <c r="Y24" s="64"/>
    </row>
    <row r="25" spans="1:27" x14ac:dyDescent="0.35">
      <c r="A25" s="102">
        <v>23</v>
      </c>
      <c r="B25" s="103">
        <f t="shared" si="10"/>
        <v>23</v>
      </c>
      <c r="C25" s="104">
        <f t="shared" si="0"/>
        <v>20.451599999999999</v>
      </c>
      <c r="D25" s="104">
        <f t="shared" si="3"/>
        <v>6.6330107072474558</v>
      </c>
      <c r="E25" s="104">
        <f t="shared" si="4"/>
        <v>47.172363648455985</v>
      </c>
      <c r="F25" s="104">
        <f t="shared" si="5"/>
        <v>25.944481104378426</v>
      </c>
      <c r="G25" s="71">
        <f t="shared" si="11"/>
        <v>23</v>
      </c>
      <c r="H25" s="25">
        <v>289.84320000000002</v>
      </c>
      <c r="I25" s="73">
        <f t="shared" si="1"/>
        <v>101.44512</v>
      </c>
      <c r="J25" s="73">
        <f t="shared" si="6"/>
        <v>27.305989446013374</v>
      </c>
      <c r="K25" s="73">
        <f t="shared" si="12"/>
        <v>224.24151561847327</v>
      </c>
      <c r="L25" s="73">
        <f t="shared" si="2"/>
        <v>99.342415930393528</v>
      </c>
      <c r="M25" s="87">
        <f t="shared" si="13"/>
        <v>23</v>
      </c>
      <c r="N25" s="79"/>
      <c r="O25" s="81"/>
      <c r="P25" s="81"/>
      <c r="Q25" s="93"/>
      <c r="R25" s="80">
        <f t="shared" si="7"/>
        <v>0</v>
      </c>
      <c r="S25" s="80">
        <f t="shared" si="8"/>
        <v>0</v>
      </c>
      <c r="T25" s="80">
        <f t="shared" si="9"/>
        <v>0</v>
      </c>
      <c r="U25" s="80">
        <f t="shared" si="14"/>
        <v>0</v>
      </c>
      <c r="Y25" s="64"/>
    </row>
    <row r="26" spans="1:27" x14ac:dyDescent="0.35">
      <c r="A26" s="102">
        <v>24</v>
      </c>
      <c r="B26" s="103">
        <f t="shared" si="10"/>
        <v>24</v>
      </c>
      <c r="C26" s="104">
        <f t="shared" si="0"/>
        <v>21.340799999999998</v>
      </c>
      <c r="D26" s="104">
        <f t="shared" si="3"/>
        <v>6.8871990614123195</v>
      </c>
      <c r="E26" s="104">
        <f t="shared" si="4"/>
        <v>49.163765031959791</v>
      </c>
      <c r="F26" s="104">
        <f t="shared" si="5"/>
        <v>25.944481104378426</v>
      </c>
      <c r="G26" s="71">
        <f t="shared" si="11"/>
        <v>24</v>
      </c>
      <c r="H26" s="25">
        <v>297.67680000000001</v>
      </c>
      <c r="I26" s="73">
        <f t="shared" si="1"/>
        <v>104.18688</v>
      </c>
      <c r="J26" s="73">
        <f t="shared" si="6"/>
        <v>27.957070435085509</v>
      </c>
      <c r="K26" s="73">
        <f t="shared" si="12"/>
        <v>230.15071367444057</v>
      </c>
      <c r="L26" s="73">
        <f t="shared" si="2"/>
        <v>99.342415930393528</v>
      </c>
      <c r="M26" s="87">
        <f t="shared" si="13"/>
        <v>24</v>
      </c>
      <c r="N26" s="83"/>
      <c r="O26" s="84"/>
      <c r="P26" s="81"/>
      <c r="Q26" s="81"/>
      <c r="R26" s="80">
        <f t="shared" si="7"/>
        <v>0</v>
      </c>
      <c r="S26" s="80">
        <f t="shared" si="8"/>
        <v>0</v>
      </c>
      <c r="T26" s="80">
        <f t="shared" si="9"/>
        <v>0</v>
      </c>
      <c r="U26" s="80">
        <f t="shared" si="14"/>
        <v>0</v>
      </c>
      <c r="Y26" s="64"/>
    </row>
    <row r="27" spans="1:27" x14ac:dyDescent="0.35">
      <c r="A27" s="102">
        <v>25</v>
      </c>
      <c r="B27" s="103">
        <f t="shared" si="10"/>
        <v>25</v>
      </c>
      <c r="C27" s="104">
        <f t="shared" si="0"/>
        <v>22.229999999999997</v>
      </c>
      <c r="D27" s="104">
        <f t="shared" si="3"/>
        <v>7.140157210880437</v>
      </c>
      <c r="E27" s="104">
        <f t="shared" si="4"/>
        <v>51.153023808950088</v>
      </c>
      <c r="F27" s="104">
        <f t="shared" si="5"/>
        <v>25.944481104378426</v>
      </c>
      <c r="G27" s="71">
        <f t="shared" si="11"/>
        <v>25</v>
      </c>
      <c r="H27" s="25">
        <v>302.89920000000001</v>
      </c>
      <c r="I27" s="73">
        <f t="shared" si="1"/>
        <v>106.01472</v>
      </c>
      <c r="J27" s="73">
        <f t="shared" si="6"/>
        <v>28.390014429267747</v>
      </c>
      <c r="K27" s="73">
        <f t="shared" si="12"/>
        <v>234.08824579764129</v>
      </c>
      <c r="L27" s="73">
        <f t="shared" si="2"/>
        <v>99.342415930393528</v>
      </c>
      <c r="M27" s="87">
        <f t="shared" si="13"/>
        <v>25</v>
      </c>
      <c r="N27" s="96">
        <f>H27-H28</f>
        <v>302.89920000000001</v>
      </c>
      <c r="O27" s="90">
        <f>435/556</f>
        <v>0.78237410071942448</v>
      </c>
      <c r="P27" s="90">
        <v>0</v>
      </c>
      <c r="Q27" s="90">
        <f>122/556</f>
        <v>0.21942446043165467</v>
      </c>
      <c r="R27" s="80">
        <f t="shared" si="7"/>
        <v>143.03830159566502</v>
      </c>
      <c r="S27" s="80">
        <f t="shared" si="8"/>
        <v>0</v>
      </c>
      <c r="T27" s="80">
        <f t="shared" si="9"/>
        <v>34.239711858920643</v>
      </c>
      <c r="U27" s="80">
        <f t="shared" si="14"/>
        <v>177.27801345458568</v>
      </c>
      <c r="Y27" s="64"/>
    </row>
    <row r="28" spans="1:27" x14ac:dyDescent="0.35">
      <c r="A28" s="64"/>
      <c r="B28" s="64"/>
      <c r="C28" s="65"/>
      <c r="D28" s="65"/>
      <c r="E28" s="65"/>
      <c r="F28" s="65"/>
      <c r="G28" s="71">
        <v>25</v>
      </c>
      <c r="H28" s="73">
        <v>0</v>
      </c>
      <c r="I28" s="73">
        <f t="shared" si="1"/>
        <v>0</v>
      </c>
      <c r="J28" s="73">
        <v>0</v>
      </c>
      <c r="K28" s="73">
        <f t="shared" si="12"/>
        <v>0</v>
      </c>
      <c r="L28" s="73"/>
      <c r="M28" s="87">
        <f t="shared" si="13"/>
        <v>26</v>
      </c>
      <c r="N28" s="83"/>
      <c r="O28" s="83"/>
      <c r="P28" s="79"/>
      <c r="Q28" s="79"/>
      <c r="R28" s="80">
        <f t="shared" si="7"/>
        <v>140.23340774612331</v>
      </c>
      <c r="S28" s="80">
        <f t="shared" si="8"/>
        <v>0</v>
      </c>
      <c r="T28" s="80">
        <f t="shared" si="9"/>
        <v>24.211132441316238</v>
      </c>
      <c r="U28" s="80">
        <f t="shared" si="14"/>
        <v>164.44454018743954</v>
      </c>
      <c r="Y28" s="64"/>
    </row>
    <row r="29" spans="1:27" x14ac:dyDescent="0.35">
      <c r="F29" s="65"/>
      <c r="G29" s="64"/>
      <c r="L29" s="65"/>
      <c r="M29" s="87">
        <f t="shared" si="13"/>
        <v>27</v>
      </c>
      <c r="N29" s="82"/>
      <c r="O29" s="82"/>
      <c r="P29" s="82"/>
      <c r="Q29" s="82"/>
      <c r="R29" s="80">
        <f t="shared" si="7"/>
        <v>137.48351615415478</v>
      </c>
      <c r="S29" s="80">
        <f t="shared" si="8"/>
        <v>0</v>
      </c>
      <c r="T29" s="80">
        <f t="shared" si="9"/>
        <v>17.119855929460325</v>
      </c>
      <c r="U29" s="80">
        <f t="shared" si="14"/>
        <v>154.60337208361511</v>
      </c>
    </row>
    <row r="30" spans="1:27" x14ac:dyDescent="0.35">
      <c r="F30" s="65"/>
      <c r="G30" s="64"/>
      <c r="L30" s="65"/>
      <c r="M30" s="87">
        <f t="shared" si="13"/>
        <v>28</v>
      </c>
      <c r="N30" s="82"/>
      <c r="O30" s="82"/>
      <c r="P30" s="82"/>
      <c r="Q30" s="82"/>
      <c r="R30" s="80">
        <f t="shared" si="7"/>
        <v>134.7875482590365</v>
      </c>
      <c r="S30" s="80">
        <f t="shared" si="8"/>
        <v>0</v>
      </c>
      <c r="T30" s="80">
        <f t="shared" si="9"/>
        <v>12.105566220658121</v>
      </c>
      <c r="U30" s="80">
        <f t="shared" si="14"/>
        <v>146.89311447969462</v>
      </c>
    </row>
    <row r="31" spans="1:27" x14ac:dyDescent="0.35">
      <c r="F31" s="65"/>
      <c r="G31" s="64"/>
      <c r="L31" s="65"/>
      <c r="M31" s="87">
        <f t="shared" si="13"/>
        <v>29</v>
      </c>
      <c r="N31" s="82"/>
      <c r="O31" s="82"/>
      <c r="P31" s="82"/>
      <c r="Q31" s="82"/>
      <c r="R31" s="80">
        <f t="shared" si="7"/>
        <v>132.14444664996344</v>
      </c>
      <c r="S31" s="80">
        <f t="shared" si="8"/>
        <v>0</v>
      </c>
      <c r="T31" s="80">
        <f t="shared" si="9"/>
        <v>8.5599279647301643</v>
      </c>
      <c r="U31" s="80">
        <f t="shared" si="14"/>
        <v>140.70437461469362</v>
      </c>
    </row>
    <row r="32" spans="1:27" x14ac:dyDescent="0.35">
      <c r="F32" s="65"/>
      <c r="G32" s="64"/>
      <c r="L32" s="65"/>
      <c r="M32" s="87">
        <f t="shared" si="13"/>
        <v>30</v>
      </c>
      <c r="N32" s="82"/>
      <c r="O32" s="82"/>
      <c r="P32" s="82"/>
      <c r="Q32" s="82"/>
      <c r="R32" s="80">
        <f t="shared" si="7"/>
        <v>129.55317465131151</v>
      </c>
      <c r="S32" s="80">
        <f t="shared" si="8"/>
        <v>0</v>
      </c>
      <c r="T32" s="80">
        <f t="shared" si="9"/>
        <v>6.0527831103290621</v>
      </c>
      <c r="U32" s="80">
        <f t="shared" si="14"/>
        <v>135.60595776164058</v>
      </c>
    </row>
    <row r="33" spans="7:13" x14ac:dyDescent="0.35">
      <c r="G33" s="64"/>
      <c r="M33" s="64"/>
    </row>
    <row r="34" spans="7:13" x14ac:dyDescent="0.35">
      <c r="G34" s="64"/>
    </row>
    <row r="35" spans="7:13" x14ac:dyDescent="0.35">
      <c r="G35" s="64"/>
    </row>
    <row r="36" spans="7:13" x14ac:dyDescent="0.35">
      <c r="G36" s="64"/>
    </row>
    <row r="37" spans="7:13" x14ac:dyDescent="0.35">
      <c r="G37" s="64"/>
    </row>
    <row r="38" spans="7:13" x14ac:dyDescent="0.35">
      <c r="G38" s="64"/>
    </row>
    <row r="39" spans="7:13" x14ac:dyDescent="0.35">
      <c r="G39" s="64"/>
    </row>
    <row r="40" spans="7:13" x14ac:dyDescent="0.35">
      <c r="G40" s="64"/>
    </row>
    <row r="41" spans="7:13" x14ac:dyDescent="0.35">
      <c r="G41" s="64"/>
    </row>
    <row r="42" spans="7:13" x14ac:dyDescent="0.35">
      <c r="G42" s="64"/>
    </row>
    <row r="43" spans="7:13" x14ac:dyDescent="0.35">
      <c r="G43" s="64"/>
    </row>
    <row r="44" spans="7:13" x14ac:dyDescent="0.35">
      <c r="G44" s="64"/>
    </row>
    <row r="45" spans="7:13" x14ac:dyDescent="0.35">
      <c r="G45" s="64"/>
    </row>
    <row r="46" spans="7:13" x14ac:dyDescent="0.35">
      <c r="G46" s="64"/>
    </row>
    <row r="47" spans="7:13" x14ac:dyDescent="0.35">
      <c r="G47" s="64"/>
    </row>
    <row r="48" spans="7:13" x14ac:dyDescent="0.35">
      <c r="G48" s="64"/>
    </row>
    <row r="49" spans="7:7" x14ac:dyDescent="0.35">
      <c r="G49" s="64"/>
    </row>
    <row r="50" spans="7:7" x14ac:dyDescent="0.35">
      <c r="G50" s="64"/>
    </row>
    <row r="51" spans="7:7" x14ac:dyDescent="0.35">
      <c r="G51" s="64"/>
    </row>
    <row r="52" spans="7:7" x14ac:dyDescent="0.35">
      <c r="G52" s="64"/>
    </row>
    <row r="53" spans="7:7" x14ac:dyDescent="0.35">
      <c r="G53" s="64"/>
    </row>
    <row r="54" spans="7:7" x14ac:dyDescent="0.35">
      <c r="G54" s="64"/>
    </row>
    <row r="55" spans="7:7" x14ac:dyDescent="0.35">
      <c r="G55" s="64"/>
    </row>
    <row r="56" spans="7:7" x14ac:dyDescent="0.35">
      <c r="G56" s="64"/>
    </row>
    <row r="57" spans="7:7" x14ac:dyDescent="0.35">
      <c r="G57" s="64"/>
    </row>
    <row r="58" spans="7:7" x14ac:dyDescent="0.35">
      <c r="G58" s="64"/>
    </row>
    <row r="59" spans="7:7" x14ac:dyDescent="0.35">
      <c r="G59" s="64"/>
    </row>
    <row r="60" spans="7:7" x14ac:dyDescent="0.35">
      <c r="G60" s="64"/>
    </row>
    <row r="61" spans="7:7" x14ac:dyDescent="0.35">
      <c r="G61" s="64"/>
    </row>
    <row r="62" spans="7:7" x14ac:dyDescent="0.35">
      <c r="G62" s="64"/>
    </row>
    <row r="63" spans="7:7" x14ac:dyDescent="0.35">
      <c r="G63" s="64"/>
    </row>
    <row r="64" spans="7:7" x14ac:dyDescent="0.35">
      <c r="G64" s="64"/>
    </row>
    <row r="65" spans="7:7" x14ac:dyDescent="0.35">
      <c r="G65" s="64"/>
    </row>
    <row r="66" spans="7:7" x14ac:dyDescent="0.35">
      <c r="G66" s="64"/>
    </row>
    <row r="67" spans="7:7" x14ac:dyDescent="0.35">
      <c r="G67" s="64"/>
    </row>
    <row r="68" spans="7:7" x14ac:dyDescent="0.35">
      <c r="G68" s="64"/>
    </row>
    <row r="69" spans="7:7" x14ac:dyDescent="0.35">
      <c r="G69" s="64"/>
    </row>
    <row r="70" spans="7:7" x14ac:dyDescent="0.35">
      <c r="G70" s="64"/>
    </row>
    <row r="71" spans="7:7" x14ac:dyDescent="0.35">
      <c r="G71" s="64"/>
    </row>
    <row r="72" spans="7:7" x14ac:dyDescent="0.35">
      <c r="G72" s="64"/>
    </row>
    <row r="73" spans="7:7" x14ac:dyDescent="0.35">
      <c r="G73" s="64"/>
    </row>
    <row r="74" spans="7:7" x14ac:dyDescent="0.35">
      <c r="G74" s="64"/>
    </row>
    <row r="75" spans="7:7" x14ac:dyDescent="0.35">
      <c r="G75" s="64"/>
    </row>
    <row r="76" spans="7:7" x14ac:dyDescent="0.35">
      <c r="G76" s="64"/>
    </row>
    <row r="77" spans="7:7" x14ac:dyDescent="0.35">
      <c r="G77" s="64"/>
    </row>
    <row r="78" spans="7:7" x14ac:dyDescent="0.35">
      <c r="G78" s="64"/>
    </row>
    <row r="79" spans="7:7" x14ac:dyDescent="0.35">
      <c r="G79" s="64"/>
    </row>
    <row r="80" spans="7:7" x14ac:dyDescent="0.35">
      <c r="G80" s="64"/>
    </row>
    <row r="81" spans="7:7" x14ac:dyDescent="0.35">
      <c r="G81" s="64"/>
    </row>
    <row r="82" spans="7:7" x14ac:dyDescent="0.35">
      <c r="G82" s="64"/>
    </row>
    <row r="83" spans="7:7" x14ac:dyDescent="0.35">
      <c r="G83" s="64"/>
    </row>
    <row r="84" spans="7:7" x14ac:dyDescent="0.35">
      <c r="G84" s="64"/>
    </row>
    <row r="85" spans="7:7" x14ac:dyDescent="0.35">
      <c r="G85" s="64"/>
    </row>
    <row r="86" spans="7:7" x14ac:dyDescent="0.35">
      <c r="G86" s="64"/>
    </row>
    <row r="87" spans="7:7" x14ac:dyDescent="0.35">
      <c r="G87" s="64"/>
    </row>
    <row r="88" spans="7:7" x14ac:dyDescent="0.35">
      <c r="G88" s="64"/>
    </row>
    <row r="89" spans="7:7" x14ac:dyDescent="0.35">
      <c r="G89" s="64"/>
    </row>
    <row r="90" spans="7:7" x14ac:dyDescent="0.35">
      <c r="G90" s="64"/>
    </row>
    <row r="91" spans="7:7" x14ac:dyDescent="0.35">
      <c r="G91" s="64"/>
    </row>
    <row r="92" spans="7:7" x14ac:dyDescent="0.35">
      <c r="G92" s="64"/>
    </row>
    <row r="93" spans="7:7" x14ac:dyDescent="0.35">
      <c r="G93" s="64"/>
    </row>
    <row r="94" spans="7:7" x14ac:dyDescent="0.35">
      <c r="G94" s="64"/>
    </row>
    <row r="95" spans="7:7" x14ac:dyDescent="0.35">
      <c r="G95" s="64"/>
    </row>
    <row r="96" spans="7:7" x14ac:dyDescent="0.35">
      <c r="G96" s="64"/>
    </row>
    <row r="97" spans="7:7" x14ac:dyDescent="0.35">
      <c r="G97" s="64"/>
    </row>
    <row r="98" spans="7:7" x14ac:dyDescent="0.35">
      <c r="G98" s="64"/>
    </row>
    <row r="99" spans="7:7" x14ac:dyDescent="0.35">
      <c r="G99" s="64"/>
    </row>
    <row r="100" spans="7:7" x14ac:dyDescent="0.35">
      <c r="G100" s="64"/>
    </row>
    <row r="101" spans="7:7" x14ac:dyDescent="0.35">
      <c r="G101" s="64"/>
    </row>
    <row r="102" spans="7:7" x14ac:dyDescent="0.35">
      <c r="G102" s="64"/>
    </row>
    <row r="103" spans="7:7" x14ac:dyDescent="0.35">
      <c r="G103" s="64"/>
    </row>
    <row r="104" spans="7:7" x14ac:dyDescent="0.35">
      <c r="G104" s="64"/>
    </row>
    <row r="105" spans="7:7" x14ac:dyDescent="0.35">
      <c r="G105" s="64"/>
    </row>
    <row r="106" spans="7:7" x14ac:dyDescent="0.35">
      <c r="G106" s="64"/>
    </row>
    <row r="107" spans="7:7" x14ac:dyDescent="0.35">
      <c r="G107" s="64"/>
    </row>
    <row r="108" spans="7:7" x14ac:dyDescent="0.35">
      <c r="G108" s="64"/>
    </row>
    <row r="109" spans="7:7" x14ac:dyDescent="0.35">
      <c r="G109" s="64"/>
    </row>
    <row r="110" spans="7:7" x14ac:dyDescent="0.35">
      <c r="G110" s="64"/>
    </row>
    <row r="111" spans="7:7" x14ac:dyDescent="0.35">
      <c r="G111" s="64"/>
    </row>
    <row r="112" spans="7:7" x14ac:dyDescent="0.35">
      <c r="G112" s="64"/>
    </row>
    <row r="113" spans="7:7" x14ac:dyDescent="0.35">
      <c r="G113" s="64"/>
    </row>
    <row r="114" spans="7:7" x14ac:dyDescent="0.35">
      <c r="G114" s="64"/>
    </row>
    <row r="115" spans="7:7" x14ac:dyDescent="0.35">
      <c r="G115" s="64"/>
    </row>
    <row r="116" spans="7:7" x14ac:dyDescent="0.35">
      <c r="G116" s="64"/>
    </row>
    <row r="117" spans="7:7" x14ac:dyDescent="0.35">
      <c r="G117" s="64"/>
    </row>
    <row r="118" spans="7:7" x14ac:dyDescent="0.35">
      <c r="G118" s="64"/>
    </row>
    <row r="119" spans="7:7" x14ac:dyDescent="0.35">
      <c r="G119" s="64"/>
    </row>
    <row r="120" spans="7:7" x14ac:dyDescent="0.35">
      <c r="G120" s="64"/>
    </row>
    <row r="121" spans="7:7" x14ac:dyDescent="0.35">
      <c r="G121" s="64"/>
    </row>
    <row r="122" spans="7:7" x14ac:dyDescent="0.35">
      <c r="G122" s="64"/>
    </row>
    <row r="123" spans="7:7" x14ac:dyDescent="0.35">
      <c r="G123" s="64"/>
    </row>
    <row r="124" spans="7:7" x14ac:dyDescent="0.35">
      <c r="G124" s="64"/>
    </row>
    <row r="125" spans="7:7" x14ac:dyDescent="0.35">
      <c r="G125" s="64"/>
    </row>
    <row r="126" spans="7:7" x14ac:dyDescent="0.35">
      <c r="G126" s="64"/>
    </row>
    <row r="127" spans="7:7" x14ac:dyDescent="0.35">
      <c r="G127" s="64"/>
    </row>
    <row r="128" spans="7:7" x14ac:dyDescent="0.35">
      <c r="G128" s="64"/>
    </row>
    <row r="129" spans="7:7" x14ac:dyDescent="0.35">
      <c r="G129" s="64"/>
    </row>
    <row r="130" spans="7:7" x14ac:dyDescent="0.35">
      <c r="G130" s="64"/>
    </row>
    <row r="131" spans="7:7" x14ac:dyDescent="0.35">
      <c r="G131" s="64"/>
    </row>
    <row r="132" spans="7:7" x14ac:dyDescent="0.35">
      <c r="G132" s="64"/>
    </row>
    <row r="133" spans="7:7" x14ac:dyDescent="0.35">
      <c r="G133" s="64"/>
    </row>
    <row r="134" spans="7:7" x14ac:dyDescent="0.35">
      <c r="G134" s="64"/>
    </row>
    <row r="135" spans="7:7" x14ac:dyDescent="0.35">
      <c r="G135" s="64"/>
    </row>
    <row r="136" spans="7:7" x14ac:dyDescent="0.35">
      <c r="G136" s="64"/>
    </row>
    <row r="137" spans="7:7" x14ac:dyDescent="0.35">
      <c r="G137" s="64"/>
    </row>
    <row r="138" spans="7:7" x14ac:dyDescent="0.35">
      <c r="G138" s="64"/>
    </row>
    <row r="139" spans="7:7" x14ac:dyDescent="0.35">
      <c r="G139" s="64"/>
    </row>
    <row r="140" spans="7:7" x14ac:dyDescent="0.35">
      <c r="G140" s="64"/>
    </row>
    <row r="141" spans="7:7" x14ac:dyDescent="0.35">
      <c r="G141" s="64"/>
    </row>
    <row r="142" spans="7:7" x14ac:dyDescent="0.35">
      <c r="G142" s="64"/>
    </row>
    <row r="143" spans="7:7" x14ac:dyDescent="0.35">
      <c r="G143" s="64"/>
    </row>
    <row r="144" spans="7:7" x14ac:dyDescent="0.35">
      <c r="G144" s="64"/>
    </row>
    <row r="145" spans="7:7" x14ac:dyDescent="0.35">
      <c r="G145" s="64"/>
    </row>
    <row r="146" spans="7:7" x14ac:dyDescent="0.35">
      <c r="G146" s="64"/>
    </row>
    <row r="147" spans="7:7" x14ac:dyDescent="0.35">
      <c r="G147" s="64"/>
    </row>
    <row r="148" spans="7:7" x14ac:dyDescent="0.35">
      <c r="G148" s="64"/>
    </row>
    <row r="149" spans="7:7" x14ac:dyDescent="0.35">
      <c r="G149" s="64"/>
    </row>
    <row r="150" spans="7:7" x14ac:dyDescent="0.35">
      <c r="G150" s="64"/>
    </row>
  </sheetData>
  <mergeCells count="1">
    <mergeCell ref="Z1:Z1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7B3B0-83E5-4A7F-A344-3B7B60716536}">
  <dimension ref="A1:M28"/>
  <sheetViews>
    <sheetView workbookViewId="0">
      <selection activeCell="M2" sqref="M2"/>
    </sheetView>
  </sheetViews>
  <sheetFormatPr baseColWidth="10" defaultColWidth="10.81640625" defaultRowHeight="14.5" x14ac:dyDescent="0.35"/>
  <cols>
    <col min="1" max="11" width="10.81640625" style="62"/>
    <col min="12" max="12" width="17.7265625" style="62" bestFit="1" customWidth="1"/>
    <col min="13" max="13" width="64.81640625" style="62" bestFit="1" customWidth="1"/>
    <col min="14" max="16384" width="10.81640625" style="62"/>
  </cols>
  <sheetData>
    <row r="1" spans="1:13" x14ac:dyDescent="0.35">
      <c r="A1" s="64" t="s">
        <v>120</v>
      </c>
      <c r="B1" s="64"/>
      <c r="C1" s="64"/>
      <c r="D1" s="64"/>
      <c r="E1" s="64"/>
      <c r="F1" s="64"/>
      <c r="G1" s="64"/>
      <c r="H1" s="64"/>
      <c r="I1" s="64"/>
    </row>
    <row r="2" spans="1:13" ht="43.5" x14ac:dyDescent="0.35">
      <c r="A2" s="108" t="s">
        <v>121</v>
      </c>
      <c r="B2" s="108" t="s">
        <v>122</v>
      </c>
      <c r="C2" s="108" t="s">
        <v>123</v>
      </c>
      <c r="D2" s="108" t="s">
        <v>124</v>
      </c>
      <c r="E2" s="108" t="s">
        <v>125</v>
      </c>
      <c r="F2" s="108" t="s">
        <v>126</v>
      </c>
      <c r="G2" s="108" t="s">
        <v>127</v>
      </c>
      <c r="H2" s="108" t="s">
        <v>128</v>
      </c>
      <c r="I2" s="108" t="s">
        <v>129</v>
      </c>
    </row>
    <row r="3" spans="1:13" x14ac:dyDescent="0.35">
      <c r="A3" s="64">
        <v>22</v>
      </c>
      <c r="B3" s="65">
        <v>5.497787143782138</v>
      </c>
      <c r="C3" s="64" t="s">
        <v>130</v>
      </c>
      <c r="D3" s="64">
        <v>0</v>
      </c>
      <c r="E3" s="109">
        <v>8</v>
      </c>
      <c r="F3" s="65">
        <v>0</v>
      </c>
      <c r="G3" s="110">
        <v>0</v>
      </c>
      <c r="H3" s="110">
        <v>0</v>
      </c>
      <c r="I3" s="110">
        <v>0</v>
      </c>
    </row>
    <row r="4" spans="1:13" x14ac:dyDescent="0.35">
      <c r="A4" s="64">
        <v>22</v>
      </c>
      <c r="B4" s="65">
        <v>5.497787143782138</v>
      </c>
      <c r="C4" s="64" t="s">
        <v>130</v>
      </c>
      <c r="D4" s="64">
        <v>1</v>
      </c>
      <c r="E4" s="109">
        <v>8.8699999999999992</v>
      </c>
      <c r="F4" s="65">
        <v>0</v>
      </c>
      <c r="G4" s="110">
        <v>0</v>
      </c>
      <c r="H4" s="110">
        <v>0</v>
      </c>
      <c r="I4" s="110">
        <v>0</v>
      </c>
    </row>
    <row r="5" spans="1:13" x14ac:dyDescent="0.35">
      <c r="A5" s="64">
        <v>22</v>
      </c>
      <c r="B5" s="65">
        <v>5.497787143782138</v>
      </c>
      <c r="C5" s="64" t="s">
        <v>130</v>
      </c>
      <c r="D5" s="64">
        <v>2</v>
      </c>
      <c r="E5" s="109">
        <v>12.54</v>
      </c>
      <c r="F5" s="65">
        <v>0</v>
      </c>
      <c r="G5" s="110">
        <v>0</v>
      </c>
      <c r="H5" s="110">
        <v>0</v>
      </c>
      <c r="I5" s="110">
        <v>0</v>
      </c>
    </row>
    <row r="6" spans="1:13" x14ac:dyDescent="0.35">
      <c r="A6" s="64">
        <v>22</v>
      </c>
      <c r="B6" s="65">
        <v>5.497787143782138</v>
      </c>
      <c r="C6" s="64" t="s">
        <v>130</v>
      </c>
      <c r="D6" s="64">
        <v>3</v>
      </c>
      <c r="E6" s="109">
        <v>18.989999999999998</v>
      </c>
      <c r="F6" s="65">
        <v>0</v>
      </c>
      <c r="G6" s="110">
        <v>0</v>
      </c>
      <c r="H6" s="110">
        <v>0</v>
      </c>
      <c r="I6" s="110">
        <v>0</v>
      </c>
    </row>
    <row r="7" spans="1:13" x14ac:dyDescent="0.35">
      <c r="A7" s="64">
        <v>22</v>
      </c>
      <c r="B7" s="65">
        <v>5.497787143782138</v>
      </c>
      <c r="C7" s="64" t="s">
        <v>130</v>
      </c>
      <c r="D7" s="64">
        <v>4</v>
      </c>
      <c r="E7" s="109">
        <v>27.45</v>
      </c>
      <c r="F7" s="65">
        <v>0</v>
      </c>
      <c r="G7" s="110">
        <v>0</v>
      </c>
      <c r="H7" s="110">
        <v>0</v>
      </c>
      <c r="I7" s="110">
        <v>0</v>
      </c>
    </row>
    <row r="8" spans="1:13" x14ac:dyDescent="0.35">
      <c r="A8" s="64">
        <v>22</v>
      </c>
      <c r="B8" s="65">
        <v>5.497787143782138</v>
      </c>
      <c r="C8" s="64" t="s">
        <v>130</v>
      </c>
      <c r="D8" s="64">
        <v>5</v>
      </c>
      <c r="E8" s="109">
        <v>37.090000000000003</v>
      </c>
      <c r="F8" s="65">
        <v>0</v>
      </c>
      <c r="G8" s="110">
        <v>0</v>
      </c>
      <c r="H8" s="110">
        <v>0</v>
      </c>
      <c r="I8" s="110">
        <v>0</v>
      </c>
      <c r="L8" s="55" t="s">
        <v>131</v>
      </c>
      <c r="M8" s="98" t="s">
        <v>132</v>
      </c>
    </row>
    <row r="9" spans="1:13" x14ac:dyDescent="0.35">
      <c r="A9" s="64">
        <v>22</v>
      </c>
      <c r="B9" s="65">
        <v>5.497787143782138</v>
      </c>
      <c r="C9" s="64" t="s">
        <v>130</v>
      </c>
      <c r="D9" s="64">
        <v>6</v>
      </c>
      <c r="E9" s="109">
        <v>47.19</v>
      </c>
      <c r="F9" s="65">
        <v>0</v>
      </c>
      <c r="G9" s="110">
        <v>0</v>
      </c>
      <c r="H9" s="110">
        <v>0</v>
      </c>
      <c r="I9" s="110">
        <v>0</v>
      </c>
      <c r="L9" s="99" t="s">
        <v>80</v>
      </c>
      <c r="M9" s="98" t="s">
        <v>133</v>
      </c>
    </row>
    <row r="10" spans="1:13" x14ac:dyDescent="0.35">
      <c r="A10" s="64">
        <v>22</v>
      </c>
      <c r="B10" s="65">
        <v>5.497787143782138</v>
      </c>
      <c r="C10" s="64" t="s">
        <v>130</v>
      </c>
      <c r="D10" s="64">
        <v>7</v>
      </c>
      <c r="E10" s="109">
        <v>57.24</v>
      </c>
      <c r="F10" s="65">
        <v>0</v>
      </c>
      <c r="G10" s="110">
        <v>0</v>
      </c>
      <c r="H10" s="110">
        <v>0</v>
      </c>
      <c r="I10" s="110">
        <v>0</v>
      </c>
      <c r="L10" s="99" t="s">
        <v>82</v>
      </c>
      <c r="M10" s="98" t="s">
        <v>134</v>
      </c>
    </row>
    <row r="11" spans="1:13" x14ac:dyDescent="0.35">
      <c r="A11" s="64">
        <v>22</v>
      </c>
      <c r="B11" s="65">
        <v>5.497787143782138</v>
      </c>
      <c r="C11" s="64" t="s">
        <v>130</v>
      </c>
      <c r="D11" s="64">
        <v>8</v>
      </c>
      <c r="E11" s="109">
        <v>66.849999999999994</v>
      </c>
      <c r="F11" s="65">
        <v>0.74</v>
      </c>
      <c r="G11" s="110">
        <v>6.12</v>
      </c>
      <c r="H11" s="110">
        <v>1.7136000000000002</v>
      </c>
      <c r="I11" s="110">
        <v>7.8336000000000006</v>
      </c>
      <c r="L11" s="99" t="s">
        <v>12</v>
      </c>
      <c r="M11" s="98" t="s">
        <v>135</v>
      </c>
    </row>
    <row r="12" spans="1:13" x14ac:dyDescent="0.35">
      <c r="A12" s="64">
        <v>22</v>
      </c>
      <c r="B12" s="65">
        <v>5.497787143782138</v>
      </c>
      <c r="C12" s="64" t="s">
        <v>130</v>
      </c>
      <c r="D12" s="64">
        <v>9</v>
      </c>
      <c r="E12" s="109">
        <v>75.81</v>
      </c>
      <c r="F12" s="65">
        <v>2.37</v>
      </c>
      <c r="G12" s="110">
        <v>22.44</v>
      </c>
      <c r="H12" s="110">
        <v>6.2832000000000008</v>
      </c>
      <c r="I12" s="110">
        <v>28.723200000000002</v>
      </c>
      <c r="L12" s="99" t="s">
        <v>84</v>
      </c>
      <c r="M12" s="98" t="s">
        <v>136</v>
      </c>
    </row>
    <row r="13" spans="1:13" x14ac:dyDescent="0.35">
      <c r="A13" s="64">
        <v>22</v>
      </c>
      <c r="B13" s="65">
        <v>5.497787143782138</v>
      </c>
      <c r="C13" s="64" t="s">
        <v>130</v>
      </c>
      <c r="D13" s="64">
        <v>10</v>
      </c>
      <c r="E13" s="109">
        <v>84</v>
      </c>
      <c r="F13" s="65">
        <v>3.86</v>
      </c>
      <c r="G13" s="110">
        <v>40.799999999999997</v>
      </c>
      <c r="H13" s="110">
        <v>11.423999999999999</v>
      </c>
      <c r="I13" s="110">
        <v>52.223999999999997</v>
      </c>
      <c r="L13" s="99" t="s">
        <v>88</v>
      </c>
      <c r="M13" s="98" t="s">
        <v>137</v>
      </c>
    </row>
    <row r="14" spans="1:13" x14ac:dyDescent="0.35">
      <c r="A14" s="64">
        <v>22</v>
      </c>
      <c r="B14" s="65">
        <v>5.497787143782138</v>
      </c>
      <c r="C14" s="64" t="s">
        <v>130</v>
      </c>
      <c r="D14" s="64">
        <v>11</v>
      </c>
      <c r="E14" s="109">
        <v>91.36</v>
      </c>
      <c r="F14" s="65">
        <v>5.19</v>
      </c>
      <c r="G14" s="110">
        <v>59.16</v>
      </c>
      <c r="H14" s="110">
        <v>16.564800000000002</v>
      </c>
      <c r="I14" s="110">
        <v>75.724800000000002</v>
      </c>
      <c r="L14" s="99" t="s">
        <v>90</v>
      </c>
      <c r="M14" s="98" t="s">
        <v>102</v>
      </c>
    </row>
    <row r="15" spans="1:13" x14ac:dyDescent="0.35">
      <c r="A15" s="64">
        <v>22</v>
      </c>
      <c r="B15" s="65">
        <v>5.497787143782138</v>
      </c>
      <c r="C15" s="64" t="s">
        <v>130</v>
      </c>
      <c r="D15" s="64">
        <v>12</v>
      </c>
      <c r="E15" s="109">
        <v>97.9</v>
      </c>
      <c r="F15" s="65">
        <v>6.38</v>
      </c>
      <c r="G15" s="110">
        <v>79.56</v>
      </c>
      <c r="H15" s="110">
        <v>22.276800000000001</v>
      </c>
      <c r="I15" s="110">
        <v>101.83680000000001</v>
      </c>
    </row>
    <row r="16" spans="1:13" x14ac:dyDescent="0.35">
      <c r="A16" s="64">
        <v>22</v>
      </c>
      <c r="B16" s="65">
        <v>5.497787143782138</v>
      </c>
      <c r="C16" s="64" t="s">
        <v>130</v>
      </c>
      <c r="D16" s="64">
        <v>13</v>
      </c>
      <c r="E16" s="109">
        <v>103.66</v>
      </c>
      <c r="F16" s="65">
        <v>7.43</v>
      </c>
      <c r="G16" s="110">
        <v>97.92</v>
      </c>
      <c r="H16" s="110">
        <v>27.417600000000004</v>
      </c>
      <c r="I16" s="110">
        <v>125.33760000000001</v>
      </c>
    </row>
    <row r="17" spans="1:9" x14ac:dyDescent="0.35">
      <c r="A17" s="64">
        <v>22</v>
      </c>
      <c r="B17" s="65">
        <v>5.497787143782138</v>
      </c>
      <c r="C17" s="64" t="s">
        <v>130</v>
      </c>
      <c r="D17" s="64">
        <v>14</v>
      </c>
      <c r="E17" s="109">
        <v>108.69</v>
      </c>
      <c r="F17" s="65">
        <v>8.35</v>
      </c>
      <c r="G17" s="110">
        <v>116.28</v>
      </c>
      <c r="H17" s="110">
        <v>32.558400000000006</v>
      </c>
      <c r="I17" s="110">
        <v>148.83840000000001</v>
      </c>
    </row>
    <row r="18" spans="1:9" x14ac:dyDescent="0.35">
      <c r="A18" s="64">
        <v>22</v>
      </c>
      <c r="B18" s="65">
        <v>5.497787143782138</v>
      </c>
      <c r="C18" s="64" t="s">
        <v>130</v>
      </c>
      <c r="D18" s="64">
        <v>15</v>
      </c>
      <c r="E18" s="109">
        <v>113.05</v>
      </c>
      <c r="F18" s="65">
        <v>9.14</v>
      </c>
      <c r="G18" s="110">
        <v>134.63999999999999</v>
      </c>
      <c r="H18" s="110">
        <v>37.699199999999998</v>
      </c>
      <c r="I18" s="110">
        <v>172.33919999999998</v>
      </c>
    </row>
    <row r="19" spans="1:9" x14ac:dyDescent="0.35">
      <c r="A19" s="64">
        <v>22</v>
      </c>
      <c r="B19" s="65">
        <v>5.497787143782138</v>
      </c>
      <c r="C19" s="64" t="s">
        <v>130</v>
      </c>
      <c r="D19" s="64">
        <v>16</v>
      </c>
      <c r="E19" s="109">
        <v>116.82</v>
      </c>
      <c r="F19" s="65">
        <v>9.82</v>
      </c>
      <c r="G19" s="110">
        <v>150.96</v>
      </c>
      <c r="H19" s="110">
        <v>42.268800000000006</v>
      </c>
      <c r="I19" s="110">
        <v>193.22880000000001</v>
      </c>
    </row>
    <row r="20" spans="1:9" x14ac:dyDescent="0.35">
      <c r="A20" s="64">
        <v>22</v>
      </c>
      <c r="B20" s="65">
        <v>5.497787143782138</v>
      </c>
      <c r="C20" s="64" t="s">
        <v>130</v>
      </c>
      <c r="D20" s="64">
        <v>17</v>
      </c>
      <c r="E20" s="109">
        <v>120.07</v>
      </c>
      <c r="F20" s="65">
        <v>10.42</v>
      </c>
      <c r="G20" s="110">
        <v>165.24</v>
      </c>
      <c r="H20" s="110">
        <v>46.26720000000001</v>
      </c>
      <c r="I20" s="110">
        <v>211.50720000000001</v>
      </c>
    </row>
    <row r="21" spans="1:9" x14ac:dyDescent="0.35">
      <c r="A21" s="64">
        <v>22</v>
      </c>
      <c r="B21" s="65">
        <v>5.497787143782138</v>
      </c>
      <c r="C21" s="64" t="s">
        <v>130</v>
      </c>
      <c r="D21" s="64">
        <v>18</v>
      </c>
      <c r="E21" s="109">
        <v>122.85</v>
      </c>
      <c r="F21" s="65">
        <v>10.92</v>
      </c>
      <c r="G21" s="110">
        <v>179.52</v>
      </c>
      <c r="H21" s="110">
        <v>50.265600000000006</v>
      </c>
      <c r="I21" s="110">
        <v>229.78560000000002</v>
      </c>
    </row>
    <row r="22" spans="1:9" x14ac:dyDescent="0.35">
      <c r="A22" s="64">
        <v>22</v>
      </c>
      <c r="B22" s="65">
        <v>5.497787143782138</v>
      </c>
      <c r="C22" s="64" t="s">
        <v>130</v>
      </c>
      <c r="D22" s="64">
        <v>19</v>
      </c>
      <c r="E22" s="109">
        <v>125.22</v>
      </c>
      <c r="F22" s="65">
        <v>11.35</v>
      </c>
      <c r="G22" s="110">
        <v>191.76</v>
      </c>
      <c r="H22" s="110">
        <v>53.692800000000005</v>
      </c>
      <c r="I22" s="110">
        <v>245.4528</v>
      </c>
    </row>
    <row r="23" spans="1:9" x14ac:dyDescent="0.35">
      <c r="A23" s="64">
        <v>22</v>
      </c>
      <c r="B23" s="65">
        <v>5.497787143782138</v>
      </c>
      <c r="C23" s="64" t="s">
        <v>130</v>
      </c>
      <c r="D23" s="64">
        <v>20</v>
      </c>
      <c r="E23" s="109">
        <v>127.25</v>
      </c>
      <c r="F23" s="65">
        <v>11.72</v>
      </c>
      <c r="G23" s="110">
        <v>201.96</v>
      </c>
      <c r="H23" s="110">
        <v>56.548800000000007</v>
      </c>
      <c r="I23" s="110">
        <v>258.50880000000001</v>
      </c>
    </row>
    <row r="24" spans="1:9" x14ac:dyDescent="0.35">
      <c r="A24" s="64">
        <v>22</v>
      </c>
      <c r="B24" s="65">
        <v>5.497787143782138</v>
      </c>
      <c r="C24" s="64" t="s">
        <v>130</v>
      </c>
      <c r="D24" s="64">
        <v>21</v>
      </c>
      <c r="E24" s="109">
        <v>128.97999999999999</v>
      </c>
      <c r="F24" s="65">
        <v>12.04</v>
      </c>
      <c r="G24" s="110">
        <v>212.16</v>
      </c>
      <c r="H24" s="110">
        <v>59.404800000000002</v>
      </c>
      <c r="I24" s="110">
        <v>271.56479999999999</v>
      </c>
    </row>
    <row r="25" spans="1:9" x14ac:dyDescent="0.35">
      <c r="A25" s="64">
        <v>22</v>
      </c>
      <c r="B25" s="65">
        <v>5.497787143782138</v>
      </c>
      <c r="C25" s="64" t="s">
        <v>130</v>
      </c>
      <c r="D25" s="64">
        <v>22</v>
      </c>
      <c r="E25" s="109">
        <v>130.44</v>
      </c>
      <c r="F25" s="65">
        <v>12.3</v>
      </c>
      <c r="G25" s="110">
        <v>218.28</v>
      </c>
      <c r="H25" s="110">
        <v>61.118400000000008</v>
      </c>
      <c r="I25" s="110">
        <v>279.39840000000004</v>
      </c>
    </row>
    <row r="26" spans="1:9" x14ac:dyDescent="0.35">
      <c r="A26" s="64">
        <v>22</v>
      </c>
      <c r="B26" s="65">
        <v>5.497787143782138</v>
      </c>
      <c r="C26" s="64" t="s">
        <v>130</v>
      </c>
      <c r="D26" s="64">
        <v>23</v>
      </c>
      <c r="E26" s="109">
        <v>131.69</v>
      </c>
      <c r="F26" s="65">
        <v>12.53</v>
      </c>
      <c r="G26" s="110">
        <v>226.44</v>
      </c>
      <c r="H26" s="110">
        <v>63.403200000000005</v>
      </c>
      <c r="I26" s="110">
        <v>289.84320000000002</v>
      </c>
    </row>
    <row r="27" spans="1:9" x14ac:dyDescent="0.35">
      <c r="A27" s="64">
        <v>22</v>
      </c>
      <c r="B27" s="65">
        <v>5.497787143782138</v>
      </c>
      <c r="C27" s="64" t="s">
        <v>130</v>
      </c>
      <c r="D27" s="64">
        <v>24</v>
      </c>
      <c r="E27" s="109">
        <v>132.74</v>
      </c>
      <c r="F27" s="65">
        <v>12.72</v>
      </c>
      <c r="G27" s="110">
        <v>232.56</v>
      </c>
      <c r="H27" s="110">
        <v>65.116800000000012</v>
      </c>
      <c r="I27" s="110">
        <v>297.67680000000001</v>
      </c>
    </row>
    <row r="28" spans="1:9" x14ac:dyDescent="0.35">
      <c r="A28" s="64">
        <v>22</v>
      </c>
      <c r="B28" s="65">
        <v>5.497787143782138</v>
      </c>
      <c r="C28" s="64" t="s">
        <v>130</v>
      </c>
      <c r="D28" s="64">
        <v>25</v>
      </c>
      <c r="E28" s="109">
        <v>133.63999999999999</v>
      </c>
      <c r="F28" s="65">
        <v>12.89</v>
      </c>
      <c r="G28" s="110">
        <v>236.64</v>
      </c>
      <c r="H28" s="110">
        <v>66.259200000000007</v>
      </c>
      <c r="I28" s="110">
        <v>302.89920000000001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646DA29E-8883-4B53-A194-A9D1B39A3D8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Recapitulatif REE</vt:lpstr>
      <vt:lpstr>REE Chêne sessile</vt:lpstr>
      <vt:lpstr>table Chêne sessile</vt:lpstr>
      <vt:lpstr>REE Tilleul</vt:lpstr>
      <vt:lpstr>table Tilleul</vt:lpstr>
      <vt:lpstr>REE Chêne rouge</vt:lpstr>
      <vt:lpstr>table Chêne rouge</vt:lpstr>
      <vt:lpstr>REE peuliers Koster</vt:lpstr>
      <vt:lpstr>table peuplier Koster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Cécile de Coincy</dc:creator>
  <cp:lastModifiedBy>Cécile de Coincy</cp:lastModifiedBy>
  <dcterms:created xsi:type="dcterms:W3CDTF">2020-10-14T13:10:26Z</dcterms:created>
  <dcterms:modified xsi:type="dcterms:W3CDTF">2020-11-09T15:07:48Z</dcterms:modified>
</cp:coreProperties>
</file>