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CF\ENVIRONNEMENT\7_CARBONE\Coopératives\AFB\Projets_LBC\Projets_Tests\Agence Normandie\Projet_SaintCalaisDuDesert_012021\"/>
    </mc:Choice>
  </mc:AlternateContent>
  <bookViews>
    <workbookView xWindow="0" yWindow="0" windowWidth="19200" windowHeight="7310" activeTab="2"/>
  </bookViews>
  <sheets>
    <sheet name="REAforêtMBoisement" sheetId="6" r:id="rId1"/>
    <sheet name="REEsubsMBoisement" sheetId="5" r:id="rId2"/>
    <sheet name="REG&amp;Rabais" sheetId="4" r:id="rId3"/>
    <sheet name="Listes choix" sheetId="2" state="hidden"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 i="6" l="1"/>
  <c r="B30" i="6"/>
  <c r="B22" i="6" l="1"/>
  <c r="CN25" i="6"/>
  <c r="BT25" i="6"/>
  <c r="AZ25" i="6"/>
  <c r="AF25" i="6"/>
  <c r="CN24" i="6"/>
  <c r="BT24" i="6"/>
  <c r="AZ24" i="6"/>
  <c r="AF24" i="6"/>
  <c r="CN23" i="6"/>
  <c r="BT23" i="6"/>
  <c r="AZ23" i="6"/>
  <c r="AF23" i="6"/>
  <c r="AF22" i="6"/>
  <c r="C25" i="6"/>
  <c r="D25" i="6"/>
  <c r="E25" i="6" s="1"/>
  <c r="F25" i="6" s="1"/>
  <c r="G25" i="6" s="1"/>
  <c r="H25" i="6" s="1"/>
  <c r="I25" i="6" s="1"/>
  <c r="J25" i="6" s="1"/>
  <c r="K25" i="6" s="1"/>
  <c r="L25" i="6" s="1"/>
  <c r="M25" i="6" s="1"/>
  <c r="N25" i="6" s="1"/>
  <c r="O25" i="6" s="1"/>
  <c r="P25" i="6" s="1"/>
  <c r="Q25" i="6" s="1"/>
  <c r="R25" i="6" s="1"/>
  <c r="S25" i="6" s="1"/>
  <c r="T25" i="6" s="1"/>
  <c r="U25" i="6" s="1"/>
  <c r="V25" i="6" s="1"/>
  <c r="W25" i="6" s="1"/>
  <c r="X25" i="6" s="1"/>
  <c r="Y25" i="6" s="1"/>
  <c r="Z25" i="6" s="1"/>
  <c r="AA25" i="6" s="1"/>
  <c r="AB25" i="6" s="1"/>
  <c r="AC25" i="6" s="1"/>
  <c r="AD25" i="6" s="1"/>
  <c r="AE25" i="6" s="1"/>
  <c r="AG25" i="6" s="1"/>
  <c r="AH25" i="6" s="1"/>
  <c r="AI25" i="6" s="1"/>
  <c r="AJ25" i="6" s="1"/>
  <c r="AK25" i="6" s="1"/>
  <c r="AL25" i="6" s="1"/>
  <c r="AM25" i="6" s="1"/>
  <c r="AN25" i="6" s="1"/>
  <c r="AO25" i="6" s="1"/>
  <c r="AP25" i="6" s="1"/>
  <c r="AQ25" i="6" s="1"/>
  <c r="AR25" i="6" s="1"/>
  <c r="AS25" i="6" s="1"/>
  <c r="AT25" i="6" s="1"/>
  <c r="AU25" i="6" s="1"/>
  <c r="AV25" i="6" s="1"/>
  <c r="AW25" i="6" s="1"/>
  <c r="AX25" i="6" s="1"/>
  <c r="AY25" i="6" s="1"/>
  <c r="D24" i="6"/>
  <c r="E24" i="6"/>
  <c r="F24" i="6" s="1"/>
  <c r="G24" i="6" s="1"/>
  <c r="H24" i="6" s="1"/>
  <c r="I24" i="6" s="1"/>
  <c r="J24" i="6" s="1"/>
  <c r="K24" i="6" s="1"/>
  <c r="L24" i="6" s="1"/>
  <c r="M24" i="6" s="1"/>
  <c r="N24" i="6" s="1"/>
  <c r="O24" i="6" s="1"/>
  <c r="P24" i="6" s="1"/>
  <c r="Q24" i="6" s="1"/>
  <c r="R24" i="6" s="1"/>
  <c r="S24" i="6" s="1"/>
  <c r="T24" i="6" s="1"/>
  <c r="U24" i="6" s="1"/>
  <c r="V24" i="6" s="1"/>
  <c r="W24" i="6" s="1"/>
  <c r="X24" i="6" s="1"/>
  <c r="Y24" i="6" s="1"/>
  <c r="Z24" i="6" s="1"/>
  <c r="AA24" i="6" s="1"/>
  <c r="AB24" i="6" s="1"/>
  <c r="AC24" i="6" s="1"/>
  <c r="AD24" i="6" s="1"/>
  <c r="AE24" i="6" s="1"/>
  <c r="AG24" i="6" s="1"/>
  <c r="AH24" i="6" s="1"/>
  <c r="AI24" i="6" s="1"/>
  <c r="AJ24" i="6" s="1"/>
  <c r="AK24" i="6" s="1"/>
  <c r="AL24" i="6" s="1"/>
  <c r="AM24" i="6" s="1"/>
  <c r="AN24" i="6" s="1"/>
  <c r="AO24" i="6" s="1"/>
  <c r="AP24" i="6" s="1"/>
  <c r="AQ24" i="6" s="1"/>
  <c r="AR24" i="6" s="1"/>
  <c r="AS24" i="6" s="1"/>
  <c r="C24" i="6"/>
  <c r="D23" i="6"/>
  <c r="E23" i="6" s="1"/>
  <c r="C23" i="6"/>
  <c r="B8" i="4"/>
  <c r="B6" i="5"/>
  <c r="B5" i="5"/>
  <c r="DH30" i="6"/>
  <c r="AJ30" i="6"/>
  <c r="AL30" i="6"/>
  <c r="AN30" i="6"/>
  <c r="AR30" i="6"/>
  <c r="AT30" i="6"/>
  <c r="AV30" i="6"/>
  <c r="AZ30" i="6"/>
  <c r="BB30" i="6"/>
  <c r="BD30" i="6"/>
  <c r="BH30" i="6"/>
  <c r="BJ30" i="6"/>
  <c r="BL30" i="6"/>
  <c r="BP30" i="6"/>
  <c r="BR30" i="6"/>
  <c r="BT30" i="6"/>
  <c r="BX30" i="6"/>
  <c r="BZ30" i="6"/>
  <c r="CB30" i="6"/>
  <c r="CF30" i="6"/>
  <c r="CH30" i="6"/>
  <c r="CJ30" i="6"/>
  <c r="CN30" i="6"/>
  <c r="CP30" i="6"/>
  <c r="CR30" i="6"/>
  <c r="CV30" i="6"/>
  <c r="CX30" i="6"/>
  <c r="CZ30" i="6"/>
  <c r="DD30" i="6"/>
  <c r="DF30" i="6"/>
  <c r="B28" i="6"/>
  <c r="AG27" i="6"/>
  <c r="AH27" i="6"/>
  <c r="AI27" i="6"/>
  <c r="AJ27" i="6"/>
  <c r="AK27" i="6"/>
  <c r="AL27" i="6"/>
  <c r="AM27" i="6"/>
  <c r="AN27" i="6"/>
  <c r="AO27" i="6"/>
  <c r="AP27" i="6"/>
  <c r="AQ27" i="6"/>
  <c r="AR27" i="6"/>
  <c r="AS27" i="6"/>
  <c r="AT27" i="6"/>
  <c r="AU27" i="6"/>
  <c r="AV27" i="6"/>
  <c r="AW27" i="6"/>
  <c r="AX27" i="6"/>
  <c r="AY27" i="6"/>
  <c r="AZ27" i="6"/>
  <c r="BA27" i="6"/>
  <c r="BB27" i="6"/>
  <c r="BC27" i="6"/>
  <c r="BD27" i="6"/>
  <c r="BE27" i="6"/>
  <c r="BF27" i="6"/>
  <c r="BG27" i="6"/>
  <c r="BH27" i="6"/>
  <c r="BI27" i="6"/>
  <c r="BJ27" i="6"/>
  <c r="BK27" i="6"/>
  <c r="BL27" i="6"/>
  <c r="BM27" i="6"/>
  <c r="BN27" i="6"/>
  <c r="BO27" i="6"/>
  <c r="BP27" i="6"/>
  <c r="BQ27" i="6"/>
  <c r="BR27" i="6"/>
  <c r="BS27" i="6"/>
  <c r="BT27" i="6"/>
  <c r="BU27" i="6"/>
  <c r="BV27" i="6"/>
  <c r="BW27" i="6"/>
  <c r="BX27" i="6"/>
  <c r="BY27" i="6"/>
  <c r="BZ27" i="6"/>
  <c r="CA27" i="6"/>
  <c r="CB27" i="6"/>
  <c r="CC27" i="6"/>
  <c r="CD27" i="6"/>
  <c r="CE27" i="6"/>
  <c r="CF27" i="6"/>
  <c r="CG27" i="6"/>
  <c r="CH27" i="6"/>
  <c r="CI27" i="6"/>
  <c r="CJ27" i="6"/>
  <c r="CK27" i="6"/>
  <c r="CL27" i="6"/>
  <c r="CM27" i="6"/>
  <c r="CN27" i="6"/>
  <c r="CO27" i="6"/>
  <c r="CP27" i="6"/>
  <c r="CQ27" i="6"/>
  <c r="CR27" i="6"/>
  <c r="CS27" i="6"/>
  <c r="CT27" i="6"/>
  <c r="CU27" i="6"/>
  <c r="CV27" i="6"/>
  <c r="CW27" i="6"/>
  <c r="CX27" i="6"/>
  <c r="CY27" i="6"/>
  <c r="CZ27" i="6"/>
  <c r="DA27" i="6"/>
  <c r="DB27" i="6"/>
  <c r="DC27" i="6"/>
  <c r="DD27" i="6"/>
  <c r="DE27" i="6"/>
  <c r="DF27" i="6"/>
  <c r="DG27" i="6"/>
  <c r="DH27" i="6"/>
  <c r="AG31" i="6"/>
  <c r="AG30" i="6" s="1"/>
  <c r="AH31" i="6"/>
  <c r="AH30" i="6" s="1"/>
  <c r="AI31" i="6"/>
  <c r="AI30" i="6" s="1"/>
  <c r="AJ31" i="6"/>
  <c r="AK31" i="6"/>
  <c r="AK30" i="6" s="1"/>
  <c r="AL31" i="6"/>
  <c r="AM31" i="6"/>
  <c r="AM30" i="6" s="1"/>
  <c r="AN31" i="6"/>
  <c r="AO31" i="6"/>
  <c r="AO30" i="6" s="1"/>
  <c r="AP31" i="6"/>
  <c r="AP30" i="6" s="1"/>
  <c r="AQ31" i="6"/>
  <c r="AQ30" i="6" s="1"/>
  <c r="AR31" i="6"/>
  <c r="AS31" i="6"/>
  <c r="AS30" i="6" s="1"/>
  <c r="AT31" i="6"/>
  <c r="AU31" i="6"/>
  <c r="AU30" i="6" s="1"/>
  <c r="AV31" i="6"/>
  <c r="AW31" i="6"/>
  <c r="AW30" i="6" s="1"/>
  <c r="AX31" i="6"/>
  <c r="AX30" i="6" s="1"/>
  <c r="AY31" i="6"/>
  <c r="AY30" i="6" s="1"/>
  <c r="AZ31" i="6"/>
  <c r="BA31" i="6"/>
  <c r="BA30" i="6" s="1"/>
  <c r="BB31" i="6"/>
  <c r="BC31" i="6"/>
  <c r="BC30" i="6" s="1"/>
  <c r="BD31" i="6"/>
  <c r="BE31" i="6"/>
  <c r="BE30" i="6" s="1"/>
  <c r="BF31" i="6"/>
  <c r="BF30" i="6" s="1"/>
  <c r="BG31" i="6"/>
  <c r="BG30" i="6" s="1"/>
  <c r="BH31" i="6"/>
  <c r="BI31" i="6"/>
  <c r="BI30" i="6" s="1"/>
  <c r="BJ31" i="6"/>
  <c r="BK31" i="6"/>
  <c r="BK30" i="6" s="1"/>
  <c r="BL31" i="6"/>
  <c r="BM31" i="6"/>
  <c r="BM30" i="6" s="1"/>
  <c r="BN31" i="6"/>
  <c r="BN30" i="6" s="1"/>
  <c r="BO31" i="6"/>
  <c r="BO30" i="6" s="1"/>
  <c r="BP31" i="6"/>
  <c r="BQ31" i="6"/>
  <c r="BQ30" i="6" s="1"/>
  <c r="BR31" i="6"/>
  <c r="BS31" i="6"/>
  <c r="BS30" i="6" s="1"/>
  <c r="BT31" i="6"/>
  <c r="BU31" i="6"/>
  <c r="BU30" i="6" s="1"/>
  <c r="BV31" i="6"/>
  <c r="BV30" i="6" s="1"/>
  <c r="BW31" i="6"/>
  <c r="BW30" i="6" s="1"/>
  <c r="BX31" i="6"/>
  <c r="BY31" i="6"/>
  <c r="BY30" i="6" s="1"/>
  <c r="BZ31" i="6"/>
  <c r="CA31" i="6"/>
  <c r="CA30" i="6" s="1"/>
  <c r="CB31" i="6"/>
  <c r="CC31" i="6"/>
  <c r="CC30" i="6" s="1"/>
  <c r="CD31" i="6"/>
  <c r="CD30" i="6" s="1"/>
  <c r="CE31" i="6"/>
  <c r="CE30" i="6" s="1"/>
  <c r="CF31" i="6"/>
  <c r="CG31" i="6"/>
  <c r="CG30" i="6" s="1"/>
  <c r="CH31" i="6"/>
  <c r="CI31" i="6"/>
  <c r="CI30" i="6" s="1"/>
  <c r="CJ31" i="6"/>
  <c r="CK31" i="6"/>
  <c r="CK30" i="6" s="1"/>
  <c r="CL31" i="6"/>
  <c r="CL30" i="6" s="1"/>
  <c r="CM31" i="6"/>
  <c r="CM30" i="6" s="1"/>
  <c r="CN31" i="6"/>
  <c r="CO31" i="6"/>
  <c r="CO30" i="6" s="1"/>
  <c r="CP31" i="6"/>
  <c r="CQ31" i="6"/>
  <c r="CQ30" i="6" s="1"/>
  <c r="CR31" i="6"/>
  <c r="CS31" i="6"/>
  <c r="CS30" i="6" s="1"/>
  <c r="CT31" i="6"/>
  <c r="CT30" i="6" s="1"/>
  <c r="CU31" i="6"/>
  <c r="CU30" i="6" s="1"/>
  <c r="CV31" i="6"/>
  <c r="CW31" i="6"/>
  <c r="CW30" i="6" s="1"/>
  <c r="CX31" i="6"/>
  <c r="CY31" i="6"/>
  <c r="CY30" i="6" s="1"/>
  <c r="CZ31" i="6"/>
  <c r="DA31" i="6"/>
  <c r="DA30" i="6" s="1"/>
  <c r="DB31" i="6"/>
  <c r="DB30" i="6" s="1"/>
  <c r="DC31" i="6"/>
  <c r="DC30" i="6" s="1"/>
  <c r="DD31" i="6"/>
  <c r="DE31" i="6"/>
  <c r="DE30" i="6" s="1"/>
  <c r="DF31" i="6"/>
  <c r="DG31" i="6"/>
  <c r="DG30" i="6" s="1"/>
  <c r="DH31" i="6"/>
  <c r="AG32" i="6"/>
  <c r="AH32" i="6"/>
  <c r="AI32" i="6"/>
  <c r="AJ32" i="6"/>
  <c r="AK32" i="6"/>
  <c r="AL32" i="6"/>
  <c r="AM32" i="6"/>
  <c r="AN32" i="6"/>
  <c r="AO32" i="6"/>
  <c r="AP32" i="6"/>
  <c r="AQ32" i="6"/>
  <c r="AR32" i="6"/>
  <c r="AS32" i="6"/>
  <c r="AT32" i="6"/>
  <c r="AU32" i="6"/>
  <c r="AV32" i="6"/>
  <c r="AW32" i="6"/>
  <c r="AX32" i="6"/>
  <c r="AY32" i="6"/>
  <c r="AZ32" i="6"/>
  <c r="BA32" i="6"/>
  <c r="BB32" i="6"/>
  <c r="BC32" i="6"/>
  <c r="BD32" i="6"/>
  <c r="BE32" i="6"/>
  <c r="BF32" i="6"/>
  <c r="BG32" i="6"/>
  <c r="BH32" i="6"/>
  <c r="BI32" i="6"/>
  <c r="BJ32" i="6"/>
  <c r="BK32" i="6"/>
  <c r="BL32" i="6"/>
  <c r="BM32" i="6"/>
  <c r="BN32" i="6"/>
  <c r="BO32" i="6"/>
  <c r="BP32" i="6"/>
  <c r="BQ32" i="6"/>
  <c r="BR32" i="6"/>
  <c r="BS32" i="6"/>
  <c r="BT32" i="6"/>
  <c r="BU32" i="6"/>
  <c r="BV32" i="6"/>
  <c r="BW32" i="6"/>
  <c r="BX32" i="6"/>
  <c r="BY32" i="6"/>
  <c r="BZ32" i="6"/>
  <c r="CA32" i="6"/>
  <c r="CB32" i="6"/>
  <c r="CC32" i="6"/>
  <c r="CD32" i="6"/>
  <c r="CE32" i="6"/>
  <c r="CF32" i="6"/>
  <c r="CG32" i="6"/>
  <c r="CH32" i="6"/>
  <c r="CI32" i="6"/>
  <c r="CJ32" i="6"/>
  <c r="CK32" i="6"/>
  <c r="CL32" i="6"/>
  <c r="CM32" i="6"/>
  <c r="CN32" i="6"/>
  <c r="CO32" i="6"/>
  <c r="CP32" i="6"/>
  <c r="CQ32" i="6"/>
  <c r="CR32" i="6"/>
  <c r="CS32" i="6"/>
  <c r="CT32" i="6"/>
  <c r="CU32" i="6"/>
  <c r="CV32" i="6"/>
  <c r="CW32" i="6"/>
  <c r="CX32" i="6"/>
  <c r="CY32" i="6"/>
  <c r="CZ32" i="6"/>
  <c r="DA32" i="6"/>
  <c r="DB32" i="6"/>
  <c r="DC32" i="6"/>
  <c r="DD32" i="6"/>
  <c r="DE32" i="6"/>
  <c r="DF32" i="6"/>
  <c r="DG32" i="6"/>
  <c r="DH32" i="6"/>
  <c r="B32" i="6"/>
  <c r="B31" i="6"/>
  <c r="E37" i="6"/>
  <c r="G37" i="6"/>
  <c r="I37" i="6"/>
  <c r="BA25" i="6" l="1"/>
  <c r="BB25" i="6" s="1"/>
  <c r="BC25" i="6" s="1"/>
  <c r="BD25" i="6" s="1"/>
  <c r="BE25" i="6" s="1"/>
  <c r="BF25" i="6" s="1"/>
  <c r="BG25" i="6" s="1"/>
  <c r="BH25" i="6" s="1"/>
  <c r="BI25" i="6" s="1"/>
  <c r="AT24" i="6"/>
  <c r="C22" i="6"/>
  <c r="F23" i="6"/>
  <c r="E22" i="6"/>
  <c r="D22" i="6"/>
  <c r="AF32" i="6"/>
  <c r="C32" i="6"/>
  <c r="D32" i="6"/>
  <c r="E32" i="6"/>
  <c r="F32" i="6"/>
  <c r="G32" i="6"/>
  <c r="H32" i="6"/>
  <c r="I32" i="6"/>
  <c r="J32" i="6"/>
  <c r="K32" i="6"/>
  <c r="L32" i="6"/>
  <c r="M32" i="6"/>
  <c r="N32" i="6"/>
  <c r="O32" i="6"/>
  <c r="P32" i="6"/>
  <c r="Q32" i="6"/>
  <c r="R32" i="6"/>
  <c r="S32" i="6"/>
  <c r="T32" i="6"/>
  <c r="U32" i="6"/>
  <c r="V32" i="6"/>
  <c r="W32" i="6"/>
  <c r="X32" i="6"/>
  <c r="Y32" i="6"/>
  <c r="Z32" i="6"/>
  <c r="AA32" i="6"/>
  <c r="AB32" i="6"/>
  <c r="AC32" i="6"/>
  <c r="AD32" i="6"/>
  <c r="AE32" i="6"/>
  <c r="H31" i="6"/>
  <c r="H30" i="6" s="1"/>
  <c r="B27" i="6"/>
  <c r="B13" i="5"/>
  <c r="BJ25" i="6" l="1"/>
  <c r="AU24" i="6"/>
  <c r="G23" i="6"/>
  <c r="F22" i="6"/>
  <c r="B18" i="5"/>
  <c r="AE18" i="5"/>
  <c r="E18" i="5"/>
  <c r="BK25" i="6" l="1"/>
  <c r="AV24" i="6"/>
  <c r="H23" i="6"/>
  <c r="G22" i="6"/>
  <c r="C18" i="5"/>
  <c r="BL25" i="6" l="1"/>
  <c r="AW24" i="6"/>
  <c r="I23" i="6"/>
  <c r="H22" i="6"/>
  <c r="C15" i="4"/>
  <c r="BM25" i="6" l="1"/>
  <c r="AX24" i="6"/>
  <c r="I22" i="6"/>
  <c r="J23" i="6"/>
  <c r="F28" i="6"/>
  <c r="BN25" i="6" l="1"/>
  <c r="AY24" i="6"/>
  <c r="J22" i="6"/>
  <c r="K23" i="6"/>
  <c r="C31" i="6"/>
  <c r="C30" i="6" s="1"/>
  <c r="D31" i="6"/>
  <c r="D30" i="6" s="1"/>
  <c r="E31" i="6"/>
  <c r="E30" i="6" s="1"/>
  <c r="F31" i="6"/>
  <c r="F30" i="6" s="1"/>
  <c r="G31" i="6"/>
  <c r="G30" i="6" s="1"/>
  <c r="I31" i="6"/>
  <c r="I30" i="6" s="1"/>
  <c r="J31" i="6"/>
  <c r="J30" i="6" s="1"/>
  <c r="K31" i="6"/>
  <c r="K30" i="6" s="1"/>
  <c r="L31" i="6"/>
  <c r="L30" i="6" s="1"/>
  <c r="M31" i="6"/>
  <c r="M30" i="6" s="1"/>
  <c r="N31" i="6"/>
  <c r="N30" i="6" s="1"/>
  <c r="O31" i="6"/>
  <c r="O30" i="6" s="1"/>
  <c r="P31" i="6"/>
  <c r="P30" i="6" s="1"/>
  <c r="Q31" i="6"/>
  <c r="Q30" i="6" s="1"/>
  <c r="R31" i="6"/>
  <c r="R30" i="6" s="1"/>
  <c r="S31" i="6"/>
  <c r="S30" i="6" s="1"/>
  <c r="T31" i="6"/>
  <c r="T30" i="6" s="1"/>
  <c r="U31" i="6"/>
  <c r="U30" i="6" s="1"/>
  <c r="V31" i="6"/>
  <c r="V30" i="6" s="1"/>
  <c r="W31" i="6"/>
  <c r="W30" i="6" s="1"/>
  <c r="X31" i="6"/>
  <c r="X30" i="6" s="1"/>
  <c r="Y31" i="6"/>
  <c r="Y30" i="6" s="1"/>
  <c r="Z31" i="6"/>
  <c r="Z30" i="6" s="1"/>
  <c r="AA31" i="6"/>
  <c r="AA30" i="6" s="1"/>
  <c r="AB31" i="6"/>
  <c r="AB30" i="6" s="1"/>
  <c r="AC31" i="6"/>
  <c r="AC30" i="6" s="1"/>
  <c r="AD31" i="6"/>
  <c r="AD30" i="6" s="1"/>
  <c r="AE31" i="6"/>
  <c r="AE30" i="6" s="1"/>
  <c r="AF31" i="6"/>
  <c r="AF30" i="6" s="1"/>
  <c r="B47" i="6" l="1"/>
  <c r="BO25" i="6"/>
  <c r="K22" i="6"/>
  <c r="L23" i="6"/>
  <c r="AF28" i="6"/>
  <c r="C28" i="6"/>
  <c r="D28" i="6"/>
  <c r="E28" i="6"/>
  <c r="G28" i="6"/>
  <c r="H28" i="6"/>
  <c r="I28" i="6"/>
  <c r="J28" i="6"/>
  <c r="K28" i="6"/>
  <c r="L28" i="6"/>
  <c r="M28" i="6"/>
  <c r="N28" i="6"/>
  <c r="O28" i="6"/>
  <c r="P28" i="6"/>
  <c r="Q28" i="6"/>
  <c r="R28" i="6"/>
  <c r="S28" i="6"/>
  <c r="T28" i="6"/>
  <c r="U28" i="6"/>
  <c r="V28" i="6"/>
  <c r="W28" i="6"/>
  <c r="X28" i="6"/>
  <c r="Y28" i="6"/>
  <c r="Z28" i="6"/>
  <c r="AA28" i="6"/>
  <c r="AB28" i="6"/>
  <c r="AC28" i="6"/>
  <c r="AD28" i="6"/>
  <c r="AE28" i="6"/>
  <c r="AF27" i="6"/>
  <c r="C27" i="6"/>
  <c r="D27" i="6"/>
  <c r="E27" i="6"/>
  <c r="F27" i="6"/>
  <c r="G27" i="6"/>
  <c r="H27" i="6"/>
  <c r="I27" i="6"/>
  <c r="J27" i="6"/>
  <c r="K27" i="6"/>
  <c r="L27" i="6"/>
  <c r="M27" i="6"/>
  <c r="N27" i="6"/>
  <c r="O27" i="6"/>
  <c r="P27" i="6"/>
  <c r="Q27" i="6"/>
  <c r="R27" i="6"/>
  <c r="S27" i="6"/>
  <c r="T27" i="6"/>
  <c r="U27" i="6"/>
  <c r="V27" i="6"/>
  <c r="W27" i="6"/>
  <c r="X27" i="6"/>
  <c r="Y27" i="6"/>
  <c r="Z27" i="6"/>
  <c r="AA27" i="6"/>
  <c r="AB27" i="6"/>
  <c r="AC27" i="6"/>
  <c r="AD27" i="6"/>
  <c r="AE27" i="6"/>
  <c r="BP25" i="6" l="1"/>
  <c r="BA24" i="6"/>
  <c r="M23" i="6"/>
  <c r="L22" i="6"/>
  <c r="BQ25" i="6" l="1"/>
  <c r="BB24" i="6"/>
  <c r="N23" i="6"/>
  <c r="M22" i="6"/>
  <c r="C17" i="4"/>
  <c r="BR25" i="6" l="1"/>
  <c r="BC24" i="6"/>
  <c r="O23" i="6"/>
  <c r="N22" i="6"/>
  <c r="C37" i="6"/>
  <c r="B36" i="6"/>
  <c r="BS25" i="6" l="1"/>
  <c r="BD24" i="6"/>
  <c r="P23" i="6"/>
  <c r="O22" i="6"/>
  <c r="B26" i="6"/>
  <c r="D18" i="5"/>
  <c r="M18" i="5"/>
  <c r="U18" i="5"/>
  <c r="AC18" i="5"/>
  <c r="O18" i="5"/>
  <c r="L18" i="5"/>
  <c r="F18" i="5"/>
  <c r="N18" i="5"/>
  <c r="V18" i="5"/>
  <c r="AD18" i="5"/>
  <c r="G18" i="5"/>
  <c r="W18" i="5"/>
  <c r="H18" i="5"/>
  <c r="P18" i="5"/>
  <c r="X18" i="5"/>
  <c r="R18" i="5"/>
  <c r="AA18" i="5"/>
  <c r="T18" i="5"/>
  <c r="I18" i="5"/>
  <c r="Q18" i="5"/>
  <c r="Y18" i="5"/>
  <c r="J18" i="5"/>
  <c r="Z18" i="5"/>
  <c r="K18" i="5"/>
  <c r="S18" i="5"/>
  <c r="AB18" i="5"/>
  <c r="C18" i="4"/>
  <c r="BE24" i="6" l="1"/>
  <c r="Q23" i="6"/>
  <c r="P22" i="6"/>
  <c r="P26" i="6" s="1"/>
  <c r="P21" i="6" s="1"/>
  <c r="B21" i="6"/>
  <c r="B33" i="6" s="1"/>
  <c r="I26" i="6"/>
  <c r="I21" i="6" s="1"/>
  <c r="E26" i="6"/>
  <c r="E21" i="6" s="1"/>
  <c r="M26" i="6"/>
  <c r="M21" i="6" s="1"/>
  <c r="C26" i="6"/>
  <c r="C21" i="6" s="1"/>
  <c r="F26" i="6"/>
  <c r="F21" i="6" s="1"/>
  <c r="J26" i="6"/>
  <c r="J21" i="6" s="1"/>
  <c r="O26" i="6"/>
  <c r="O21" i="6" s="1"/>
  <c r="G26" i="6"/>
  <c r="G21" i="6" s="1"/>
  <c r="L26" i="6"/>
  <c r="L21" i="6" s="1"/>
  <c r="H26" i="6"/>
  <c r="H21" i="6" s="1"/>
  <c r="D26" i="6"/>
  <c r="D21" i="6" s="1"/>
  <c r="N26" i="6"/>
  <c r="N21" i="6" s="1"/>
  <c r="K26" i="6"/>
  <c r="K21" i="6" s="1"/>
  <c r="BU25" i="6" l="1"/>
  <c r="BF24" i="6"/>
  <c r="BG24" i="6" s="1"/>
  <c r="BH24" i="6" s="1"/>
  <c r="BI24" i="6" s="1"/>
  <c r="BJ24" i="6" s="1"/>
  <c r="BK24" i="6" s="1"/>
  <c r="BL24" i="6" s="1"/>
  <c r="BM24" i="6" s="1"/>
  <c r="BN24" i="6" s="1"/>
  <c r="BO24" i="6" s="1"/>
  <c r="BP24" i="6" s="1"/>
  <c r="BQ24" i="6" s="1"/>
  <c r="BR24" i="6" s="1"/>
  <c r="BS24" i="6" s="1"/>
  <c r="BU24" i="6" s="1"/>
  <c r="BV24" i="6" s="1"/>
  <c r="BW24" i="6" s="1"/>
  <c r="BX24" i="6" s="1"/>
  <c r="BY24" i="6" s="1"/>
  <c r="BZ24" i="6" s="1"/>
  <c r="CA24" i="6" s="1"/>
  <c r="CB24" i="6" s="1"/>
  <c r="CC24" i="6" s="1"/>
  <c r="CD24" i="6" s="1"/>
  <c r="CE24" i="6" s="1"/>
  <c r="CF24" i="6" s="1"/>
  <c r="CG24" i="6" s="1"/>
  <c r="CH24" i="6" s="1"/>
  <c r="CI24" i="6" s="1"/>
  <c r="CJ24" i="6" s="1"/>
  <c r="CK24" i="6" s="1"/>
  <c r="CL24" i="6" s="1"/>
  <c r="CM24" i="6" s="1"/>
  <c r="CO24" i="6" s="1"/>
  <c r="CP24" i="6" s="1"/>
  <c r="CQ24" i="6" s="1"/>
  <c r="CR24" i="6" s="1"/>
  <c r="CS24" i="6" s="1"/>
  <c r="CT24" i="6" s="1"/>
  <c r="CU24" i="6" s="1"/>
  <c r="CV24" i="6" s="1"/>
  <c r="CW24" i="6" s="1"/>
  <c r="CX24" i="6" s="1"/>
  <c r="CY24" i="6" s="1"/>
  <c r="CZ24" i="6" s="1"/>
  <c r="DA24" i="6" s="1"/>
  <c r="DB24" i="6" s="1"/>
  <c r="DC24" i="6" s="1"/>
  <c r="DD24" i="6" s="1"/>
  <c r="DE24" i="6" s="1"/>
  <c r="DF24" i="6" s="1"/>
  <c r="DG24" i="6" s="1"/>
  <c r="DH24" i="6" s="1"/>
  <c r="Q22" i="6"/>
  <c r="Q26" i="6" s="1"/>
  <c r="Q21" i="6" s="1"/>
  <c r="Q33" i="6" s="1"/>
  <c r="R23" i="6"/>
  <c r="I33" i="6"/>
  <c r="E33" i="6"/>
  <c r="M33" i="6"/>
  <c r="G33" i="6"/>
  <c r="P33" i="6"/>
  <c r="H33" i="6"/>
  <c r="J33" i="6"/>
  <c r="N33" i="6"/>
  <c r="K33" i="6"/>
  <c r="D33" i="6"/>
  <c r="F33" i="6"/>
  <c r="O33" i="6"/>
  <c r="L33" i="6"/>
  <c r="BV25" i="6" l="1"/>
  <c r="R22" i="6"/>
  <c r="R26" i="6" s="1"/>
  <c r="R21" i="6" s="1"/>
  <c r="R33" i="6" s="1"/>
  <c r="S23" i="6"/>
  <c r="B9" i="4"/>
  <c r="C33" i="6"/>
  <c r="BW25" i="6" l="1"/>
  <c r="S22" i="6"/>
  <c r="S26" i="6" s="1"/>
  <c r="S21" i="6" s="1"/>
  <c r="S33" i="6" s="1"/>
  <c r="T23" i="6"/>
  <c r="BX25" i="6" l="1"/>
  <c r="U23" i="6"/>
  <c r="T22" i="6"/>
  <c r="T26" i="6" s="1"/>
  <c r="T21" i="6" s="1"/>
  <c r="T33" i="6" s="1"/>
  <c r="BY25" i="6" l="1"/>
  <c r="V23" i="6"/>
  <c r="U22" i="6"/>
  <c r="U26" i="6" s="1"/>
  <c r="U21" i="6" s="1"/>
  <c r="U33" i="6" s="1"/>
  <c r="BZ25" i="6" l="1"/>
  <c r="W23" i="6"/>
  <c r="V22" i="6"/>
  <c r="V26" i="6" s="1"/>
  <c r="V21" i="6" s="1"/>
  <c r="V33" i="6" s="1"/>
  <c r="CA25" i="6" l="1"/>
  <c r="X23" i="6"/>
  <c r="W22" i="6"/>
  <c r="W26" i="6" s="1"/>
  <c r="W21" i="6" s="1"/>
  <c r="W33" i="6" s="1"/>
  <c r="CB25" i="6" l="1"/>
  <c r="Y23" i="6"/>
  <c r="X22" i="6"/>
  <c r="X26" i="6" s="1"/>
  <c r="X21" i="6" s="1"/>
  <c r="X33" i="6" s="1"/>
  <c r="CC25" i="6" l="1"/>
  <c r="Y22" i="6"/>
  <c r="Y26" i="6" s="1"/>
  <c r="Y21" i="6" s="1"/>
  <c r="Y33" i="6" s="1"/>
  <c r="Z23" i="6"/>
  <c r="B7" i="4"/>
  <c r="CD25" i="6" l="1"/>
  <c r="Z22" i="6"/>
  <c r="Z26" i="6" s="1"/>
  <c r="Z21" i="6" s="1"/>
  <c r="Z33" i="6" s="1"/>
  <c r="AA23" i="6"/>
  <c r="CE25" i="6" l="1"/>
  <c r="AA22" i="6"/>
  <c r="AA26" i="6" s="1"/>
  <c r="AA21" i="6" s="1"/>
  <c r="AA33" i="6" s="1"/>
  <c r="AB23" i="6"/>
  <c r="CF25" i="6" l="1"/>
  <c r="AC23" i="6"/>
  <c r="AB22" i="6"/>
  <c r="AB26" i="6" s="1"/>
  <c r="AB21" i="6" s="1"/>
  <c r="AB33" i="6" s="1"/>
  <c r="CG25" i="6" l="1"/>
  <c r="AD23" i="6"/>
  <c r="AC22" i="6"/>
  <c r="AC26" i="6" s="1"/>
  <c r="AC21" i="6" s="1"/>
  <c r="AC33" i="6" s="1"/>
  <c r="CH25" i="6" l="1"/>
  <c r="AE23" i="6"/>
  <c r="AD22" i="6"/>
  <c r="AD26" i="6" s="1"/>
  <c r="AD21" i="6" s="1"/>
  <c r="AD33" i="6" s="1"/>
  <c r="CI25" i="6" l="1"/>
  <c r="AE22" i="6"/>
  <c r="AE26" i="6" s="1"/>
  <c r="AE21" i="6" s="1"/>
  <c r="AE33" i="6" s="1"/>
  <c r="CJ25" i="6" l="1"/>
  <c r="AG23" i="6"/>
  <c r="AF26" i="6"/>
  <c r="AF21" i="6" s="1"/>
  <c r="AF33" i="6" s="1"/>
  <c r="CK25" i="6" l="1"/>
  <c r="AG22" i="6"/>
  <c r="AH23" i="6"/>
  <c r="CL25" i="6" l="1"/>
  <c r="AH22" i="6"/>
  <c r="AI23" i="6"/>
  <c r="AG26" i="6"/>
  <c r="AG21" i="6" s="1"/>
  <c r="AG33" i="6" s="1"/>
  <c r="CM25" i="6" l="1"/>
  <c r="AI22" i="6"/>
  <c r="AJ23" i="6"/>
  <c r="AH26" i="6"/>
  <c r="AH21" i="6" s="1"/>
  <c r="AH33" i="6" s="1"/>
  <c r="AK23" i="6" l="1"/>
  <c r="AJ22" i="6"/>
  <c r="AJ26" i="6" s="1"/>
  <c r="AJ21" i="6" s="1"/>
  <c r="AJ33" i="6" s="1"/>
  <c r="AI26" i="6"/>
  <c r="AI21" i="6" s="1"/>
  <c r="AI33" i="6" s="1"/>
  <c r="CO25" i="6" l="1"/>
  <c r="AL23" i="6"/>
  <c r="AK22" i="6"/>
  <c r="CP25" i="6" l="1"/>
  <c r="AK26" i="6"/>
  <c r="AK21" i="6" s="1"/>
  <c r="AK33" i="6" s="1"/>
  <c r="AM23" i="6"/>
  <c r="AL22" i="6"/>
  <c r="CQ25" i="6" l="1"/>
  <c r="AL26" i="6"/>
  <c r="AL21" i="6" s="1"/>
  <c r="AL33" i="6" s="1"/>
  <c r="AN23" i="6"/>
  <c r="AM22" i="6"/>
  <c r="CR25" i="6" l="1"/>
  <c r="AO23" i="6"/>
  <c r="AN22" i="6"/>
  <c r="AN26" i="6" s="1"/>
  <c r="AN21" i="6" s="1"/>
  <c r="AN33" i="6" s="1"/>
  <c r="AM26" i="6"/>
  <c r="AM21" i="6" s="1"/>
  <c r="AM33" i="6" s="1"/>
  <c r="CS25" i="6" l="1"/>
  <c r="AP23" i="6"/>
  <c r="AO22" i="6"/>
  <c r="AO26" i="6" s="1"/>
  <c r="AO21" i="6" s="1"/>
  <c r="AO33" i="6" s="1"/>
  <c r="CT25" i="6" l="1"/>
  <c r="AP22" i="6"/>
  <c r="AP26" i="6" s="1"/>
  <c r="AP21" i="6" s="1"/>
  <c r="AP33" i="6" s="1"/>
  <c r="AQ23" i="6"/>
  <c r="CU25" i="6" l="1"/>
  <c r="AQ22" i="6"/>
  <c r="AQ26" i="6" s="1"/>
  <c r="AQ21" i="6" s="1"/>
  <c r="AQ33" i="6" s="1"/>
  <c r="AR23" i="6"/>
  <c r="AR22" i="6" l="1"/>
  <c r="AR26" i="6" s="1"/>
  <c r="AR21" i="6" s="1"/>
  <c r="AR33" i="6" s="1"/>
  <c r="AS23" i="6"/>
  <c r="CV25" i="6"/>
  <c r="AT23" i="6" l="1"/>
  <c r="AS22" i="6"/>
  <c r="AS26" i="6" s="1"/>
  <c r="AS21" i="6" s="1"/>
  <c r="AS33" i="6" s="1"/>
  <c r="CW25" i="6"/>
  <c r="AU23" i="6" l="1"/>
  <c r="AT22" i="6"/>
  <c r="CX25" i="6"/>
  <c r="AT26" i="6" l="1"/>
  <c r="AT21" i="6" s="1"/>
  <c r="AT33" i="6" s="1"/>
  <c r="AV23" i="6"/>
  <c r="AU22" i="6"/>
  <c r="CY25" i="6"/>
  <c r="AU26" i="6" l="1"/>
  <c r="AU21" i="6" s="1"/>
  <c r="AU33" i="6" s="1"/>
  <c r="AW23" i="6"/>
  <c r="AV22" i="6"/>
  <c r="CZ25" i="6"/>
  <c r="AV26" i="6" l="1"/>
  <c r="AV21" i="6" s="1"/>
  <c r="AV33" i="6" s="1"/>
  <c r="AX23" i="6"/>
  <c r="AW22" i="6"/>
  <c r="AW26" i="6" s="1"/>
  <c r="AW21" i="6" s="1"/>
  <c r="AW33" i="6" s="1"/>
  <c r="DA25" i="6"/>
  <c r="AY23" i="6" l="1"/>
  <c r="AX22" i="6"/>
  <c r="DB25" i="6"/>
  <c r="AX26" i="6" l="1"/>
  <c r="AX21" i="6" s="1"/>
  <c r="AX33" i="6" s="1"/>
  <c r="AY22" i="6"/>
  <c r="AY26" i="6" s="1"/>
  <c r="AY21" i="6" s="1"/>
  <c r="AY33" i="6" s="1"/>
  <c r="DC25" i="6"/>
  <c r="BA23" i="6" l="1"/>
  <c r="AZ22" i="6"/>
  <c r="AZ26" i="6" s="1"/>
  <c r="AZ21" i="6" s="1"/>
  <c r="AZ33" i="6" s="1"/>
  <c r="DD25" i="6"/>
  <c r="BB23" i="6" l="1"/>
  <c r="BA22" i="6"/>
  <c r="BA26" i="6" s="1"/>
  <c r="BA21" i="6" s="1"/>
  <c r="BA33" i="6" s="1"/>
  <c r="DE25" i="6"/>
  <c r="BC23" i="6" l="1"/>
  <c r="BB22" i="6"/>
  <c r="BB26" i="6" s="1"/>
  <c r="BB21" i="6" s="1"/>
  <c r="BB33" i="6" s="1"/>
  <c r="DF25" i="6"/>
  <c r="DG25" i="6" s="1"/>
  <c r="BD23" i="6" l="1"/>
  <c r="BC22" i="6"/>
  <c r="BC26" i="6" s="1"/>
  <c r="BC21" i="6" s="1"/>
  <c r="BC33" i="6" s="1"/>
  <c r="BE23" i="6" l="1"/>
  <c r="BD22" i="6"/>
  <c r="BD26" i="6" s="1"/>
  <c r="BD21" i="6" s="1"/>
  <c r="BD33" i="6" s="1"/>
  <c r="DH25" i="6"/>
  <c r="BF23" i="6" l="1"/>
  <c r="BE22" i="6"/>
  <c r="BE26" i="6" s="1"/>
  <c r="BE21" i="6" s="1"/>
  <c r="BE33" i="6" s="1"/>
  <c r="BG23" i="6" l="1"/>
  <c r="BF22" i="6"/>
  <c r="BF26" i="6" s="1"/>
  <c r="BF21" i="6" s="1"/>
  <c r="BF33" i="6" s="1"/>
  <c r="BH23" i="6" l="1"/>
  <c r="BG22" i="6"/>
  <c r="BI23" i="6" l="1"/>
  <c r="BH22" i="6"/>
  <c r="BG26" i="6"/>
  <c r="BG21" i="6" s="1"/>
  <c r="BG33" i="6" l="1"/>
  <c r="BJ23" i="6"/>
  <c r="BI22" i="6"/>
  <c r="BH26" i="6"/>
  <c r="BH21" i="6" s="1"/>
  <c r="BH33" i="6" l="1"/>
  <c r="BI26" i="6"/>
  <c r="BI21" i="6" s="1"/>
  <c r="BK23" i="6"/>
  <c r="BJ22" i="6"/>
  <c r="BJ26" i="6" s="1"/>
  <c r="BJ21" i="6" s="1"/>
  <c r="BJ33" i="6" s="1"/>
  <c r="BI33" i="6" l="1"/>
  <c r="BL23" i="6"/>
  <c r="BK22" i="6"/>
  <c r="BK26" i="6" l="1"/>
  <c r="BK21" i="6" s="1"/>
  <c r="BM23" i="6"/>
  <c r="BL22" i="6"/>
  <c r="BL26" i="6" s="1"/>
  <c r="BL21" i="6" s="1"/>
  <c r="BL33" i="6" s="1"/>
  <c r="BK33" i="6" l="1"/>
  <c r="BN23" i="6"/>
  <c r="BM22" i="6"/>
  <c r="BM26" i="6" s="1"/>
  <c r="BM21" i="6" s="1"/>
  <c r="BM33" i="6" s="1"/>
  <c r="BO23" i="6" l="1"/>
  <c r="BN22" i="6"/>
  <c r="BN26" i="6" s="1"/>
  <c r="BN21" i="6" s="1"/>
  <c r="BN33" i="6" s="1"/>
  <c r="BP23" i="6" l="1"/>
  <c r="BO22" i="6"/>
  <c r="BO26" i="6" s="1"/>
  <c r="BO21" i="6" s="1"/>
  <c r="BO33" i="6" s="1"/>
  <c r="BQ23" i="6" l="1"/>
  <c r="BP22" i="6"/>
  <c r="BP26" i="6" l="1"/>
  <c r="BP21" i="6" s="1"/>
  <c r="BP33" i="6" s="1"/>
  <c r="BR23" i="6"/>
  <c r="BQ22" i="6"/>
  <c r="BQ26" i="6" l="1"/>
  <c r="BQ21" i="6" s="1"/>
  <c r="BQ33" i="6" s="1"/>
  <c r="BS23" i="6"/>
  <c r="BR22" i="6"/>
  <c r="BR26" i="6" l="1"/>
  <c r="BR21" i="6" s="1"/>
  <c r="BR33" i="6" s="1"/>
  <c r="BS22" i="6"/>
  <c r="BS26" i="6" l="1"/>
  <c r="BS21" i="6" s="1"/>
  <c r="BS33" i="6" s="1"/>
  <c r="BU23" i="6"/>
  <c r="BT22" i="6"/>
  <c r="BT26" i="6" s="1"/>
  <c r="BT21" i="6" s="1"/>
  <c r="BT33" i="6" s="1"/>
  <c r="BV23" i="6" l="1"/>
  <c r="BU22" i="6"/>
  <c r="BU26" i="6" s="1"/>
  <c r="BU21" i="6" s="1"/>
  <c r="BU33" i="6" s="1"/>
  <c r="BW23" i="6" l="1"/>
  <c r="BV22" i="6"/>
  <c r="BV26" i="6" s="1"/>
  <c r="BV21" i="6" s="1"/>
  <c r="BV33" i="6" s="1"/>
  <c r="BX23" i="6" l="1"/>
  <c r="BW22" i="6"/>
  <c r="BW26" i="6" s="1"/>
  <c r="BW21" i="6" s="1"/>
  <c r="BW33" i="6" s="1"/>
  <c r="BY23" i="6" l="1"/>
  <c r="BX22" i="6"/>
  <c r="BX26" i="6" s="1"/>
  <c r="BX21" i="6" s="1"/>
  <c r="BX33" i="6" s="1"/>
  <c r="BZ23" i="6" l="1"/>
  <c r="BY22" i="6"/>
  <c r="CA23" i="6" l="1"/>
  <c r="BZ22" i="6"/>
  <c r="BZ26" i="6" s="1"/>
  <c r="BZ21" i="6" s="1"/>
  <c r="BZ33" i="6" s="1"/>
  <c r="BY26" i="6"/>
  <c r="BY21" i="6" s="1"/>
  <c r="BY33" i="6" s="1"/>
  <c r="CB23" i="6" l="1"/>
  <c r="CA22" i="6"/>
  <c r="CA26" i="6" s="1"/>
  <c r="CA21" i="6" s="1"/>
  <c r="CA33" i="6" s="1"/>
  <c r="CC23" i="6" l="1"/>
  <c r="CB22" i="6"/>
  <c r="CD23" i="6" l="1"/>
  <c r="CC22" i="6"/>
  <c r="CC26" i="6" s="1"/>
  <c r="CC21" i="6" s="1"/>
  <c r="CC33" i="6" s="1"/>
  <c r="CB26" i="6"/>
  <c r="CB21" i="6" s="1"/>
  <c r="CB33" i="6" s="1"/>
  <c r="CE23" i="6" l="1"/>
  <c r="CD22" i="6"/>
  <c r="CD26" i="6" l="1"/>
  <c r="CD21" i="6" s="1"/>
  <c r="CD33" i="6" s="1"/>
  <c r="CF23" i="6"/>
  <c r="CE22" i="6"/>
  <c r="CE26" i="6" s="1"/>
  <c r="CE21" i="6" s="1"/>
  <c r="CE33" i="6" s="1"/>
  <c r="CG23" i="6" l="1"/>
  <c r="CF22" i="6"/>
  <c r="CF26" i="6" s="1"/>
  <c r="CF21" i="6" s="1"/>
  <c r="CF33" i="6" s="1"/>
  <c r="CH23" i="6" l="1"/>
  <c r="CG22" i="6"/>
  <c r="CG26" i="6" s="1"/>
  <c r="CG21" i="6" s="1"/>
  <c r="CG33" i="6" s="1"/>
  <c r="CI23" i="6" l="1"/>
  <c r="CH22" i="6"/>
  <c r="CH26" i="6" l="1"/>
  <c r="CH21" i="6" s="1"/>
  <c r="CH33" i="6" s="1"/>
  <c r="CJ23" i="6"/>
  <c r="CI22" i="6"/>
  <c r="CI26" i="6" l="1"/>
  <c r="CI21" i="6" s="1"/>
  <c r="CI33" i="6" s="1"/>
  <c r="CK23" i="6"/>
  <c r="CJ22" i="6"/>
  <c r="CJ26" i="6" s="1"/>
  <c r="CJ21" i="6" s="1"/>
  <c r="CJ33" i="6" s="1"/>
  <c r="CL23" i="6" l="1"/>
  <c r="CK22" i="6"/>
  <c r="CK26" i="6" l="1"/>
  <c r="CK21" i="6" s="1"/>
  <c r="CK33" i="6" s="1"/>
  <c r="CM23" i="6"/>
  <c r="CL22" i="6"/>
  <c r="CL26" i="6" l="1"/>
  <c r="CL21" i="6" s="1"/>
  <c r="CL33" i="6" s="1"/>
  <c r="CM22" i="6"/>
  <c r="CM26" i="6" s="1"/>
  <c r="CM21" i="6" s="1"/>
  <c r="CM33" i="6" s="1"/>
  <c r="CO23" i="6" l="1"/>
  <c r="CN22" i="6"/>
  <c r="CN26" i="6" l="1"/>
  <c r="CN21" i="6" s="1"/>
  <c r="CN33" i="6" s="1"/>
  <c r="CP23" i="6"/>
  <c r="CO22" i="6"/>
  <c r="CO26" i="6" s="1"/>
  <c r="CO21" i="6" s="1"/>
  <c r="CO33" i="6" s="1"/>
  <c r="CQ23" i="6" l="1"/>
  <c r="CP22" i="6"/>
  <c r="CP26" i="6" s="1"/>
  <c r="CP21" i="6" s="1"/>
  <c r="CP33" i="6" s="1"/>
  <c r="CR23" i="6" l="1"/>
  <c r="CQ22" i="6"/>
  <c r="CQ26" i="6" s="1"/>
  <c r="CQ21" i="6" s="1"/>
  <c r="CQ33" i="6" s="1"/>
  <c r="CS23" i="6" l="1"/>
  <c r="CR22" i="6"/>
  <c r="CT23" i="6" l="1"/>
  <c r="CS22" i="6"/>
  <c r="CR26" i="6"/>
  <c r="CR21" i="6" s="1"/>
  <c r="CR33" i="6" s="1"/>
  <c r="CS26" i="6" l="1"/>
  <c r="CS21" i="6" s="1"/>
  <c r="CS33" i="6" s="1"/>
  <c r="CU23" i="6"/>
  <c r="CT22" i="6"/>
  <c r="CT26" i="6" l="1"/>
  <c r="CT21" i="6" s="1"/>
  <c r="CT33" i="6" s="1"/>
  <c r="CV23" i="6"/>
  <c r="CU22" i="6"/>
  <c r="CU26" i="6" s="1"/>
  <c r="CU21" i="6" s="1"/>
  <c r="CU33" i="6" s="1"/>
  <c r="CW23" i="6" l="1"/>
  <c r="CV22" i="6"/>
  <c r="CV26" i="6" s="1"/>
  <c r="CV21" i="6" s="1"/>
  <c r="CV33" i="6" s="1"/>
  <c r="CX23" i="6" l="1"/>
  <c r="CW22" i="6"/>
  <c r="CW26" i="6" s="1"/>
  <c r="CW21" i="6" s="1"/>
  <c r="CW33" i="6" s="1"/>
  <c r="CY23" i="6" l="1"/>
  <c r="CX22" i="6"/>
  <c r="CX26" i="6" s="1"/>
  <c r="CX21" i="6" s="1"/>
  <c r="CX33" i="6" s="1"/>
  <c r="CZ23" i="6" l="1"/>
  <c r="CY22" i="6"/>
  <c r="CY26" i="6" s="1"/>
  <c r="CY21" i="6" s="1"/>
  <c r="CY33" i="6" s="1"/>
  <c r="DA23" i="6" l="1"/>
  <c r="CZ22" i="6"/>
  <c r="CZ26" i="6" s="1"/>
  <c r="CZ21" i="6" s="1"/>
  <c r="CZ33" i="6" s="1"/>
  <c r="DB23" i="6" l="1"/>
  <c r="DA22" i="6"/>
  <c r="DA26" i="6" l="1"/>
  <c r="DA21" i="6" s="1"/>
  <c r="DA33" i="6" s="1"/>
  <c r="DC23" i="6"/>
  <c r="DB22" i="6"/>
  <c r="DB26" i="6" s="1"/>
  <c r="DB21" i="6" s="1"/>
  <c r="DB33" i="6" s="1"/>
  <c r="DD23" i="6" l="1"/>
  <c r="DC22" i="6"/>
  <c r="DC26" i="6" s="1"/>
  <c r="DC21" i="6" s="1"/>
  <c r="DC33" i="6" s="1"/>
  <c r="DE23" i="6" l="1"/>
  <c r="DD22" i="6"/>
  <c r="DD26" i="6" s="1"/>
  <c r="DD21" i="6" s="1"/>
  <c r="DD33" i="6" s="1"/>
  <c r="DF23" i="6" l="1"/>
  <c r="DE22" i="6"/>
  <c r="DE26" i="6" s="1"/>
  <c r="DE21" i="6" s="1"/>
  <c r="DE33" i="6" s="1"/>
  <c r="DG23" i="6" l="1"/>
  <c r="DF22" i="6"/>
  <c r="DH23" i="6" l="1"/>
  <c r="DH22" i="6" s="1"/>
  <c r="DH26" i="6" s="1"/>
  <c r="DH21" i="6" s="1"/>
  <c r="DG22" i="6"/>
  <c r="DG26" i="6" s="1"/>
  <c r="DG21" i="6" s="1"/>
  <c r="DG33" i="6" s="1"/>
  <c r="DF26" i="6"/>
  <c r="DF21" i="6" s="1"/>
  <c r="DF33" i="6" s="1"/>
  <c r="DH33" i="6" l="1"/>
  <c r="B46" i="6"/>
  <c r="B48" i="6" s="1"/>
  <c r="B5" i="6" s="1"/>
  <c r="B6" i="6" s="1"/>
  <c r="B4" i="4" l="1"/>
  <c r="B5" i="4" l="1"/>
  <c r="B3" i="4"/>
  <c r="B10" i="4" s="1"/>
  <c r="B11" i="4" l="1"/>
</calcChain>
</file>

<file path=xl/comments1.xml><?xml version="1.0" encoding="utf-8"?>
<comments xmlns="http://schemas.openxmlformats.org/spreadsheetml/2006/main">
  <authors>
    <author>Florence HEUSCHMIDT</author>
  </authors>
  <commentList>
    <comment ref="A26" authorId="0" shapeId="0">
      <text>
        <r>
          <rPr>
            <sz val="9"/>
            <color indexed="81"/>
            <rFont val="Tahoma"/>
            <family val="2"/>
          </rPr>
          <t>Pour forêt métropolitaine</t>
        </r>
      </text>
    </comment>
    <comment ref="A32" authorId="0" shapeId="0">
      <text>
        <r>
          <rPr>
            <sz val="9"/>
            <color indexed="81"/>
            <rFont val="Tahoma"/>
            <family val="2"/>
          </rPr>
          <t>Après 30, ==10 tC/ha</t>
        </r>
      </text>
    </comment>
    <comment ref="A42" authorId="0" shapeId="0">
      <text>
        <r>
          <rPr>
            <b/>
            <sz val="9"/>
            <color indexed="81"/>
            <rFont val="Tahoma"/>
            <family val="2"/>
          </rPr>
          <t>stocks limités à une profondeur de 30 cm</t>
        </r>
      </text>
    </comment>
    <comment ref="A43" authorId="0" shapeId="0">
      <text>
        <r>
          <rPr>
            <b/>
            <sz val="9"/>
            <color indexed="81"/>
            <rFont val="Tahoma"/>
            <family val="2"/>
          </rPr>
          <t>stocks limités à une profondeur de 30 cm</t>
        </r>
      </text>
    </comment>
  </commentList>
</comments>
</file>

<file path=xl/comments2.xml><?xml version="1.0" encoding="utf-8"?>
<comments xmlns="http://schemas.openxmlformats.org/spreadsheetml/2006/main">
  <authors>
    <author>Florence HEUSCHMIDT</author>
  </authors>
  <commentList>
    <comment ref="A19" authorId="0" shapeId="0">
      <text>
        <r>
          <rPr>
            <b/>
            <sz val="9"/>
            <color indexed="81"/>
            <rFont val="Tahoma"/>
            <family val="2"/>
          </rPr>
          <t>Flux entrant issu des produits bois récoltés au cours de l’année n (sur la période entre l’année n et l’année n+1) dans le scénario de projet</t>
        </r>
      </text>
    </comment>
  </commentList>
</comments>
</file>

<file path=xl/comments3.xml><?xml version="1.0" encoding="utf-8"?>
<comments xmlns="http://schemas.openxmlformats.org/spreadsheetml/2006/main">
  <authors>
    <author>Florence HEUSCHMIDT</author>
  </authors>
  <commentList>
    <comment ref="A1" authorId="0" shapeId="0">
      <text>
        <r>
          <rPr>
            <b/>
            <sz val="9"/>
            <color indexed="81"/>
            <rFont val="Tahoma"/>
            <family val="2"/>
          </rPr>
          <t xml:space="preserve">Pour les projets issus du reboisement d’un peuplement incendié ou du reboisement avec perturbation du sol (au moment du nettoyage et de la préparation du sol), on fera l’hypothèse que le carbone de la litière a été entièrement minéralisé ; on repartira alors d’une valeur nulle (hypothèse conservatrice).
Dans le cas du nettoyage partiel de la parcelle (pratique la plus vertueuse pour le sol), on fera l’hypothèse que la litière n’a pas été perturbée sur 50 % de la surface tandis qu’elle l’aura été sur les 50 % restants. Par conséquent, on appliquera l’équation 14 sur 50 % de la surface et on affectera sur les 50 % non impactés la constante de 10 tC/ha telle que préconisée par Arrouays et al. (2002) pour le compartiment de la litière. 
 </t>
        </r>
      </text>
    </comment>
  </commentList>
</comments>
</file>

<file path=xl/sharedStrings.xml><?xml version="1.0" encoding="utf-8"?>
<sst xmlns="http://schemas.openxmlformats.org/spreadsheetml/2006/main" count="256" uniqueCount="198">
  <si>
    <t>REA forêt</t>
  </si>
  <si>
    <t>Variables scénario de référence</t>
  </si>
  <si>
    <t>Variables scénario de projet</t>
  </si>
  <si>
    <t>Taux de carbone dans la matière sèche (en tC/tMS)</t>
  </si>
  <si>
    <t>FEB (facteur d'expansion "branches")</t>
  </si>
  <si>
    <t>Surface (ha)</t>
  </si>
  <si>
    <t>Litière à l'équilibre (en tC/ha)</t>
  </si>
  <si>
    <t>Peuplement incendié ou nettoyage et préparation du sol total</t>
  </si>
  <si>
    <t xml:space="preserve">Constantes </t>
  </si>
  <si>
    <t>Carbone organique du sol (n) (en tC/ha)</t>
  </si>
  <si>
    <t>Informations générales :</t>
  </si>
  <si>
    <t>R essence plantée  (ans)</t>
  </si>
  <si>
    <t>R' essence scénario référence (ans)</t>
  </si>
  <si>
    <t>Durée du projet (ans)</t>
  </si>
  <si>
    <t>n (années à partir du début du projet)</t>
  </si>
  <si>
    <t>Essence plantée</t>
  </si>
  <si>
    <t>Feuillus</t>
  </si>
  <si>
    <t>Conifères</t>
  </si>
  <si>
    <t xml:space="preserve">Infradensité (tMS/m3) </t>
  </si>
  <si>
    <t>Alisier torminal</t>
  </si>
  <si>
    <t>Aulne vert</t>
  </si>
  <si>
    <t>Cèdre de l’Atlas</t>
  </si>
  <si>
    <t>Charme</t>
  </si>
  <si>
    <t>Charme-houblon</t>
  </si>
  <si>
    <t>Châtaignier</t>
  </si>
  <si>
    <t>Chêne chevelu</t>
  </si>
  <si>
    <t>Chêne-liège</t>
  </si>
  <si>
    <t>Chêne pédonculé</t>
  </si>
  <si>
    <t>Chêne pubescent</t>
  </si>
  <si>
    <t>Chêne rouvre (sessile)</t>
  </si>
  <si>
    <t>Chêne tauzin</t>
  </si>
  <si>
    <t>Chêne vert</t>
  </si>
  <si>
    <t>Chênes indifférenciés</t>
  </si>
  <si>
    <t>Cornouiller mâle</t>
  </si>
  <si>
    <t>Cyprès</t>
  </si>
  <si>
    <t>Cytise aubour</t>
  </si>
  <si>
    <t>Douglas</t>
  </si>
  <si>
    <t>Epicéa commun</t>
  </si>
  <si>
    <t>Epicéa de Sitka</t>
  </si>
  <si>
    <t>Grands érables</t>
  </si>
  <si>
    <t>Petits érables</t>
  </si>
  <si>
    <t>Eucalyptus</t>
  </si>
  <si>
    <t>Hêtre</t>
  </si>
  <si>
    <t>Fruitiers</t>
  </si>
  <si>
    <t>If</t>
  </si>
  <si>
    <t>Mélèze d’Europe</t>
  </si>
  <si>
    <t>Mélèze du Japon</t>
  </si>
  <si>
    <t>Micocoulier</t>
  </si>
  <si>
    <t>Noyer</t>
  </si>
  <si>
    <t>Olivier</t>
  </si>
  <si>
    <t>Ormes</t>
  </si>
  <si>
    <t>Peupliers cultivés</t>
  </si>
  <si>
    <t>Peupliers non cultivés</t>
  </si>
  <si>
    <t>Essence</t>
  </si>
  <si>
    <t>Pin d'Alep</t>
  </si>
  <si>
    <t>Pin cembro</t>
  </si>
  <si>
    <t>Pin à crochets</t>
  </si>
  <si>
    <t>Pin laricio</t>
  </si>
  <si>
    <t>Pin maritime</t>
  </si>
  <si>
    <t>Pin mugho</t>
  </si>
  <si>
    <t>Pin noir d'Autriche</t>
  </si>
  <si>
    <t>Pin sylvestre</t>
  </si>
  <si>
    <t>Pin Weymouth</t>
  </si>
  <si>
    <t>Platanes</t>
  </si>
  <si>
    <t>Sapin méditerranéen</t>
  </si>
  <si>
    <t>Sapin de Nordmann</t>
  </si>
  <si>
    <t>Sapin pectiné</t>
  </si>
  <si>
    <t>Sapin de Vancouver</t>
  </si>
  <si>
    <t>Saules</t>
  </si>
  <si>
    <t>Tamaris</t>
  </si>
  <si>
    <t>Tilleuls</t>
  </si>
  <si>
    <t>Tremble</t>
  </si>
  <si>
    <t>Conifères (moyenne)</t>
  </si>
  <si>
    <t>Feuillus (moyenne)</t>
  </si>
  <si>
    <t>Pin pignon</t>
  </si>
  <si>
    <t>Arbousier</t>
  </si>
  <si>
    <t>Grands aulnes</t>
  </si>
  <si>
    <t>Bouleaux</t>
  </si>
  <si>
    <t>Chêne rouge d’Amérique</t>
  </si>
  <si>
    <t>Genévrier thurifère</t>
  </si>
  <si>
    <t>Frênes</t>
  </si>
  <si>
    <t>Merisier</t>
  </si>
  <si>
    <t>Mûrier</t>
  </si>
  <si>
    <t>Noisetier</t>
  </si>
  <si>
    <t>Robinier faux acacia</t>
  </si>
  <si>
    <t>Produits</t>
  </si>
  <si>
    <t>t1/2</t>
  </si>
  <si>
    <t>Bois de sciage</t>
  </si>
  <si>
    <t>Panneaux de bois</t>
  </si>
  <si>
    <t>Papier</t>
  </si>
  <si>
    <t xml:space="preserve">REE substitution (en tCO2) = </t>
  </si>
  <si>
    <t>REE substitution</t>
  </si>
  <si>
    <t>n (années à partir du début du projet) (égal au max entre R et R')</t>
  </si>
  <si>
    <r>
      <t xml:space="preserve">CS (en tCO2/m3) </t>
    </r>
    <r>
      <rPr>
        <sz val="9"/>
        <color theme="1"/>
        <rFont val="Calibri"/>
        <family val="2"/>
        <scheme val="minor"/>
      </rPr>
      <t>(Valade et al., 2017)</t>
    </r>
  </si>
  <si>
    <t>BO</t>
  </si>
  <si>
    <t>BE</t>
  </si>
  <si>
    <t>BI (papier)</t>
  </si>
  <si>
    <t>BI (panneaux)</t>
  </si>
  <si>
    <t>CS  (pour quatre situations de reboisements durant les 30 premières années) (en tCO2/m3)</t>
  </si>
  <si>
    <t>Tous les feuillus</t>
  </si>
  <si>
    <t>Peuplier</t>
  </si>
  <si>
    <t>Pin maritime en gestion dynamique</t>
  </si>
  <si>
    <t>Résineux</t>
  </si>
  <si>
    <t xml:space="preserve">Type de reboisement </t>
  </si>
  <si>
    <t>Type de reboisement</t>
  </si>
  <si>
    <t>Pin maritime en gestion dynamique (3 éclaircies durant les 30 1ères années)</t>
  </si>
  <si>
    <t>Type de friches</t>
  </si>
  <si>
    <t>Résineux pionniers (PM, PA, PS…)</t>
  </si>
  <si>
    <t>Boisement</t>
  </si>
  <si>
    <t>RE (Réductions d'émissions) (en tCO2)</t>
  </si>
  <si>
    <t>REA (Réductions d'émissions anticipées)</t>
  </si>
  <si>
    <t>REA forêt (compartiments forestiers)</t>
  </si>
  <si>
    <t>REA produits (produits bois)</t>
  </si>
  <si>
    <t>REE substitution (Réductions d'émissions de l'empreinte)</t>
  </si>
  <si>
    <t>RE totales</t>
  </si>
  <si>
    <t>REA forêt générables (avec rabais)</t>
  </si>
  <si>
    <t>REA produits générables (avec rabais)</t>
  </si>
  <si>
    <t>REE substitution générables (avec rabais)</t>
  </si>
  <si>
    <t>RE totales générables (avec rabais)</t>
  </si>
  <si>
    <t xml:space="preserve">Rabais </t>
  </si>
  <si>
    <t>Applicabilité</t>
  </si>
  <si>
    <t xml:space="preserve">Analyse économique de l’additionnalité </t>
  </si>
  <si>
    <t>Estimation des coûts et recettes dans le calcul de VAN</t>
  </si>
  <si>
    <t xml:space="preserve">Risques généraux difficilement maîtrisables </t>
  </si>
  <si>
    <t>Obligatoire</t>
  </si>
  <si>
    <t xml:space="preserve">Risque incendie </t>
  </si>
  <si>
    <t>Non justification de la classe de production</t>
  </si>
  <si>
    <t xml:space="preserve">Valeur </t>
  </si>
  <si>
    <t>Réalisée</t>
  </si>
  <si>
    <t>Départements avec risque très faible ou faible</t>
  </si>
  <si>
    <t>Départements avec risque moyen</t>
  </si>
  <si>
    <t>Départements avec risque fort ou très fort</t>
  </si>
  <si>
    <t>Non démontrée</t>
  </si>
  <si>
    <t>Démontrée</t>
  </si>
  <si>
    <t>Effectuée par un professionnel forestier</t>
  </si>
  <si>
    <t>Départements sans risque ou risque négligeable</t>
  </si>
  <si>
    <t>Effectuée par le propriétaire</t>
  </si>
  <si>
    <t>deltaS(30) (différence de stock de C à l’année 30 entre le projet et le scénario de référence) (en tCO2 à 30 ans)</t>
  </si>
  <si>
    <t>Situation de référence</t>
  </si>
  <si>
    <t>Embroussaillement</t>
  </si>
  <si>
    <t>Culture agricole</t>
  </si>
  <si>
    <t>Nature de prairie ou pâture</t>
  </si>
  <si>
    <r>
      <t xml:space="preserve">Quantification carbone pour le scénario de référence de la poursuite de la culture agricole </t>
    </r>
    <r>
      <rPr>
        <sz val="10"/>
        <color theme="1"/>
        <rFont val="Calibri"/>
        <family val="2"/>
        <scheme val="minor"/>
      </rPr>
      <t>(Giec; 2006) (en tC/ha)</t>
    </r>
  </si>
  <si>
    <t>Biomasse aérienne pour le scénario de référence de la poursuite d’une nature de prairie ou de pâture (en tC/ha)</t>
  </si>
  <si>
    <t>Carbone organique du sol sur une friche en phase d’embroussaillement, sur une prairie ou sur une pâture (n) (en tC/ha)</t>
  </si>
  <si>
    <t>di (infradensité de l'essence) (en tMS/m3)</t>
  </si>
  <si>
    <t>Essence Balivable</t>
  </si>
  <si>
    <t>Charme, chênes, hêtre, autres feuillus</t>
  </si>
  <si>
    <t>Robinier</t>
  </si>
  <si>
    <t>Risque incendie</t>
  </si>
  <si>
    <t>Départements avec risque négligeable, très faible, faible ou moyen</t>
  </si>
  <si>
    <t>REA forêt (compartiments forestiers) (en tCO2) =</t>
  </si>
  <si>
    <t>Incendié</t>
  </si>
  <si>
    <t>Nettoyage et préparation du sol total</t>
  </si>
  <si>
    <t>Incendié et nettoyage et préparation du sol total</t>
  </si>
  <si>
    <t>Nettoyage partiel</t>
  </si>
  <si>
    <t>CS (coefficient de substitution) (en tCO2/m3) scénario projet (après récolte à l'année 0)</t>
  </si>
  <si>
    <t>Essences</t>
  </si>
  <si>
    <t>Vérification terrain à n+5</t>
  </si>
  <si>
    <t>Régions</t>
  </si>
  <si>
    <t>Type de projets</t>
  </si>
  <si>
    <t>Essence objectif (hors feuillus précieux, peupliers et noyers)</t>
  </si>
  <si>
    <t>Feuillus précieux</t>
  </si>
  <si>
    <t>Autres</t>
  </si>
  <si>
    <t>Prévention des risques naturels</t>
  </si>
  <si>
    <t>Difficulté technique (ex: plantation sur pente &gt; 30%)</t>
  </si>
  <si>
    <t>Restauration écologique</t>
  </si>
  <si>
    <t>Conservation des ressources génétiques forestières</t>
  </si>
  <si>
    <t>Expérimentation sylvicole avec un suivi par un organisme de R&amp;D</t>
  </si>
  <si>
    <t>Peupliers ou noyers</t>
  </si>
  <si>
    <t>Méditerranée ou Corse</t>
  </si>
  <si>
    <t>Autre</t>
  </si>
  <si>
    <t>Pas réalisée</t>
  </si>
  <si>
    <t>L0 (carbone de la litière avant le projet de boisement) (en tC/ha)</t>
  </si>
  <si>
    <t>REA forêt (compartiments forestiers) (en tCO2/ha) =</t>
  </si>
  <si>
    <t xml:space="preserve">moyenne du carbone stocké dans le projet pendant sa durée de vie (en tCO2/an) </t>
  </si>
  <si>
    <t xml:space="preserve">moyenne du carbone stocké dans le scénario de référence pendant sa durée de vie (en tCO2/an) </t>
  </si>
  <si>
    <t xml:space="preserve">différence de la moyenne du carbone stocké dans le projet par rapport au scénario de référence pendant sa durée de vie (en tCO2/an) </t>
  </si>
  <si>
    <t xml:space="preserve">REE substitution (en tCO2/ha) = </t>
  </si>
  <si>
    <t>Litière (n) (en tC/ha)</t>
  </si>
  <si>
    <t>CS*Flux projet (n) (en TCO2/ha)</t>
  </si>
  <si>
    <t>Flux projet (n) (en m3/ha)</t>
  </si>
  <si>
    <t>Carbone organique du sol sur une culture (n) (en tC/ha)</t>
  </si>
  <si>
    <t>Moyenne</t>
  </si>
  <si>
    <t>Projet situé dans les GRECO de l'IGN "Méditerranée" et "Corse"</t>
  </si>
  <si>
    <t>GRECO IGN</t>
  </si>
  <si>
    <t>OUI</t>
  </si>
  <si>
    <t>NON</t>
  </si>
  <si>
    <t>Analyse économique de l’additionnalité</t>
  </si>
  <si>
    <t>Risques généraux difficilement maîtrisables</t>
  </si>
  <si>
    <t>Volume bois fort tige chêne sessile 1.0584 ha (n) (en m3/ha)</t>
  </si>
  <si>
    <t>Volume bois fort tige chêne pédonculé 0.6048 (n) (en m3/ha)</t>
  </si>
  <si>
    <t>Volume bois fort tige chêne pubescent 0.2592 (n) (en m3/ha)</t>
  </si>
  <si>
    <t>Biomasse Aérienne (n) (en tMS)</t>
  </si>
  <si>
    <t>Biomasse Racinaire (n) (en tMS)</t>
  </si>
  <si>
    <t>S projet (n) (en tCO2)</t>
  </si>
  <si>
    <t>S réf (n) (en tCO2)</t>
  </si>
  <si>
    <t>Sprojet (n) - Sréf (n) (en tCO2)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</si>
</sst>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9"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2"/>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sz val="10"/>
      <color theme="1"/>
      <name val="Calibri"/>
      <family val="2"/>
      <scheme val="minor"/>
    </font>
  </fonts>
  <fills count="16">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FFAEB"/>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1">
    <xf numFmtId="0" fontId="0" fillId="0" borderId="0"/>
  </cellStyleXfs>
  <cellXfs count="158">
    <xf numFmtId="0" fontId="0" fillId="0" borderId="0" xfId="0"/>
    <xf numFmtId="0" fontId="0" fillId="0" borderId="0" xfId="0" applyAlignment="1">
      <alignment vertical="center" wrapText="1"/>
    </xf>
    <xf numFmtId="0" fontId="0" fillId="0" borderId="3" xfId="0" applyBorder="1"/>
    <xf numFmtId="0" fontId="0" fillId="3" borderId="4" xfId="0" applyFill="1" applyBorder="1" applyAlignment="1">
      <alignment vertical="center" wrapText="1"/>
    </xf>
    <xf numFmtId="0" fontId="0" fillId="3" borderId="6" xfId="0" applyFill="1" applyBorder="1" applyAlignment="1">
      <alignment vertical="center" wrapText="1"/>
    </xf>
    <xf numFmtId="0" fontId="0" fillId="3" borderId="8" xfId="0" applyFill="1" applyBorder="1" applyAlignment="1">
      <alignment vertical="center" wrapText="1"/>
    </xf>
    <xf numFmtId="0" fontId="0" fillId="5" borderId="0" xfId="0" applyFill="1"/>
    <xf numFmtId="0" fontId="1" fillId="0" borderId="0" xfId="0" applyFont="1" applyFill="1" applyBorder="1" applyAlignment="1">
      <alignment vertical="center" wrapText="1"/>
    </xf>
    <xf numFmtId="0" fontId="0" fillId="0" borderId="0" xfId="0" applyFill="1" applyBorder="1"/>
    <xf numFmtId="0" fontId="0" fillId="0" borderId="0" xfId="0" applyFill="1" applyBorder="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3" borderId="14" xfId="0" applyFill="1" applyBorder="1" applyAlignment="1">
      <alignment vertical="center" wrapText="1"/>
    </xf>
    <xf numFmtId="0" fontId="0" fillId="6" borderId="3" xfId="0" applyFill="1" applyBorder="1" applyAlignment="1">
      <alignment horizontal="center" vertical="center"/>
    </xf>
    <xf numFmtId="0" fontId="0" fillId="6" borderId="10" xfId="0" applyFill="1" applyBorder="1" applyAlignment="1">
      <alignment horizontal="center" vertical="center"/>
    </xf>
    <xf numFmtId="0" fontId="0" fillId="6" borderId="20" xfId="0" applyFill="1" applyBorder="1" applyAlignment="1">
      <alignment horizontal="center" vertical="center"/>
    </xf>
    <xf numFmtId="0" fontId="0" fillId="0" borderId="0" xfId="0" applyFill="1" applyBorder="1" applyAlignment="1">
      <alignment horizontal="center" vertical="center"/>
    </xf>
    <xf numFmtId="0" fontId="0" fillId="0" borderId="0" xfId="0" applyFill="1"/>
    <xf numFmtId="0" fontId="0" fillId="0" borderId="3" xfId="0" applyFill="1" applyBorder="1" applyAlignment="1">
      <alignment horizontal="center" vertical="center"/>
    </xf>
    <xf numFmtId="0" fontId="0" fillId="2" borderId="6" xfId="0" applyFill="1" applyBorder="1" applyAlignment="1">
      <alignment vertical="center" wrapText="1"/>
    </xf>
    <xf numFmtId="0" fontId="4" fillId="0" borderId="0" xfId="0" applyFont="1" applyFill="1" applyBorder="1" applyAlignment="1">
      <alignment vertical="center" wrapText="1"/>
    </xf>
    <xf numFmtId="0" fontId="4" fillId="4" borderId="21" xfId="0" applyFont="1" applyFill="1" applyBorder="1" applyAlignment="1">
      <alignment vertical="center" wrapText="1"/>
    </xf>
    <xf numFmtId="0" fontId="0" fillId="3" borderId="6" xfId="0" applyFill="1" applyBorder="1" applyAlignment="1">
      <alignment horizontal="center" vertical="center" wrapText="1"/>
    </xf>
    <xf numFmtId="0" fontId="0" fillId="6" borderId="11" xfId="0" applyFill="1" applyBorder="1" applyAlignment="1">
      <alignment horizontal="center" vertical="center"/>
    </xf>
    <xf numFmtId="0" fontId="0" fillId="6" borderId="7" xfId="0" applyFill="1" applyBorder="1" applyAlignment="1">
      <alignment horizontal="center" vertical="center"/>
    </xf>
    <xf numFmtId="0" fontId="0" fillId="6" borderId="26" xfId="0" applyFill="1" applyBorder="1" applyAlignment="1">
      <alignment horizontal="center" vertical="center"/>
    </xf>
    <xf numFmtId="0" fontId="0" fillId="8" borderId="24" xfId="0" applyFill="1" applyBorder="1" applyAlignment="1">
      <alignment horizontal="center" vertical="center"/>
    </xf>
    <xf numFmtId="0" fontId="4" fillId="4" borderId="4" xfId="0" applyFont="1" applyFill="1" applyBorder="1" applyAlignment="1">
      <alignment horizontal="center" vertical="center" wrapText="1"/>
    </xf>
    <xf numFmtId="0" fontId="5" fillId="4" borderId="21" xfId="0" applyFont="1" applyFill="1" applyBorder="1" applyAlignment="1">
      <alignment vertical="center" wrapText="1"/>
    </xf>
    <xf numFmtId="0" fontId="0" fillId="6" borderId="5" xfId="0" applyFill="1" applyBorder="1" applyAlignment="1">
      <alignment horizontal="center" vertical="center"/>
    </xf>
    <xf numFmtId="0" fontId="0" fillId="6" borderId="3" xfId="0" applyFill="1" applyBorder="1" applyAlignment="1">
      <alignment horizontal="center" vertical="center" wrapText="1"/>
    </xf>
    <xf numFmtId="0" fontId="0" fillId="0" borderId="7" xfId="0" applyBorder="1" applyAlignment="1">
      <alignment horizontal="center" vertical="center" wrapText="1"/>
    </xf>
    <xf numFmtId="2" fontId="0" fillId="6" borderId="22" xfId="0" applyNumberFormat="1" applyFill="1" applyBorder="1" applyAlignment="1">
      <alignment horizontal="center" vertical="center"/>
    </xf>
    <xf numFmtId="2" fontId="0" fillId="6" borderId="9" xfId="0" applyNumberFormat="1" applyFill="1" applyBorder="1" applyAlignment="1">
      <alignment horizontal="center" vertical="center"/>
    </xf>
    <xf numFmtId="164" fontId="0" fillId="0" borderId="0" xfId="0" applyNumberFormat="1" applyFill="1" applyBorder="1" applyAlignment="1">
      <alignment horizontal="center" vertical="center"/>
    </xf>
    <xf numFmtId="0" fontId="0" fillId="6" borderId="9" xfId="0" applyFill="1" applyBorder="1" applyAlignment="1">
      <alignment horizontal="center" vertical="center"/>
    </xf>
    <xf numFmtId="0" fontId="4" fillId="0" borderId="30" xfId="0" applyFont="1" applyBorder="1" applyAlignment="1">
      <alignment horizontal="center" vertical="center" wrapText="1"/>
    </xf>
    <xf numFmtId="0" fontId="4" fillId="4" borderId="6"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0" xfId="0" applyAlignment="1">
      <alignment wrapText="1"/>
    </xf>
    <xf numFmtId="0" fontId="4" fillId="2" borderId="21" xfId="0" applyFont="1" applyFill="1" applyBorder="1" applyAlignment="1">
      <alignment horizontal="center" vertical="center" wrapText="1"/>
    </xf>
    <xf numFmtId="0" fontId="0" fillId="3" borderId="3" xfId="0" applyFill="1" applyBorder="1" applyAlignment="1">
      <alignment horizontal="center" vertical="center" wrapText="1"/>
    </xf>
    <xf numFmtId="0" fontId="1" fillId="3" borderId="3" xfId="0"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3"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0" borderId="0" xfId="0" applyFill="1" applyBorder="1" applyAlignment="1"/>
    <xf numFmtId="0" fontId="0" fillId="0" borderId="0" xfId="0" applyFill="1" applyBorder="1" applyAlignment="1">
      <alignment vertical="center"/>
    </xf>
    <xf numFmtId="0" fontId="0" fillId="0" borderId="27" xfId="0" applyFill="1" applyBorder="1"/>
    <xf numFmtId="0" fontId="1" fillId="0" borderId="1" xfId="0" applyFont="1" applyFill="1" applyBorder="1" applyAlignment="1">
      <alignment vertical="center" wrapText="1"/>
    </xf>
    <xf numFmtId="0" fontId="0" fillId="0" borderId="27" xfId="0" applyFill="1" applyBorder="1" applyAlignment="1">
      <alignment horizontal="center" vertical="center"/>
    </xf>
    <xf numFmtId="0" fontId="0" fillId="6" borderId="25" xfId="0" applyFill="1" applyBorder="1" applyAlignment="1">
      <alignment horizontal="center" vertical="center"/>
    </xf>
    <xf numFmtId="0" fontId="0" fillId="0" borderId="11" xfId="0" applyFill="1" applyBorder="1" applyAlignment="1">
      <alignment horizontal="center" vertical="center"/>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0" fillId="6" borderId="3" xfId="0" applyFont="1" applyFill="1" applyBorder="1" applyAlignment="1">
      <alignment horizontal="center" vertical="center" wrapText="1"/>
    </xf>
    <xf numFmtId="0" fontId="0" fillId="3" borderId="14" xfId="0" applyFont="1" applyFill="1" applyBorder="1" applyAlignment="1">
      <alignment horizontal="left" vertical="center" wrapText="1"/>
    </xf>
    <xf numFmtId="0" fontId="0" fillId="6" borderId="7" xfId="0" applyFont="1" applyFill="1" applyBorder="1" applyAlignment="1">
      <alignment horizontal="center" vertical="center" wrapText="1"/>
    </xf>
    <xf numFmtId="0" fontId="4" fillId="2" borderId="32" xfId="0" applyFont="1" applyFill="1" applyBorder="1" applyAlignment="1">
      <alignment horizontal="center" vertical="center"/>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1" fillId="9" borderId="30" xfId="0" applyFont="1" applyFill="1" applyBorder="1" applyAlignment="1">
      <alignment horizontal="center" vertical="center" wrapText="1"/>
    </xf>
    <xf numFmtId="0" fontId="0" fillId="3" borderId="46"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47" xfId="0" applyFill="1" applyBorder="1" applyAlignment="1">
      <alignment horizontal="center" vertical="center" wrapText="1"/>
    </xf>
    <xf numFmtId="0" fontId="1" fillId="9" borderId="48"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0" fillId="3" borderId="9"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14" xfId="0" applyFill="1" applyBorder="1" applyAlignment="1">
      <alignment horizontal="center" vertical="center" wrapText="1"/>
    </xf>
    <xf numFmtId="0" fontId="4" fillId="2" borderId="30" xfId="0" applyFont="1" applyFill="1" applyBorder="1" applyAlignment="1">
      <alignment horizontal="center" vertical="center" wrapText="1"/>
    </xf>
    <xf numFmtId="0" fontId="0" fillId="3" borderId="31"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33" xfId="0" applyFill="1" applyBorder="1" applyAlignment="1">
      <alignment horizontal="center" vertical="center" wrapText="1"/>
    </xf>
    <xf numFmtId="0" fontId="0" fillId="0" borderId="0" xfId="0" applyFill="1" applyBorder="1" applyAlignment="1">
      <alignment horizontal="center" vertical="center" wrapText="1"/>
    </xf>
    <xf numFmtId="0" fontId="0" fillId="3" borderId="40" xfId="0" applyFill="1" applyBorder="1" applyAlignment="1">
      <alignment horizontal="center" vertical="center" wrapText="1"/>
    </xf>
    <xf numFmtId="0" fontId="4" fillId="2" borderId="24"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165" fontId="0" fillId="6" borderId="3" xfId="0" applyNumberFormat="1" applyFill="1" applyBorder="1" applyAlignment="1">
      <alignment horizontal="center" vertical="center"/>
    </xf>
    <xf numFmtId="1" fontId="0" fillId="6" borderId="5" xfId="0" applyNumberFormat="1" applyFill="1" applyBorder="1" applyAlignment="1">
      <alignment horizontal="center" vertical="center"/>
    </xf>
    <xf numFmtId="0" fontId="0" fillId="3" borderId="28" xfId="0" applyFill="1" applyBorder="1" applyAlignment="1">
      <alignment vertical="center" wrapText="1"/>
    </xf>
    <xf numFmtId="0" fontId="0" fillId="0" borderId="0" xfId="0" applyBorder="1"/>
    <xf numFmtId="0" fontId="0" fillId="11" borderId="6" xfId="0" applyFill="1" applyBorder="1" applyAlignment="1">
      <alignment vertical="center" wrapText="1"/>
    </xf>
    <xf numFmtId="0" fontId="0" fillId="6" borderId="22" xfId="0" applyFill="1" applyBorder="1" applyAlignment="1">
      <alignment horizontal="center"/>
    </xf>
    <xf numFmtId="1" fontId="0" fillId="12" borderId="9" xfId="0" applyNumberFormat="1" applyFill="1" applyBorder="1" applyAlignment="1">
      <alignment horizontal="center" vertical="center"/>
    </xf>
    <xf numFmtId="0" fontId="4" fillId="13" borderId="6"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0" fillId="0" borderId="0" xfId="0" applyFill="1" applyAlignment="1">
      <alignment wrapText="1"/>
    </xf>
    <xf numFmtId="0" fontId="0" fillId="3" borderId="8" xfId="0" applyFill="1" applyBorder="1" applyAlignment="1">
      <alignment horizontal="center" vertical="center" wrapText="1"/>
    </xf>
    <xf numFmtId="0" fontId="1" fillId="9" borderId="53" xfId="0" applyFont="1"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vertical="center" wrapText="1"/>
    </xf>
    <xf numFmtId="0" fontId="0" fillId="14" borderId="51" xfId="0" applyFill="1" applyBorder="1" applyAlignment="1">
      <alignment horizontal="center" vertical="center" wrapText="1"/>
    </xf>
    <xf numFmtId="0" fontId="0" fillId="3" borderId="54" xfId="0" applyFill="1" applyBorder="1" applyAlignment="1">
      <alignment vertical="center" wrapText="1"/>
    </xf>
    <xf numFmtId="0" fontId="0" fillId="3" borderId="19" xfId="0" applyFill="1" applyBorder="1" applyAlignment="1">
      <alignment horizontal="center" vertical="center" wrapText="1"/>
    </xf>
    <xf numFmtId="0" fontId="4" fillId="0" borderId="41" xfId="0" applyFont="1" applyBorder="1" applyAlignment="1">
      <alignment horizontal="center" vertical="center" wrapText="1"/>
    </xf>
    <xf numFmtId="0" fontId="4" fillId="0" borderId="2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55" xfId="0" applyBorder="1" applyAlignment="1">
      <alignment horizontal="center" vertical="center" wrapText="1"/>
    </xf>
    <xf numFmtId="0" fontId="0" fillId="6" borderId="32" xfId="0" applyFill="1" applyBorder="1" applyAlignment="1">
      <alignment horizontal="center" vertical="center"/>
    </xf>
    <xf numFmtId="0" fontId="0" fillId="0" borderId="32" xfId="0" applyFill="1" applyBorder="1" applyAlignment="1">
      <alignment horizontal="center" vertical="center"/>
    </xf>
    <xf numFmtId="0" fontId="0" fillId="0" borderId="32" xfId="0" applyFill="1" applyBorder="1" applyAlignment="1">
      <alignment horizontal="center" vertical="center" wrapText="1"/>
    </xf>
    <xf numFmtId="0" fontId="4" fillId="5" borderId="12" xfId="0" applyFont="1" applyFill="1" applyBorder="1" applyAlignment="1">
      <alignment vertical="center" wrapText="1"/>
    </xf>
    <xf numFmtId="0" fontId="4" fillId="5" borderId="13" xfId="0" applyFont="1" applyFill="1" applyBorder="1" applyAlignment="1">
      <alignment vertical="center" wrapText="1"/>
    </xf>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1" fillId="5" borderId="14" xfId="0" applyFont="1" applyFill="1" applyBorder="1" applyAlignment="1">
      <alignment vertical="center" wrapText="1"/>
    </xf>
    <xf numFmtId="0" fontId="1" fillId="5" borderId="15" xfId="0" applyFont="1" applyFill="1" applyBorder="1" applyAlignment="1">
      <alignment vertical="center" wrapText="1"/>
    </xf>
    <xf numFmtId="165" fontId="0" fillId="6" borderId="10" xfId="0" applyNumberFormat="1" applyFill="1" applyBorder="1" applyAlignment="1">
      <alignment horizontal="center" vertical="center"/>
    </xf>
    <xf numFmtId="0" fontId="0" fillId="0" borderId="27" xfId="0" applyBorder="1"/>
    <xf numFmtId="1" fontId="0" fillId="6" borderId="7" xfId="0" applyNumberFormat="1" applyFill="1" applyBorder="1" applyAlignment="1">
      <alignment horizontal="center" vertical="center"/>
    </xf>
    <xf numFmtId="164" fontId="0" fillId="0" borderId="11" xfId="0" applyNumberFormat="1" applyFill="1" applyBorder="1" applyAlignment="1">
      <alignment horizontal="center" vertical="center"/>
    </xf>
    <xf numFmtId="164" fontId="0" fillId="0" borderId="9" xfId="0" applyNumberFormat="1" applyFill="1" applyBorder="1" applyAlignment="1">
      <alignment horizontal="center" vertical="center"/>
    </xf>
    <xf numFmtId="165" fontId="6" fillId="8" borderId="24" xfId="0" applyNumberFormat="1" applyFont="1" applyFill="1" applyBorder="1" applyAlignment="1">
      <alignment horizontal="center" vertical="center"/>
    </xf>
    <xf numFmtId="0" fontId="0" fillId="15" borderId="10" xfId="0" applyFill="1" applyBorder="1" applyAlignment="1">
      <alignment horizontal="center" vertical="center"/>
    </xf>
    <xf numFmtId="165" fontId="0" fillId="6" borderId="11" xfId="0" applyNumberFormat="1" applyFill="1" applyBorder="1" applyAlignment="1">
      <alignment horizontal="center" vertical="center"/>
    </xf>
    <xf numFmtId="165" fontId="0" fillId="6" borderId="34" xfId="0" applyNumberFormat="1" applyFill="1" applyBorder="1" applyAlignment="1">
      <alignment horizontal="center" vertical="center"/>
    </xf>
    <xf numFmtId="165" fontId="0" fillId="10" borderId="49" xfId="0" applyNumberFormat="1" applyFill="1" applyBorder="1" applyAlignment="1">
      <alignment horizontal="center" vertical="center"/>
    </xf>
    <xf numFmtId="165" fontId="0" fillId="10" borderId="34" xfId="0" applyNumberFormat="1" applyFill="1" applyBorder="1" applyAlignment="1">
      <alignment horizontal="center" vertical="center"/>
    </xf>
    <xf numFmtId="165" fontId="4" fillId="8" borderId="49" xfId="0" applyNumberFormat="1" applyFont="1" applyFill="1" applyBorder="1" applyAlignment="1">
      <alignment horizontal="center" vertical="center" wrapText="1"/>
    </xf>
    <xf numFmtId="165" fontId="4" fillId="8" borderId="10" xfId="0" applyNumberFormat="1" applyFont="1" applyFill="1" applyBorder="1" applyAlignment="1">
      <alignment horizontal="center" vertical="center" wrapText="1"/>
    </xf>
    <xf numFmtId="165" fontId="4" fillId="8" borderId="34" xfId="0" applyNumberFormat="1" applyFont="1" applyFill="1" applyBorder="1" applyAlignment="1">
      <alignment horizontal="center" vertical="center" wrapText="1"/>
    </xf>
    <xf numFmtId="0" fontId="0" fillId="3" borderId="8"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52" xfId="0"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0" fillId="3" borderId="19" xfId="0" applyFill="1" applyBorder="1" applyAlignment="1">
      <alignment horizontal="center" vertical="center" wrapText="1"/>
    </xf>
    <xf numFmtId="0" fontId="0" fillId="3" borderId="23" xfId="0" applyFill="1" applyBorder="1" applyAlignment="1">
      <alignment horizontal="center" vertical="center"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2" borderId="50"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0" fillId="3" borderId="28" xfId="0" applyFill="1" applyBorder="1" applyAlignment="1">
      <alignment horizontal="center" vertical="center" wrapText="1"/>
    </xf>
    <xf numFmtId="0" fontId="1" fillId="9" borderId="50" xfId="0" applyFont="1" applyFill="1" applyBorder="1" applyAlignment="1">
      <alignment horizontal="center" vertical="center" wrapText="1"/>
    </xf>
    <xf numFmtId="0" fontId="1" fillId="9" borderId="41"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6" borderId="9"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5FFD5"/>
      <color rgb="FF99FF99"/>
      <color rgb="FF66FF33"/>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U48"/>
  <sheetViews>
    <sheetView zoomScale="69" workbookViewId="0">
      <selection activeCell="B46" sqref="B46"/>
    </sheetView>
  </sheetViews>
  <sheetFormatPr baseColWidth="10" defaultRowHeight="14.5" x14ac:dyDescent="0.35"/>
  <cols>
    <col min="1" max="1" width="33.6328125" style="1" customWidth="1"/>
    <col min="2" max="2" width="19.90625" customWidth="1"/>
    <col min="3" max="3" width="12.453125" bestFit="1" customWidth="1"/>
    <col min="4" max="4" width="15.7265625" customWidth="1"/>
    <col min="5" max="9" width="12.453125" bestFit="1" customWidth="1"/>
    <col min="10" max="47" width="13.36328125" bestFit="1" customWidth="1"/>
    <col min="48" max="51" width="13.453125" bestFit="1" customWidth="1"/>
    <col min="52" max="52" width="13.36328125" bestFit="1" customWidth="1"/>
    <col min="53" max="110" width="13.453125" bestFit="1" customWidth="1"/>
    <col min="111" max="112" width="14.36328125" bestFit="1" customWidth="1"/>
  </cols>
  <sheetData>
    <row r="1" spans="1:4" x14ac:dyDescent="0.35">
      <c r="D1" s="96"/>
    </row>
    <row r="4" spans="1:4" ht="15" thickBot="1" x14ac:dyDescent="0.4">
      <c r="B4" s="10"/>
    </row>
    <row r="5" spans="1:4" ht="37.5" thickBot="1" x14ac:dyDescent="0.4">
      <c r="A5" s="28" t="s">
        <v>151</v>
      </c>
      <c r="B5" s="122">
        <f>MIN(B45,B48)</f>
        <v>317.37160796943954</v>
      </c>
    </row>
    <row r="6" spans="1:4" ht="37.5" thickBot="1" x14ac:dyDescent="0.4">
      <c r="A6" s="28" t="s">
        <v>174</v>
      </c>
      <c r="B6" s="122">
        <f>B5/B10</f>
        <v>146.93129998585164</v>
      </c>
    </row>
    <row r="8" spans="1:4" ht="15" thickBot="1" x14ac:dyDescent="0.4"/>
    <row r="9" spans="1:4" ht="15" thickBot="1" x14ac:dyDescent="0.4">
      <c r="A9" s="134" t="s">
        <v>10</v>
      </c>
      <c r="B9" s="135"/>
    </row>
    <row r="10" spans="1:4" x14ac:dyDescent="0.35">
      <c r="A10" s="3" t="s">
        <v>5</v>
      </c>
      <c r="B10" s="85">
        <v>2.16</v>
      </c>
    </row>
    <row r="11" spans="1:4" x14ac:dyDescent="0.35">
      <c r="A11" s="4" t="s">
        <v>11</v>
      </c>
      <c r="B11" s="86">
        <v>110</v>
      </c>
    </row>
    <row r="12" spans="1:4" x14ac:dyDescent="0.35">
      <c r="A12" s="4" t="s">
        <v>15</v>
      </c>
      <c r="B12" s="86" t="s">
        <v>16</v>
      </c>
    </row>
    <row r="13" spans="1:4" x14ac:dyDescent="0.35">
      <c r="A13" s="4" t="s">
        <v>12</v>
      </c>
      <c r="B13" s="86">
        <v>110</v>
      </c>
    </row>
    <row r="14" spans="1:4" x14ac:dyDescent="0.35">
      <c r="A14" s="4" t="s">
        <v>13</v>
      </c>
      <c r="B14" s="24">
        <v>30</v>
      </c>
    </row>
    <row r="15" spans="1:4" x14ac:dyDescent="0.35">
      <c r="A15" s="102" t="s">
        <v>138</v>
      </c>
      <c r="B15" s="107" t="s">
        <v>140</v>
      </c>
    </row>
    <row r="16" spans="1:4" ht="29.5" thickBot="1" x14ac:dyDescent="0.4">
      <c r="A16" s="100" t="s">
        <v>184</v>
      </c>
      <c r="B16" s="101" t="s">
        <v>187</v>
      </c>
    </row>
    <row r="17" spans="1:177" ht="15" thickBot="1" x14ac:dyDescent="0.4"/>
    <row r="18" spans="1:177" s="6" customFormat="1" ht="15.5" x14ac:dyDescent="0.35">
      <c r="A18" s="111" t="s">
        <v>0</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50"/>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row>
    <row r="19" spans="1:177" ht="29" x14ac:dyDescent="0.35">
      <c r="A19" s="4" t="s">
        <v>92</v>
      </c>
      <c r="B19" s="13">
        <v>0</v>
      </c>
      <c r="C19" s="13">
        <v>1</v>
      </c>
      <c r="D19" s="13">
        <v>2</v>
      </c>
      <c r="E19" s="13">
        <v>3</v>
      </c>
      <c r="F19" s="13">
        <v>4</v>
      </c>
      <c r="G19" s="13">
        <v>5</v>
      </c>
      <c r="H19" s="13">
        <v>6</v>
      </c>
      <c r="I19" s="13">
        <v>7</v>
      </c>
      <c r="J19" s="13">
        <v>8</v>
      </c>
      <c r="K19" s="13">
        <v>9</v>
      </c>
      <c r="L19" s="13">
        <v>10</v>
      </c>
      <c r="M19" s="13">
        <v>11</v>
      </c>
      <c r="N19" s="13">
        <v>12</v>
      </c>
      <c r="O19" s="13">
        <v>13</v>
      </c>
      <c r="P19" s="13">
        <v>14</v>
      </c>
      <c r="Q19" s="13">
        <v>15</v>
      </c>
      <c r="R19" s="13">
        <v>16</v>
      </c>
      <c r="S19" s="13">
        <v>17</v>
      </c>
      <c r="T19" s="13">
        <v>18</v>
      </c>
      <c r="U19" s="13">
        <v>19</v>
      </c>
      <c r="V19" s="13">
        <v>20</v>
      </c>
      <c r="W19" s="13">
        <v>21</v>
      </c>
      <c r="X19" s="13">
        <v>22</v>
      </c>
      <c r="Y19" s="13">
        <v>23</v>
      </c>
      <c r="Z19" s="13">
        <v>24</v>
      </c>
      <c r="AA19" s="13">
        <v>25</v>
      </c>
      <c r="AB19" s="13">
        <v>26</v>
      </c>
      <c r="AC19" s="13">
        <v>27</v>
      </c>
      <c r="AD19" s="13">
        <v>28</v>
      </c>
      <c r="AE19" s="13">
        <v>29</v>
      </c>
      <c r="AF19" s="123">
        <v>30</v>
      </c>
      <c r="AG19" s="13">
        <v>31</v>
      </c>
      <c r="AH19" s="14">
        <v>32</v>
      </c>
      <c r="AI19" s="13">
        <v>33</v>
      </c>
      <c r="AJ19" s="14">
        <v>34</v>
      </c>
      <c r="AK19" s="13">
        <v>35</v>
      </c>
      <c r="AL19" s="14">
        <v>36</v>
      </c>
      <c r="AM19" s="13">
        <v>37</v>
      </c>
      <c r="AN19" s="14">
        <v>38</v>
      </c>
      <c r="AO19" s="13">
        <v>39</v>
      </c>
      <c r="AP19" s="14">
        <v>40</v>
      </c>
      <c r="AQ19" s="13">
        <v>41</v>
      </c>
      <c r="AR19" s="14">
        <v>42</v>
      </c>
      <c r="AS19" s="13">
        <v>43</v>
      </c>
      <c r="AT19" s="14">
        <v>44</v>
      </c>
      <c r="AU19" s="13">
        <v>45</v>
      </c>
      <c r="AV19" s="14">
        <v>46</v>
      </c>
      <c r="AW19" s="13">
        <v>47</v>
      </c>
      <c r="AX19" s="14">
        <v>48</v>
      </c>
      <c r="AY19" s="13">
        <v>49</v>
      </c>
      <c r="AZ19" s="123">
        <v>50</v>
      </c>
      <c r="BA19" s="13">
        <v>51</v>
      </c>
      <c r="BB19" s="14">
        <v>52</v>
      </c>
      <c r="BC19" s="13">
        <v>53</v>
      </c>
      <c r="BD19" s="14">
        <v>54</v>
      </c>
      <c r="BE19" s="13">
        <v>55</v>
      </c>
      <c r="BF19" s="14">
        <v>56</v>
      </c>
      <c r="BG19" s="13">
        <v>57</v>
      </c>
      <c r="BH19" s="14">
        <v>58</v>
      </c>
      <c r="BI19" s="13">
        <v>59</v>
      </c>
      <c r="BJ19" s="14">
        <v>60</v>
      </c>
      <c r="BK19" s="13">
        <v>61</v>
      </c>
      <c r="BL19" s="14">
        <v>62</v>
      </c>
      <c r="BM19" s="13">
        <v>63</v>
      </c>
      <c r="BN19" s="14">
        <v>64</v>
      </c>
      <c r="BO19" s="13">
        <v>65</v>
      </c>
      <c r="BP19" s="14">
        <v>66</v>
      </c>
      <c r="BQ19" s="13">
        <v>67</v>
      </c>
      <c r="BR19" s="14">
        <v>68</v>
      </c>
      <c r="BS19" s="13">
        <v>69</v>
      </c>
      <c r="BT19" s="123">
        <v>70</v>
      </c>
      <c r="BU19" s="13">
        <v>71</v>
      </c>
      <c r="BV19" s="14">
        <v>72</v>
      </c>
      <c r="BW19" s="13">
        <v>73</v>
      </c>
      <c r="BX19" s="14">
        <v>74</v>
      </c>
      <c r="BY19" s="13">
        <v>75</v>
      </c>
      <c r="BZ19" s="14">
        <v>76</v>
      </c>
      <c r="CA19" s="13">
        <v>77</v>
      </c>
      <c r="CB19" s="14">
        <v>78</v>
      </c>
      <c r="CC19" s="13">
        <v>79</v>
      </c>
      <c r="CD19" s="14">
        <v>80</v>
      </c>
      <c r="CE19" s="13">
        <v>81</v>
      </c>
      <c r="CF19" s="14">
        <v>82</v>
      </c>
      <c r="CG19" s="13">
        <v>83</v>
      </c>
      <c r="CH19" s="14">
        <v>84</v>
      </c>
      <c r="CI19" s="13">
        <v>85</v>
      </c>
      <c r="CJ19" s="14">
        <v>86</v>
      </c>
      <c r="CK19" s="13">
        <v>87</v>
      </c>
      <c r="CL19" s="14">
        <v>88</v>
      </c>
      <c r="CM19" s="13">
        <v>89</v>
      </c>
      <c r="CN19" s="123">
        <v>90</v>
      </c>
      <c r="CO19" s="13">
        <v>91</v>
      </c>
      <c r="CP19" s="14">
        <v>92</v>
      </c>
      <c r="CQ19" s="13">
        <v>93</v>
      </c>
      <c r="CR19" s="14">
        <v>94</v>
      </c>
      <c r="CS19" s="13">
        <v>95</v>
      </c>
      <c r="CT19" s="14">
        <v>96</v>
      </c>
      <c r="CU19" s="13">
        <v>97</v>
      </c>
      <c r="CV19" s="14">
        <v>98</v>
      </c>
      <c r="CW19" s="13">
        <v>99</v>
      </c>
      <c r="CX19" s="14">
        <v>100</v>
      </c>
      <c r="CY19" s="13">
        <v>101</v>
      </c>
      <c r="CZ19" s="14">
        <v>102</v>
      </c>
      <c r="DA19" s="13">
        <v>103</v>
      </c>
      <c r="DB19" s="14">
        <v>104</v>
      </c>
      <c r="DC19" s="13">
        <v>105</v>
      </c>
      <c r="DD19" s="14">
        <v>106</v>
      </c>
      <c r="DE19" s="13">
        <v>107</v>
      </c>
      <c r="DF19" s="14">
        <v>108</v>
      </c>
      <c r="DG19" s="13">
        <v>109</v>
      </c>
      <c r="DH19" s="14">
        <v>110</v>
      </c>
      <c r="DI19" s="50"/>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row>
    <row r="20" spans="1:177" s="6" customFormat="1" x14ac:dyDescent="0.35">
      <c r="A20" s="113" t="s">
        <v>2</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50"/>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row>
    <row r="21" spans="1:177" x14ac:dyDescent="0.35">
      <c r="A21" s="4" t="s">
        <v>195</v>
      </c>
      <c r="B21" s="87">
        <f>(((B22+B26)*$B$35)+((B27+B28)*$B$10))*(44/12)</f>
        <v>357.10421657422199</v>
      </c>
      <c r="C21" s="87">
        <f t="shared" ref="C21:BN21" si="0">(((C22+C26)*$B$35)+((C27+C28)*$B$10))*(44/12)</f>
        <v>373.09417103373079</v>
      </c>
      <c r="D21" s="87">
        <f t="shared" si="0"/>
        <v>388.66587686251836</v>
      </c>
      <c r="E21" s="87">
        <f t="shared" si="0"/>
        <v>404.04363639765467</v>
      </c>
      <c r="F21" s="87">
        <f t="shared" si="0"/>
        <v>419.27921035689366</v>
      </c>
      <c r="G21" s="87">
        <f t="shared" si="0"/>
        <v>434.39708092112267</v>
      </c>
      <c r="H21" s="87">
        <f t="shared" si="0"/>
        <v>449.41175855754466</v>
      </c>
      <c r="I21" s="87">
        <f t="shared" si="0"/>
        <v>464.33298104548913</v>
      </c>
      <c r="J21" s="87">
        <f t="shared" si="0"/>
        <v>479.16783131820921</v>
      </c>
      <c r="K21" s="87">
        <f t="shared" si="0"/>
        <v>493.92176294733213</v>
      </c>
      <c r="L21" s="87">
        <f t="shared" si="0"/>
        <v>508.59915683906172</v>
      </c>
      <c r="M21" s="87">
        <f t="shared" si="0"/>
        <v>523.20364930468202</v>
      </c>
      <c r="N21" s="87">
        <f t="shared" si="0"/>
        <v>537.73833780089331</v>
      </c>
      <c r="O21" s="87">
        <f t="shared" si="0"/>
        <v>552.20591641875922</v>
      </c>
      <c r="P21" s="87">
        <f t="shared" si="0"/>
        <v>566.60876870842378</v>
      </c>
      <c r="Q21" s="87">
        <f t="shared" si="0"/>
        <v>580.94903338911627</v>
      </c>
      <c r="R21" s="87">
        <f t="shared" si="0"/>
        <v>595.22865216467005</v>
      </c>
      <c r="S21" s="87">
        <f t="shared" si="0"/>
        <v>609.44940534765237</v>
      </c>
      <c r="T21" s="87">
        <f t="shared" si="0"/>
        <v>623.61293894821222</v>
      </c>
      <c r="U21" s="87">
        <f t="shared" si="0"/>
        <v>637.72078564462413</v>
      </c>
      <c r="V21" s="87">
        <f t="shared" si="0"/>
        <v>651.77438127654943</v>
      </c>
      <c r="W21" s="87">
        <f t="shared" si="0"/>
        <v>665.77507800158821</v>
      </c>
      <c r="X21" s="87">
        <f t="shared" si="0"/>
        <v>679.72415492444918</v>
      </c>
      <c r="Y21" s="87">
        <f t="shared" si="0"/>
        <v>693.62282678371412</v>
      </c>
      <c r="Z21" s="87">
        <f t="shared" si="0"/>
        <v>707.4722511260693</v>
      </c>
      <c r="AA21" s="87">
        <f t="shared" si="0"/>
        <v>721.27353428864842</v>
      </c>
      <c r="AB21" s="87">
        <f t="shared" si="0"/>
        <v>735.02773643192825</v>
      </c>
      <c r="AC21" s="87">
        <f t="shared" si="0"/>
        <v>748.73587580874903</v>
      </c>
      <c r="AD21" s="87">
        <f t="shared" si="0"/>
        <v>762.39893241313325</v>
      </c>
      <c r="AE21" s="87">
        <f t="shared" si="0"/>
        <v>776.01785112128266</v>
      </c>
      <c r="AF21" s="87">
        <f t="shared" si="0"/>
        <v>713.37160796943954</v>
      </c>
      <c r="AG21" s="87">
        <f t="shared" si="0"/>
        <v>724.33007613927862</v>
      </c>
      <c r="AH21" s="87">
        <f t="shared" si="0"/>
        <v>735.24434787702683</v>
      </c>
      <c r="AI21" s="87">
        <f t="shared" si="0"/>
        <v>746.11545902605167</v>
      </c>
      <c r="AJ21" s="87">
        <f t="shared" si="0"/>
        <v>756.9443982135781</v>
      </c>
      <c r="AK21" s="87">
        <f t="shared" si="0"/>
        <v>767.73211150400004</v>
      </c>
      <c r="AL21" s="87">
        <f t="shared" si="0"/>
        <v>778.47950635530049</v>
      </c>
      <c r="AM21" s="87">
        <f t="shared" si="0"/>
        <v>789.18745500762793</v>
      </c>
      <c r="AN21" s="87">
        <f t="shared" si="0"/>
        <v>799.85679740540377</v>
      </c>
      <c r="AO21" s="87">
        <f t="shared" si="0"/>
        <v>810.4883437333317</v>
      </c>
      <c r="AP21" s="87">
        <f t="shared" si="0"/>
        <v>821.08287663058377</v>
      </c>
      <c r="AQ21" s="87">
        <f t="shared" si="0"/>
        <v>831.64115313496904</v>
      </c>
      <c r="AR21" s="87">
        <f t="shared" si="0"/>
        <v>842.16390639915528</v>
      </c>
      <c r="AS21" s="87">
        <f t="shared" si="0"/>
        <v>859.82224266519108</v>
      </c>
      <c r="AT21" s="87">
        <f t="shared" si="0"/>
        <v>877.43425328236458</v>
      </c>
      <c r="AU21" s="87">
        <f t="shared" si="0"/>
        <v>895.00139923586903</v>
      </c>
      <c r="AV21" s="87">
        <f t="shared" si="0"/>
        <v>912.52503799736462</v>
      </c>
      <c r="AW21" s="87">
        <f t="shared" si="0"/>
        <v>930.00643681020449</v>
      </c>
      <c r="AX21" s="87">
        <f t="shared" si="0"/>
        <v>947.44678367215283</v>
      </c>
      <c r="AY21" s="87">
        <f t="shared" si="0"/>
        <v>964.03258919227414</v>
      </c>
      <c r="AZ21" s="87">
        <f t="shared" si="0"/>
        <v>912.09045923962208</v>
      </c>
      <c r="BA21" s="87">
        <f t="shared" si="0"/>
        <v>928.65771495733486</v>
      </c>
      <c r="BB21" s="87">
        <f t="shared" si="0"/>
        <v>945.18687250855157</v>
      </c>
      <c r="BC21" s="87">
        <f t="shared" si="0"/>
        <v>961.67894728959345</v>
      </c>
      <c r="BD21" s="87">
        <f t="shared" si="0"/>
        <v>978.13490022044277</v>
      </c>
      <c r="BE21" s="87">
        <f t="shared" si="0"/>
        <v>994.5556432372282</v>
      </c>
      <c r="BF21" s="87">
        <f t="shared" si="0"/>
        <v>1010.9420440026083</v>
      </c>
      <c r="BG21" s="87">
        <f t="shared" si="0"/>
        <v>1034.2006752678149</v>
      </c>
      <c r="BH21" s="87">
        <f t="shared" si="0"/>
        <v>1057.4152610185981</v>
      </c>
      <c r="BI21" s="87">
        <f t="shared" si="0"/>
        <v>1080.5872837070531</v>
      </c>
      <c r="BJ21" s="87">
        <f t="shared" si="0"/>
        <v>1103.7181188178799</v>
      </c>
      <c r="BK21" s="87">
        <f t="shared" si="0"/>
        <v>1126.809047945573</v>
      </c>
      <c r="BL21" s="87">
        <f t="shared" si="0"/>
        <v>1149.8612697437545</v>
      </c>
      <c r="BM21" s="87">
        <f t="shared" si="0"/>
        <v>1172.8759091635798</v>
      </c>
      <c r="BN21" s="87">
        <f t="shared" si="0"/>
        <v>1195.8540253039746</v>
      </c>
      <c r="BO21" s="87">
        <f t="shared" ref="BO21:DG21" si="1">(((BO22+BO26)*$B$35)+((BO27+BO28)*$B$10))*(44/12)</f>
        <v>1215.1520219682313</v>
      </c>
      <c r="BP21" s="87">
        <f t="shared" si="1"/>
        <v>1234.4200093932475</v>
      </c>
      <c r="BQ21" s="87">
        <f t="shared" si="1"/>
        <v>1253.6586548237551</v>
      </c>
      <c r="BR21" s="87">
        <f t="shared" si="1"/>
        <v>1272.86860064999</v>
      </c>
      <c r="BS21" s="87">
        <f t="shared" si="1"/>
        <v>1292.0504660782517</v>
      </c>
      <c r="BT21" s="87">
        <f t="shared" si="1"/>
        <v>1134.9728925622765</v>
      </c>
      <c r="BU21" s="87">
        <f t="shared" si="1"/>
        <v>1154.2014919273859</v>
      </c>
      <c r="BV21" s="87">
        <f t="shared" si="1"/>
        <v>1173.4006029088878</v>
      </c>
      <c r="BW21" s="87">
        <f t="shared" si="1"/>
        <v>1189.9777906582924</v>
      </c>
      <c r="BX21" s="87">
        <f t="shared" si="1"/>
        <v>1206.5298199520455</v>
      </c>
      <c r="BY21" s="87">
        <f t="shared" si="1"/>
        <v>1223.0572180896113</v>
      </c>
      <c r="BZ21" s="87">
        <f t="shared" si="1"/>
        <v>1239.5604950125755</v>
      </c>
      <c r="CA21" s="87">
        <f t="shared" si="1"/>
        <v>1256.0401443173114</v>
      </c>
      <c r="CB21" s="87">
        <f t="shared" si="1"/>
        <v>1272.4966441762997</v>
      </c>
      <c r="CC21" s="87">
        <f t="shared" si="1"/>
        <v>1288.9304581787178</v>
      </c>
      <c r="CD21" s="87">
        <f t="shared" si="1"/>
        <v>1305.3420360994608</v>
      </c>
      <c r="CE21" s="87">
        <f t="shared" si="1"/>
        <v>1321.7318146045352</v>
      </c>
      <c r="CF21" s="87">
        <f t="shared" si="1"/>
        <v>1337.211317340307</v>
      </c>
      <c r="CG21" s="87">
        <f t="shared" si="1"/>
        <v>1352.6705747313622</v>
      </c>
      <c r="CH21" s="87">
        <f t="shared" si="1"/>
        <v>1368.1099638916101</v>
      </c>
      <c r="CI21" s="87">
        <f t="shared" si="1"/>
        <v>1383.5298524543086</v>
      </c>
      <c r="CJ21" s="87">
        <f t="shared" si="1"/>
        <v>1398.9305989483578</v>
      </c>
      <c r="CK21" s="87">
        <f t="shared" si="1"/>
        <v>1414.3125531504193</v>
      </c>
      <c r="CL21" s="87">
        <f t="shared" si="1"/>
        <v>1429.6760564150138</v>
      </c>
      <c r="CM21" s="87">
        <f t="shared" si="1"/>
        <v>1445.0214419845015</v>
      </c>
      <c r="CN21" s="87">
        <f t="shared" si="1"/>
        <v>1257.7046040503219</v>
      </c>
      <c r="CO21" s="87">
        <f t="shared" si="1"/>
        <v>1272.9303721507993</v>
      </c>
      <c r="CP21" s="87">
        <f t="shared" si="1"/>
        <v>1288.1374432509751</v>
      </c>
      <c r="CQ21" s="87">
        <f t="shared" si="1"/>
        <v>1303.3261829601558</v>
      </c>
      <c r="CR21" s="87">
        <f t="shared" si="1"/>
        <v>1318.4969464676924</v>
      </c>
      <c r="CS21" s="87">
        <f t="shared" si="1"/>
        <v>1333.650079035423</v>
      </c>
      <c r="CT21" s="87">
        <f t="shared" si="1"/>
        <v>1348.7859164536424</v>
      </c>
      <c r="CU21" s="87">
        <f t="shared" si="1"/>
        <v>1363.9047854641683</v>
      </c>
      <c r="CV21" s="87">
        <f t="shared" si="1"/>
        <v>1379.0070041536787</v>
      </c>
      <c r="CW21" s="87">
        <f t="shared" si="1"/>
        <v>1394.0928823200954</v>
      </c>
      <c r="CX21" s="87">
        <f t="shared" si="1"/>
        <v>1409.1627218145095</v>
      </c>
      <c r="CY21" s="87">
        <f t="shared" si="1"/>
        <v>1424.8644328652429</v>
      </c>
      <c r="CZ21" s="87">
        <f t="shared" si="1"/>
        <v>1440.5502238241536</v>
      </c>
      <c r="DA21" s="87">
        <f t="shared" si="1"/>
        <v>1456.0197790842994</v>
      </c>
      <c r="DB21" s="87">
        <f t="shared" si="1"/>
        <v>1471.4741337701334</v>
      </c>
      <c r="DC21" s="87">
        <f t="shared" si="1"/>
        <v>1486.9135628147201</v>
      </c>
      <c r="DD21" s="87">
        <f t="shared" si="1"/>
        <v>1502.3383344534509</v>
      </c>
      <c r="DE21" s="87">
        <f t="shared" si="1"/>
        <v>1517.7487104703503</v>
      </c>
      <c r="DF21" s="87">
        <f t="shared" si="1"/>
        <v>1533.1449464302013</v>
      </c>
      <c r="DG21" s="87">
        <f t="shared" si="1"/>
        <v>1548.5272918976295</v>
      </c>
      <c r="DH21" s="87">
        <f>(((DH22+DH26)*$B$35)+((DH27+DH28)*$B$10))*(44/12)</f>
        <v>1563.8959906441471</v>
      </c>
      <c r="DI21" s="50"/>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row>
    <row r="22" spans="1:177" x14ac:dyDescent="0.35">
      <c r="A22" s="4" t="s">
        <v>193</v>
      </c>
      <c r="B22" s="87">
        <f>(B23*$B$36*$C$37*1.0584)+(B24*$B$36*$E$37*0.6048)+(B25*$G$37*$B$36*0.2592)</f>
        <v>0.26282879999999997</v>
      </c>
      <c r="C22" s="87">
        <f t="shared" ref="C22:BN22" si="2">(C23*$B$36*$C$37*1.0584)+(C24*$B$36*$E$37*0.6048)+(C25*$G$37*$B$36*0.2592)</f>
        <v>4.393082304</v>
      </c>
      <c r="D22" s="87">
        <f t="shared" si="2"/>
        <v>8.5233358080000006</v>
      </c>
      <c r="E22" s="87">
        <f t="shared" si="2"/>
        <v>12.653589311999999</v>
      </c>
      <c r="F22" s="87">
        <f t="shared" si="2"/>
        <v>16.783842816000003</v>
      </c>
      <c r="G22" s="87">
        <f t="shared" si="2"/>
        <v>20.914096320000002</v>
      </c>
      <c r="H22" s="87">
        <f t="shared" si="2"/>
        <v>25.044349824000001</v>
      </c>
      <c r="I22" s="87">
        <f t="shared" si="2"/>
        <v>29.174603328</v>
      </c>
      <c r="J22" s="87">
        <f t="shared" si="2"/>
        <v>33.304856831999999</v>
      </c>
      <c r="K22" s="87">
        <f t="shared" si="2"/>
        <v>37.435110335999994</v>
      </c>
      <c r="L22" s="87">
        <f t="shared" si="2"/>
        <v>41.565363840000003</v>
      </c>
      <c r="M22" s="87">
        <f t="shared" si="2"/>
        <v>45.695617343999992</v>
      </c>
      <c r="N22" s="87">
        <f t="shared" si="2"/>
        <v>49.825870848000001</v>
      </c>
      <c r="O22" s="87">
        <f t="shared" si="2"/>
        <v>53.956124352000003</v>
      </c>
      <c r="P22" s="87">
        <f t="shared" si="2"/>
        <v>58.086377856000006</v>
      </c>
      <c r="Q22" s="87">
        <f t="shared" si="2"/>
        <v>62.216631360000008</v>
      </c>
      <c r="R22" s="87">
        <f t="shared" si="2"/>
        <v>66.346884864000018</v>
      </c>
      <c r="S22" s="87">
        <f t="shared" si="2"/>
        <v>70.477138367999999</v>
      </c>
      <c r="T22" s="87">
        <f t="shared" si="2"/>
        <v>74.607391872000008</v>
      </c>
      <c r="U22" s="87">
        <f t="shared" si="2"/>
        <v>78.737645376000017</v>
      </c>
      <c r="V22" s="87">
        <f t="shared" si="2"/>
        <v>82.867898880000027</v>
      </c>
      <c r="W22" s="87">
        <f t="shared" si="2"/>
        <v>86.998152384000036</v>
      </c>
      <c r="X22" s="87">
        <f t="shared" si="2"/>
        <v>91.128405888000017</v>
      </c>
      <c r="Y22" s="87">
        <f t="shared" si="2"/>
        <v>95.258659392000027</v>
      </c>
      <c r="Z22" s="87">
        <f t="shared" si="2"/>
        <v>99.388912896000022</v>
      </c>
      <c r="AA22" s="87">
        <f t="shared" si="2"/>
        <v>103.51916640000003</v>
      </c>
      <c r="AB22" s="87">
        <f t="shared" si="2"/>
        <v>107.64941990400004</v>
      </c>
      <c r="AC22" s="87">
        <f t="shared" si="2"/>
        <v>111.77967340800002</v>
      </c>
      <c r="AD22" s="87">
        <f t="shared" si="2"/>
        <v>115.90992691200005</v>
      </c>
      <c r="AE22" s="87">
        <f t="shared" si="2"/>
        <v>120.04018041600004</v>
      </c>
      <c r="AF22" s="87">
        <f>(AF23*$B$36*$C$37*1.0584)+(AF24*$B$36*$E$37*0.6048)+(AF25*$G$37*$B$36*0.2592)</f>
        <v>88.781311008000031</v>
      </c>
      <c r="AG22" s="87">
        <f t="shared" si="2"/>
        <v>92.911564512000041</v>
      </c>
      <c r="AH22" s="87">
        <f t="shared" si="2"/>
        <v>97.04181801600005</v>
      </c>
      <c r="AI22" s="87">
        <f t="shared" si="2"/>
        <v>101.17207152000005</v>
      </c>
      <c r="AJ22" s="87">
        <f t="shared" si="2"/>
        <v>105.30232502400006</v>
      </c>
      <c r="AK22" s="87">
        <f t="shared" si="2"/>
        <v>109.43257852800006</v>
      </c>
      <c r="AL22" s="87">
        <f t="shared" si="2"/>
        <v>113.56283203200005</v>
      </c>
      <c r="AM22" s="87">
        <f t="shared" si="2"/>
        <v>117.69308553600007</v>
      </c>
      <c r="AN22" s="87">
        <f t="shared" si="2"/>
        <v>121.82333904000005</v>
      </c>
      <c r="AO22" s="87">
        <f t="shared" si="2"/>
        <v>125.95359254400007</v>
      </c>
      <c r="AP22" s="87">
        <f t="shared" si="2"/>
        <v>130.08384604800005</v>
      </c>
      <c r="AQ22" s="87">
        <f t="shared" si="2"/>
        <v>134.21409955200008</v>
      </c>
      <c r="AR22" s="87">
        <f t="shared" si="2"/>
        <v>138.34435305600007</v>
      </c>
      <c r="AS22" s="87">
        <f t="shared" si="2"/>
        <v>145.82634768000008</v>
      </c>
      <c r="AT22" s="87">
        <f t="shared" si="2"/>
        <v>153.30834230400006</v>
      </c>
      <c r="AU22" s="87">
        <f t="shared" si="2"/>
        <v>160.79033692800007</v>
      </c>
      <c r="AV22" s="87">
        <f t="shared" si="2"/>
        <v>168.27233155200008</v>
      </c>
      <c r="AW22" s="87">
        <f t="shared" si="2"/>
        <v>175.75432617600009</v>
      </c>
      <c r="AX22" s="87">
        <f t="shared" si="2"/>
        <v>183.23632080000007</v>
      </c>
      <c r="AY22" s="87">
        <f t="shared" si="2"/>
        <v>190.33525929600012</v>
      </c>
      <c r="AZ22" s="87">
        <f t="shared" si="2"/>
        <v>165.26226787200011</v>
      </c>
      <c r="BA22" s="87">
        <f t="shared" si="2"/>
        <v>172.3612063680001</v>
      </c>
      <c r="BB22" s="87">
        <f t="shared" si="2"/>
        <v>179.46014486400014</v>
      </c>
      <c r="BC22" s="87">
        <f t="shared" si="2"/>
        <v>186.5590833600001</v>
      </c>
      <c r="BD22" s="87">
        <f t="shared" si="2"/>
        <v>193.65802185600012</v>
      </c>
      <c r="BE22" s="87">
        <f t="shared" si="2"/>
        <v>200.75696035200014</v>
      </c>
      <c r="BF22" s="87">
        <f t="shared" si="2"/>
        <v>207.85589884800012</v>
      </c>
      <c r="BG22" s="87">
        <f t="shared" si="2"/>
        <v>218.2108818240001</v>
      </c>
      <c r="BH22" s="87">
        <f t="shared" si="2"/>
        <v>228.56586480000013</v>
      </c>
      <c r="BI22" s="87">
        <f t="shared" si="2"/>
        <v>238.92084777600013</v>
      </c>
      <c r="BJ22" s="87">
        <f t="shared" si="2"/>
        <v>249.27583075200005</v>
      </c>
      <c r="BK22" s="87">
        <f t="shared" si="2"/>
        <v>259.63081372800002</v>
      </c>
      <c r="BL22" s="87">
        <f t="shared" si="2"/>
        <v>269.98579670400011</v>
      </c>
      <c r="BM22" s="87">
        <f t="shared" si="2"/>
        <v>280.34077968000008</v>
      </c>
      <c r="BN22" s="87">
        <f t="shared" si="2"/>
        <v>290.695762656</v>
      </c>
      <c r="BO22" s="87">
        <f t="shared" ref="BO22:DG22" si="3">(BO23*$B$36*$C$37*1.0584)+(BO24*$B$36*$E$37*0.6048)+(BO25*$G$37*$B$36*0.2592)</f>
        <v>299.32079299200001</v>
      </c>
      <c r="BP22" s="87">
        <f t="shared" si="3"/>
        <v>307.94582332799996</v>
      </c>
      <c r="BQ22" s="87">
        <f t="shared" si="3"/>
        <v>316.57085366399997</v>
      </c>
      <c r="BR22" s="87">
        <f t="shared" si="3"/>
        <v>325.19588399999998</v>
      </c>
      <c r="BS22" s="87">
        <f t="shared" si="3"/>
        <v>333.82091433599993</v>
      </c>
      <c r="BT22" s="87">
        <f t="shared" si="3"/>
        <v>258.7989268799999</v>
      </c>
      <c r="BU22" s="87">
        <f t="shared" si="3"/>
        <v>267.42395721599985</v>
      </c>
      <c r="BV22" s="87">
        <f t="shared" si="3"/>
        <v>276.04898755199986</v>
      </c>
      <c r="BW22" s="87">
        <f t="shared" si="3"/>
        <v>283.44451823999987</v>
      </c>
      <c r="BX22" s="87">
        <f t="shared" si="3"/>
        <v>290.84004892799993</v>
      </c>
      <c r="BY22" s="87">
        <f t="shared" si="3"/>
        <v>298.23557961599988</v>
      </c>
      <c r="BZ22" s="87">
        <f t="shared" si="3"/>
        <v>305.63111030399989</v>
      </c>
      <c r="CA22" s="87">
        <f t="shared" si="3"/>
        <v>313.0266409919999</v>
      </c>
      <c r="CB22" s="87">
        <f t="shared" si="3"/>
        <v>320.42217167999991</v>
      </c>
      <c r="CC22" s="87">
        <f t="shared" si="3"/>
        <v>327.81770236799997</v>
      </c>
      <c r="CD22" s="87">
        <f t="shared" si="3"/>
        <v>335.21323305599992</v>
      </c>
      <c r="CE22" s="87">
        <f t="shared" si="3"/>
        <v>342.60876374399993</v>
      </c>
      <c r="CF22" s="87">
        <f t="shared" si="3"/>
        <v>349.58107267199995</v>
      </c>
      <c r="CG22" s="87">
        <f t="shared" si="3"/>
        <v>356.55338159999985</v>
      </c>
      <c r="CH22" s="87">
        <f t="shared" si="3"/>
        <v>363.52569052799987</v>
      </c>
      <c r="CI22" s="87">
        <f t="shared" si="3"/>
        <v>370.49799945599983</v>
      </c>
      <c r="CJ22" s="87">
        <f t="shared" si="3"/>
        <v>377.47030838399985</v>
      </c>
      <c r="CK22" s="87">
        <f t="shared" si="3"/>
        <v>384.44261731199987</v>
      </c>
      <c r="CL22" s="87">
        <f t="shared" si="3"/>
        <v>391.41492623999977</v>
      </c>
      <c r="CM22" s="87">
        <f t="shared" si="3"/>
        <v>398.38723516799979</v>
      </c>
      <c r="CN22" s="87">
        <f t="shared" si="3"/>
        <v>308.84375433599985</v>
      </c>
      <c r="CO22" s="87">
        <f t="shared" si="3"/>
        <v>315.73883203199978</v>
      </c>
      <c r="CP22" s="87">
        <f t="shared" si="3"/>
        <v>322.63390972799976</v>
      </c>
      <c r="CQ22" s="87">
        <f t="shared" si="3"/>
        <v>329.52898742399975</v>
      </c>
      <c r="CR22" s="87">
        <f t="shared" si="3"/>
        <v>336.42406511999974</v>
      </c>
      <c r="CS22" s="87">
        <f t="shared" si="3"/>
        <v>343.31914281599973</v>
      </c>
      <c r="CT22" s="87">
        <f t="shared" si="3"/>
        <v>350.21422051199966</v>
      </c>
      <c r="CU22" s="87">
        <f t="shared" si="3"/>
        <v>357.10929820799964</v>
      </c>
      <c r="CV22" s="87">
        <f t="shared" si="3"/>
        <v>364.00437590399969</v>
      </c>
      <c r="CW22" s="87">
        <f t="shared" si="3"/>
        <v>370.89945359999962</v>
      </c>
      <c r="CX22" s="87">
        <f t="shared" si="3"/>
        <v>377.7945312959996</v>
      </c>
      <c r="CY22" s="87">
        <f t="shared" si="3"/>
        <v>384.9985339199996</v>
      </c>
      <c r="CZ22" s="87">
        <f t="shared" si="3"/>
        <v>392.2025365439996</v>
      </c>
      <c r="DA22" s="87">
        <f t="shared" si="3"/>
        <v>399.31077513599962</v>
      </c>
      <c r="DB22" s="87">
        <f t="shared" si="3"/>
        <v>406.41901372799958</v>
      </c>
      <c r="DC22" s="87">
        <f t="shared" si="3"/>
        <v>413.5272523199996</v>
      </c>
      <c r="DD22" s="87">
        <f t="shared" si="3"/>
        <v>420.63549091199968</v>
      </c>
      <c r="DE22" s="87">
        <f t="shared" si="3"/>
        <v>427.7437295039997</v>
      </c>
      <c r="DF22" s="87">
        <f t="shared" si="3"/>
        <v>434.85196809599967</v>
      </c>
      <c r="DG22" s="87">
        <f t="shared" si="3"/>
        <v>441.96020668799969</v>
      </c>
      <c r="DH22" s="87">
        <f>(DH23*$B$36*$C$37*1.0584)+(DH24*$B$36*$E$37*0.6048)+(DH25*$G$37*$B$36*0.2592)</f>
        <v>449.06844527999971</v>
      </c>
      <c r="DI22" s="50"/>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row>
    <row r="23" spans="1:177" ht="29" x14ac:dyDescent="0.35">
      <c r="A23" s="19" t="s">
        <v>190</v>
      </c>
      <c r="B23" s="2">
        <v>0</v>
      </c>
      <c r="C23" s="2">
        <f>B23+2.7</f>
        <v>2.7</v>
      </c>
      <c r="D23" s="2">
        <f t="shared" ref="D23:AR23" si="4">C23+2.7</f>
        <v>5.4</v>
      </c>
      <c r="E23" s="2">
        <f t="shared" si="4"/>
        <v>8.1000000000000014</v>
      </c>
      <c r="F23" s="2">
        <f t="shared" si="4"/>
        <v>10.8</v>
      </c>
      <c r="G23" s="2">
        <f t="shared" si="4"/>
        <v>13.5</v>
      </c>
      <c r="H23" s="2">
        <f t="shared" si="4"/>
        <v>16.2</v>
      </c>
      <c r="I23" s="2">
        <f t="shared" si="4"/>
        <v>18.899999999999999</v>
      </c>
      <c r="J23" s="2">
        <f t="shared" si="4"/>
        <v>21.599999999999998</v>
      </c>
      <c r="K23" s="2">
        <f t="shared" si="4"/>
        <v>24.299999999999997</v>
      </c>
      <c r="L23" s="2">
        <f t="shared" si="4"/>
        <v>26.999999999999996</v>
      </c>
      <c r="M23" s="2">
        <f t="shared" si="4"/>
        <v>29.699999999999996</v>
      </c>
      <c r="N23" s="2">
        <f t="shared" si="4"/>
        <v>32.4</v>
      </c>
      <c r="O23" s="2">
        <f t="shared" si="4"/>
        <v>35.1</v>
      </c>
      <c r="P23" s="2">
        <f t="shared" si="4"/>
        <v>37.800000000000004</v>
      </c>
      <c r="Q23" s="2">
        <f t="shared" si="4"/>
        <v>40.500000000000007</v>
      </c>
      <c r="R23" s="2">
        <f t="shared" si="4"/>
        <v>43.20000000000001</v>
      </c>
      <c r="S23" s="2">
        <f t="shared" si="4"/>
        <v>45.900000000000013</v>
      </c>
      <c r="T23" s="2">
        <f t="shared" si="4"/>
        <v>48.600000000000016</v>
      </c>
      <c r="U23" s="2">
        <f t="shared" si="4"/>
        <v>51.300000000000018</v>
      </c>
      <c r="V23" s="2">
        <f t="shared" si="4"/>
        <v>54.000000000000021</v>
      </c>
      <c r="W23" s="2">
        <f t="shared" si="4"/>
        <v>56.700000000000024</v>
      </c>
      <c r="X23" s="2">
        <f t="shared" si="4"/>
        <v>59.400000000000027</v>
      </c>
      <c r="Y23" s="2">
        <f t="shared" si="4"/>
        <v>62.10000000000003</v>
      </c>
      <c r="Z23" s="2">
        <f t="shared" si="4"/>
        <v>64.800000000000026</v>
      </c>
      <c r="AA23" s="2">
        <f t="shared" si="4"/>
        <v>67.500000000000028</v>
      </c>
      <c r="AB23" s="2">
        <f t="shared" si="4"/>
        <v>70.200000000000031</v>
      </c>
      <c r="AC23" s="2">
        <f t="shared" si="4"/>
        <v>72.900000000000034</v>
      </c>
      <c r="AD23" s="2">
        <f t="shared" si="4"/>
        <v>75.600000000000037</v>
      </c>
      <c r="AE23" s="2">
        <f t="shared" si="4"/>
        <v>78.30000000000004</v>
      </c>
      <c r="AF23" s="2">
        <f>AE23+2.7-26.95</f>
        <v>54.05000000000004</v>
      </c>
      <c r="AG23" s="2">
        <f t="shared" si="4"/>
        <v>56.750000000000043</v>
      </c>
      <c r="AH23" s="2">
        <f t="shared" si="4"/>
        <v>59.450000000000045</v>
      </c>
      <c r="AI23" s="2">
        <f t="shared" si="4"/>
        <v>62.150000000000048</v>
      </c>
      <c r="AJ23" s="2">
        <f t="shared" si="4"/>
        <v>64.850000000000051</v>
      </c>
      <c r="AK23" s="2">
        <f t="shared" si="4"/>
        <v>67.550000000000054</v>
      </c>
      <c r="AL23" s="2">
        <f t="shared" si="4"/>
        <v>70.250000000000057</v>
      </c>
      <c r="AM23" s="2">
        <f t="shared" si="4"/>
        <v>72.95000000000006</v>
      </c>
      <c r="AN23" s="2">
        <f t="shared" si="4"/>
        <v>75.650000000000063</v>
      </c>
      <c r="AO23" s="2">
        <f t="shared" si="4"/>
        <v>78.350000000000065</v>
      </c>
      <c r="AP23" s="2">
        <f t="shared" si="4"/>
        <v>81.050000000000068</v>
      </c>
      <c r="AQ23" s="2">
        <f t="shared" si="4"/>
        <v>83.750000000000071</v>
      </c>
      <c r="AR23" s="2">
        <f t="shared" si="4"/>
        <v>86.450000000000074</v>
      </c>
      <c r="AS23" s="2">
        <f>AR23+6.2</f>
        <v>92.650000000000077</v>
      </c>
      <c r="AT23" s="2">
        <f t="shared" ref="AT23:AX23" si="5">AS23+6.2</f>
        <v>98.85000000000008</v>
      </c>
      <c r="AU23" s="2">
        <f t="shared" si="5"/>
        <v>105.05000000000008</v>
      </c>
      <c r="AV23" s="2">
        <f t="shared" si="5"/>
        <v>111.25000000000009</v>
      </c>
      <c r="AW23" s="2">
        <f t="shared" si="5"/>
        <v>117.45000000000009</v>
      </c>
      <c r="AX23" s="2">
        <f t="shared" si="5"/>
        <v>123.65000000000009</v>
      </c>
      <c r="AY23" s="2">
        <f>AX23+5.8</f>
        <v>129.4500000000001</v>
      </c>
      <c r="AZ23" s="2">
        <f>AY23+5.8-24.5</f>
        <v>110.75000000000011</v>
      </c>
      <c r="BA23" s="2">
        <f t="shared" ref="BA23:BF23" si="6">AZ23+5.8</f>
        <v>116.55000000000011</v>
      </c>
      <c r="BB23" s="2">
        <f t="shared" si="6"/>
        <v>122.35000000000011</v>
      </c>
      <c r="BC23" s="2">
        <f t="shared" si="6"/>
        <v>128.15000000000012</v>
      </c>
      <c r="BD23" s="2">
        <f t="shared" si="6"/>
        <v>133.95000000000013</v>
      </c>
      <c r="BE23" s="2">
        <f t="shared" si="6"/>
        <v>139.75000000000014</v>
      </c>
      <c r="BF23" s="2">
        <f t="shared" si="6"/>
        <v>145.55000000000015</v>
      </c>
      <c r="BG23" s="2">
        <f>BF23+6.7</f>
        <v>152.25000000000014</v>
      </c>
      <c r="BH23" s="2">
        <f t="shared" ref="BH23:BN23" si="7">BG23+6.7</f>
        <v>158.95000000000013</v>
      </c>
      <c r="BI23" s="2">
        <f t="shared" si="7"/>
        <v>165.65000000000012</v>
      </c>
      <c r="BJ23" s="2">
        <f t="shared" si="7"/>
        <v>172.35000000000011</v>
      </c>
      <c r="BK23" s="2">
        <f t="shared" si="7"/>
        <v>179.0500000000001</v>
      </c>
      <c r="BL23" s="2">
        <f t="shared" si="7"/>
        <v>185.75000000000009</v>
      </c>
      <c r="BM23" s="2">
        <f t="shared" si="7"/>
        <v>192.45000000000007</v>
      </c>
      <c r="BN23" s="2">
        <f t="shared" si="7"/>
        <v>199.15000000000006</v>
      </c>
      <c r="BO23" s="2">
        <f>BN23+5.7</f>
        <v>204.85000000000005</v>
      </c>
      <c r="BP23" s="2">
        <f t="shared" ref="BP23:BV23" si="8">BO23+5.7</f>
        <v>210.55000000000004</v>
      </c>
      <c r="BQ23" s="2">
        <f t="shared" si="8"/>
        <v>216.25000000000003</v>
      </c>
      <c r="BR23" s="2">
        <f t="shared" si="8"/>
        <v>221.95000000000002</v>
      </c>
      <c r="BS23" s="2">
        <f t="shared" si="8"/>
        <v>227.65</v>
      </c>
      <c r="BT23" s="2">
        <f>BS23+5.7-63.7</f>
        <v>169.64999999999998</v>
      </c>
      <c r="BU23" s="2">
        <f t="shared" si="8"/>
        <v>175.34999999999997</v>
      </c>
      <c r="BV23" s="2">
        <f t="shared" si="8"/>
        <v>181.04999999999995</v>
      </c>
      <c r="BW23" s="2">
        <f>BV23+4.9</f>
        <v>185.94999999999996</v>
      </c>
      <c r="BX23" s="2">
        <f t="shared" ref="BX23:CE23" si="9">BW23+4.9</f>
        <v>190.84999999999997</v>
      </c>
      <c r="BY23" s="2">
        <f t="shared" si="9"/>
        <v>195.74999999999997</v>
      </c>
      <c r="BZ23" s="2">
        <f t="shared" si="9"/>
        <v>200.64999999999998</v>
      </c>
      <c r="CA23" s="2">
        <f t="shared" si="9"/>
        <v>205.54999999999998</v>
      </c>
      <c r="CB23" s="2">
        <f t="shared" si="9"/>
        <v>210.45</v>
      </c>
      <c r="CC23" s="2">
        <f t="shared" si="9"/>
        <v>215.35</v>
      </c>
      <c r="CD23" s="2">
        <f t="shared" si="9"/>
        <v>220.25</v>
      </c>
      <c r="CE23" s="2">
        <f t="shared" si="9"/>
        <v>225.15</v>
      </c>
      <c r="CF23" s="2">
        <f>CE23+4.7</f>
        <v>229.85</v>
      </c>
      <c r="CG23" s="2">
        <f t="shared" ref="CG23:CZ23" si="10">CF23+4.7</f>
        <v>234.54999999999998</v>
      </c>
      <c r="CH23" s="2">
        <f t="shared" si="10"/>
        <v>239.24999999999997</v>
      </c>
      <c r="CI23" s="2">
        <f t="shared" si="10"/>
        <v>243.94999999999996</v>
      </c>
      <c r="CJ23" s="2">
        <f t="shared" si="10"/>
        <v>248.64999999999995</v>
      </c>
      <c r="CK23" s="2">
        <f t="shared" si="10"/>
        <v>253.34999999999994</v>
      </c>
      <c r="CL23" s="2">
        <f t="shared" si="10"/>
        <v>258.04999999999995</v>
      </c>
      <c r="CM23" s="2">
        <f t="shared" si="10"/>
        <v>262.74999999999994</v>
      </c>
      <c r="CN23" s="2">
        <f>CM23+4.7-73.5</f>
        <v>193.94999999999993</v>
      </c>
      <c r="CO23" s="2">
        <f t="shared" si="10"/>
        <v>198.64999999999992</v>
      </c>
      <c r="CP23" s="2">
        <f t="shared" si="10"/>
        <v>203.34999999999991</v>
      </c>
      <c r="CQ23" s="2">
        <f t="shared" si="10"/>
        <v>208.0499999999999</v>
      </c>
      <c r="CR23" s="2">
        <f t="shared" si="10"/>
        <v>212.74999999999989</v>
      </c>
      <c r="CS23" s="2">
        <f t="shared" si="10"/>
        <v>217.44999999999987</v>
      </c>
      <c r="CT23" s="2">
        <f t="shared" si="10"/>
        <v>222.14999999999986</v>
      </c>
      <c r="CU23" s="2">
        <f t="shared" si="10"/>
        <v>226.84999999999985</v>
      </c>
      <c r="CV23" s="2">
        <f t="shared" si="10"/>
        <v>231.54999999999984</v>
      </c>
      <c r="CW23" s="2">
        <f t="shared" si="10"/>
        <v>236.24999999999983</v>
      </c>
      <c r="CX23" s="2">
        <f t="shared" si="10"/>
        <v>240.94999999999982</v>
      </c>
      <c r="CY23" s="2">
        <f t="shared" si="10"/>
        <v>245.64999999999981</v>
      </c>
      <c r="CZ23" s="2">
        <f t="shared" si="10"/>
        <v>250.3499999999998</v>
      </c>
      <c r="DA23" s="2">
        <f>CZ23+4.6</f>
        <v>254.94999999999979</v>
      </c>
      <c r="DB23" s="2">
        <f t="shared" ref="DB23:DH23" si="11">DA23+4.6</f>
        <v>259.54999999999978</v>
      </c>
      <c r="DC23" s="2">
        <f t="shared" si="11"/>
        <v>264.14999999999981</v>
      </c>
      <c r="DD23" s="2">
        <f t="shared" si="11"/>
        <v>268.74999999999983</v>
      </c>
      <c r="DE23" s="2">
        <f t="shared" si="11"/>
        <v>273.34999999999985</v>
      </c>
      <c r="DF23" s="2">
        <f t="shared" si="11"/>
        <v>277.94999999999987</v>
      </c>
      <c r="DG23" s="2">
        <f t="shared" si="11"/>
        <v>282.5499999999999</v>
      </c>
      <c r="DH23" s="2">
        <f t="shared" si="11"/>
        <v>287.14999999999992</v>
      </c>
      <c r="DI23" s="50"/>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row>
    <row r="24" spans="1:177" ht="29" x14ac:dyDescent="0.35">
      <c r="A24" s="19" t="s">
        <v>191</v>
      </c>
      <c r="B24" s="2">
        <v>0</v>
      </c>
      <c r="C24" s="2">
        <f>B24+2</f>
        <v>2</v>
      </c>
      <c r="D24" s="2">
        <f t="shared" ref="D24:BF25" si="12">C24+2</f>
        <v>4</v>
      </c>
      <c r="E24" s="2">
        <f t="shared" si="12"/>
        <v>6</v>
      </c>
      <c r="F24" s="2">
        <f t="shared" si="12"/>
        <v>8</v>
      </c>
      <c r="G24" s="2">
        <f t="shared" si="12"/>
        <v>10</v>
      </c>
      <c r="H24" s="2">
        <f t="shared" si="12"/>
        <v>12</v>
      </c>
      <c r="I24" s="2">
        <f t="shared" si="12"/>
        <v>14</v>
      </c>
      <c r="J24" s="2">
        <f t="shared" si="12"/>
        <v>16</v>
      </c>
      <c r="K24" s="2">
        <f t="shared" si="12"/>
        <v>18</v>
      </c>
      <c r="L24" s="2">
        <f t="shared" si="12"/>
        <v>20</v>
      </c>
      <c r="M24" s="2">
        <f t="shared" si="12"/>
        <v>22</v>
      </c>
      <c r="N24" s="2">
        <f t="shared" si="12"/>
        <v>24</v>
      </c>
      <c r="O24" s="2">
        <f t="shared" si="12"/>
        <v>26</v>
      </c>
      <c r="P24" s="2">
        <f t="shared" si="12"/>
        <v>28</v>
      </c>
      <c r="Q24" s="2">
        <f t="shared" si="12"/>
        <v>30</v>
      </c>
      <c r="R24" s="2">
        <f t="shared" si="12"/>
        <v>32</v>
      </c>
      <c r="S24" s="2">
        <f t="shared" si="12"/>
        <v>34</v>
      </c>
      <c r="T24" s="2">
        <f t="shared" si="12"/>
        <v>36</v>
      </c>
      <c r="U24" s="2">
        <f t="shared" si="12"/>
        <v>38</v>
      </c>
      <c r="V24" s="2">
        <f t="shared" si="12"/>
        <v>40</v>
      </c>
      <c r="W24" s="2">
        <f t="shared" si="12"/>
        <v>42</v>
      </c>
      <c r="X24" s="2">
        <f t="shared" si="12"/>
        <v>44</v>
      </c>
      <c r="Y24" s="2">
        <f t="shared" si="12"/>
        <v>46</v>
      </c>
      <c r="Z24" s="2">
        <f t="shared" si="12"/>
        <v>48</v>
      </c>
      <c r="AA24" s="2">
        <f t="shared" si="12"/>
        <v>50</v>
      </c>
      <c r="AB24" s="2">
        <f t="shared" si="12"/>
        <v>52</v>
      </c>
      <c r="AC24" s="2">
        <f t="shared" si="12"/>
        <v>54</v>
      </c>
      <c r="AD24" s="2">
        <f t="shared" si="12"/>
        <v>56</v>
      </c>
      <c r="AE24" s="2">
        <f t="shared" si="12"/>
        <v>58</v>
      </c>
      <c r="AF24" s="2">
        <f>AE24+2-15.4</f>
        <v>44.6</v>
      </c>
      <c r="AG24" s="2">
        <f t="shared" si="12"/>
        <v>46.6</v>
      </c>
      <c r="AH24" s="2">
        <f t="shared" si="12"/>
        <v>48.6</v>
      </c>
      <c r="AI24" s="2">
        <f t="shared" si="12"/>
        <v>50.6</v>
      </c>
      <c r="AJ24" s="2">
        <f t="shared" si="12"/>
        <v>52.6</v>
      </c>
      <c r="AK24" s="2">
        <f t="shared" si="12"/>
        <v>54.6</v>
      </c>
      <c r="AL24" s="2">
        <f t="shared" si="12"/>
        <v>56.6</v>
      </c>
      <c r="AM24" s="2">
        <f t="shared" si="12"/>
        <v>58.6</v>
      </c>
      <c r="AN24" s="2">
        <f t="shared" si="12"/>
        <v>60.6</v>
      </c>
      <c r="AO24" s="2">
        <f t="shared" si="12"/>
        <v>62.6</v>
      </c>
      <c r="AP24" s="2">
        <f t="shared" si="12"/>
        <v>64.599999999999994</v>
      </c>
      <c r="AQ24" s="2">
        <f t="shared" si="12"/>
        <v>66.599999999999994</v>
      </c>
      <c r="AR24" s="2">
        <f t="shared" si="12"/>
        <v>68.599999999999994</v>
      </c>
      <c r="AS24" s="2">
        <f t="shared" si="12"/>
        <v>70.599999999999994</v>
      </c>
      <c r="AT24" s="2">
        <f t="shared" si="12"/>
        <v>72.599999999999994</v>
      </c>
      <c r="AU24" s="2">
        <f t="shared" si="12"/>
        <v>74.599999999999994</v>
      </c>
      <c r="AV24" s="2">
        <f t="shared" si="12"/>
        <v>76.599999999999994</v>
      </c>
      <c r="AW24" s="2">
        <f t="shared" si="12"/>
        <v>78.599999999999994</v>
      </c>
      <c r="AX24" s="2">
        <f t="shared" si="12"/>
        <v>80.599999999999994</v>
      </c>
      <c r="AY24" s="2">
        <f t="shared" si="12"/>
        <v>82.6</v>
      </c>
      <c r="AZ24" s="2">
        <f>AY24+2-14</f>
        <v>70.599999999999994</v>
      </c>
      <c r="BA24" s="2">
        <f t="shared" si="12"/>
        <v>72.599999999999994</v>
      </c>
      <c r="BB24" s="2">
        <f t="shared" si="12"/>
        <v>74.599999999999994</v>
      </c>
      <c r="BC24" s="2">
        <f t="shared" si="12"/>
        <v>76.599999999999994</v>
      </c>
      <c r="BD24" s="2">
        <f t="shared" si="12"/>
        <v>78.599999999999994</v>
      </c>
      <c r="BE24" s="2">
        <f t="shared" si="12"/>
        <v>80.599999999999994</v>
      </c>
      <c r="BF24" s="2">
        <f t="shared" si="12"/>
        <v>82.6</v>
      </c>
      <c r="BG24" s="2">
        <f>BF24+5.1</f>
        <v>87.699999999999989</v>
      </c>
      <c r="BH24" s="2">
        <f t="shared" ref="BH24:BN25" si="13">BG24+5.1</f>
        <v>92.799999999999983</v>
      </c>
      <c r="BI24" s="2">
        <f t="shared" si="13"/>
        <v>97.899999999999977</v>
      </c>
      <c r="BJ24" s="2">
        <f t="shared" si="13"/>
        <v>102.99999999999997</v>
      </c>
      <c r="BK24" s="2">
        <f t="shared" si="13"/>
        <v>108.09999999999997</v>
      </c>
      <c r="BL24" s="2">
        <f t="shared" si="13"/>
        <v>113.19999999999996</v>
      </c>
      <c r="BM24" s="2">
        <f t="shared" si="13"/>
        <v>118.29999999999995</v>
      </c>
      <c r="BN24" s="2">
        <f t="shared" si="13"/>
        <v>123.39999999999995</v>
      </c>
      <c r="BO24" s="2">
        <f>BN24+4.1</f>
        <v>127.49999999999994</v>
      </c>
      <c r="BP24" s="2">
        <f t="shared" ref="BP24:BV25" si="14">BO24+4.1</f>
        <v>131.59999999999994</v>
      </c>
      <c r="BQ24" s="2">
        <f t="shared" si="14"/>
        <v>135.69999999999993</v>
      </c>
      <c r="BR24" s="2">
        <f t="shared" si="14"/>
        <v>139.79999999999993</v>
      </c>
      <c r="BS24" s="2">
        <f t="shared" si="14"/>
        <v>143.89999999999992</v>
      </c>
      <c r="BT24" s="2">
        <f>BS24+4.1-36.4</f>
        <v>111.59999999999991</v>
      </c>
      <c r="BU24" s="2">
        <f t="shared" si="14"/>
        <v>115.6999999999999</v>
      </c>
      <c r="BV24" s="2">
        <f t="shared" si="14"/>
        <v>119.7999999999999</v>
      </c>
      <c r="BW24" s="2">
        <f>BV24+3.5</f>
        <v>123.2999999999999</v>
      </c>
      <c r="BX24" s="2">
        <f t="shared" ref="BX24:CE25" si="15">BW24+3.5</f>
        <v>126.7999999999999</v>
      </c>
      <c r="BY24" s="2">
        <f t="shared" si="15"/>
        <v>130.2999999999999</v>
      </c>
      <c r="BZ24" s="2">
        <f t="shared" si="15"/>
        <v>133.7999999999999</v>
      </c>
      <c r="CA24" s="2">
        <f t="shared" si="15"/>
        <v>137.2999999999999</v>
      </c>
      <c r="CB24" s="2">
        <f t="shared" si="15"/>
        <v>140.7999999999999</v>
      </c>
      <c r="CC24" s="2">
        <f t="shared" si="15"/>
        <v>144.2999999999999</v>
      </c>
      <c r="CD24" s="2">
        <f t="shared" si="15"/>
        <v>147.7999999999999</v>
      </c>
      <c r="CE24" s="2">
        <f t="shared" si="15"/>
        <v>151.2999999999999</v>
      </c>
      <c r="CF24" s="2">
        <f>CE24+3.2</f>
        <v>154.49999999999989</v>
      </c>
      <c r="CG24" s="2">
        <f t="shared" ref="CG24:CM25" si="16">CF24+3.2</f>
        <v>157.69999999999987</v>
      </c>
      <c r="CH24" s="2">
        <f t="shared" si="16"/>
        <v>160.89999999999986</v>
      </c>
      <c r="CI24" s="2">
        <f t="shared" si="16"/>
        <v>164.09999999999985</v>
      </c>
      <c r="CJ24" s="2">
        <f t="shared" si="16"/>
        <v>167.29999999999984</v>
      </c>
      <c r="CK24" s="2">
        <f t="shared" si="16"/>
        <v>170.49999999999983</v>
      </c>
      <c r="CL24" s="2">
        <f t="shared" si="16"/>
        <v>173.69999999999982</v>
      </c>
      <c r="CM24" s="2">
        <f t="shared" si="16"/>
        <v>176.89999999999981</v>
      </c>
      <c r="CN24" s="2">
        <f>CM24+3.2-42</f>
        <v>138.0999999999998</v>
      </c>
      <c r="CO24" s="2">
        <f>CN24+3.1</f>
        <v>141.19999999999979</v>
      </c>
      <c r="CP24" s="2">
        <f t="shared" ref="CP24:CX25" si="17">CO24+3.1</f>
        <v>144.29999999999978</v>
      </c>
      <c r="CQ24" s="2">
        <f t="shared" si="17"/>
        <v>147.39999999999978</v>
      </c>
      <c r="CR24" s="2">
        <f t="shared" si="17"/>
        <v>150.49999999999977</v>
      </c>
      <c r="CS24" s="2">
        <f t="shared" si="17"/>
        <v>153.59999999999977</v>
      </c>
      <c r="CT24" s="2">
        <f t="shared" si="17"/>
        <v>156.69999999999976</v>
      </c>
      <c r="CU24" s="2">
        <f t="shared" si="17"/>
        <v>159.79999999999976</v>
      </c>
      <c r="CV24" s="2">
        <f t="shared" si="17"/>
        <v>162.89999999999975</v>
      </c>
      <c r="CW24" s="2">
        <f t="shared" si="17"/>
        <v>165.99999999999974</v>
      </c>
      <c r="CX24" s="2">
        <f t="shared" si="17"/>
        <v>169.09999999999974</v>
      </c>
      <c r="CY24" s="2">
        <f>CX24+3.5</f>
        <v>172.59999999999974</v>
      </c>
      <c r="CZ24" s="2">
        <f t="shared" ref="CZ24:DH25" si="18">CY24+3.5</f>
        <v>176.09999999999974</v>
      </c>
      <c r="DA24" s="2">
        <f t="shared" si="18"/>
        <v>179.59999999999974</v>
      </c>
      <c r="DB24" s="2">
        <f t="shared" si="18"/>
        <v>183.09999999999974</v>
      </c>
      <c r="DC24" s="2">
        <f t="shared" si="18"/>
        <v>186.59999999999974</v>
      </c>
      <c r="DD24" s="2">
        <f t="shared" si="18"/>
        <v>190.09999999999974</v>
      </c>
      <c r="DE24" s="2">
        <f t="shared" si="18"/>
        <v>193.59999999999974</v>
      </c>
      <c r="DF24" s="2">
        <f t="shared" si="18"/>
        <v>197.09999999999974</v>
      </c>
      <c r="DG24" s="2">
        <f t="shared" si="18"/>
        <v>200.59999999999974</v>
      </c>
      <c r="DH24" s="2">
        <f t="shared" si="18"/>
        <v>204.09999999999974</v>
      </c>
      <c r="DI24" s="50"/>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row>
    <row r="25" spans="1:177" ht="29" x14ac:dyDescent="0.35">
      <c r="A25" s="19" t="s">
        <v>192</v>
      </c>
      <c r="B25" s="2">
        <v>1</v>
      </c>
      <c r="C25" s="2">
        <f>B25+2</f>
        <v>3</v>
      </c>
      <c r="D25" s="2">
        <f t="shared" si="12"/>
        <v>5</v>
      </c>
      <c r="E25" s="2">
        <f t="shared" si="12"/>
        <v>7</v>
      </c>
      <c r="F25" s="2">
        <f t="shared" si="12"/>
        <v>9</v>
      </c>
      <c r="G25" s="2">
        <f t="shared" si="12"/>
        <v>11</v>
      </c>
      <c r="H25" s="2">
        <f t="shared" si="12"/>
        <v>13</v>
      </c>
      <c r="I25" s="2">
        <f t="shared" si="12"/>
        <v>15</v>
      </c>
      <c r="J25" s="2">
        <f t="shared" si="12"/>
        <v>17</v>
      </c>
      <c r="K25" s="2">
        <f t="shared" si="12"/>
        <v>19</v>
      </c>
      <c r="L25" s="2">
        <f t="shared" si="12"/>
        <v>21</v>
      </c>
      <c r="M25" s="2">
        <f t="shared" si="12"/>
        <v>23</v>
      </c>
      <c r="N25" s="2">
        <f t="shared" si="12"/>
        <v>25</v>
      </c>
      <c r="O25" s="2">
        <f t="shared" si="12"/>
        <v>27</v>
      </c>
      <c r="P25" s="2">
        <f t="shared" si="12"/>
        <v>29</v>
      </c>
      <c r="Q25" s="2">
        <f t="shared" si="12"/>
        <v>31</v>
      </c>
      <c r="R25" s="2">
        <f t="shared" si="12"/>
        <v>33</v>
      </c>
      <c r="S25" s="2">
        <f t="shared" si="12"/>
        <v>35</v>
      </c>
      <c r="T25" s="2">
        <f t="shared" si="12"/>
        <v>37</v>
      </c>
      <c r="U25" s="2">
        <f t="shared" si="12"/>
        <v>39</v>
      </c>
      <c r="V25" s="2">
        <f t="shared" si="12"/>
        <v>41</v>
      </c>
      <c r="W25" s="2">
        <f t="shared" si="12"/>
        <v>43</v>
      </c>
      <c r="X25" s="2">
        <f t="shared" si="12"/>
        <v>45</v>
      </c>
      <c r="Y25" s="2">
        <f t="shared" si="12"/>
        <v>47</v>
      </c>
      <c r="Z25" s="2">
        <f t="shared" si="12"/>
        <v>49</v>
      </c>
      <c r="AA25" s="2">
        <f t="shared" si="12"/>
        <v>51</v>
      </c>
      <c r="AB25" s="2">
        <f t="shared" si="12"/>
        <v>53</v>
      </c>
      <c r="AC25" s="2">
        <f t="shared" si="12"/>
        <v>55</v>
      </c>
      <c r="AD25" s="2">
        <f t="shared" si="12"/>
        <v>57</v>
      </c>
      <c r="AE25" s="2">
        <f t="shared" si="12"/>
        <v>59</v>
      </c>
      <c r="AF25" s="2">
        <f>AE25+2-6.6</f>
        <v>54.4</v>
      </c>
      <c r="AG25" s="2">
        <f t="shared" si="12"/>
        <v>56.4</v>
      </c>
      <c r="AH25" s="2">
        <f t="shared" si="12"/>
        <v>58.4</v>
      </c>
      <c r="AI25" s="2">
        <f t="shared" si="12"/>
        <v>60.4</v>
      </c>
      <c r="AJ25" s="2">
        <f t="shared" si="12"/>
        <v>62.4</v>
      </c>
      <c r="AK25" s="2">
        <f t="shared" si="12"/>
        <v>64.400000000000006</v>
      </c>
      <c r="AL25" s="2">
        <f t="shared" si="12"/>
        <v>66.400000000000006</v>
      </c>
      <c r="AM25" s="2">
        <f t="shared" si="12"/>
        <v>68.400000000000006</v>
      </c>
      <c r="AN25" s="2">
        <f t="shared" si="12"/>
        <v>70.400000000000006</v>
      </c>
      <c r="AO25" s="2">
        <f t="shared" si="12"/>
        <v>72.400000000000006</v>
      </c>
      <c r="AP25" s="2">
        <f t="shared" si="12"/>
        <v>74.400000000000006</v>
      </c>
      <c r="AQ25" s="2">
        <f t="shared" si="12"/>
        <v>76.400000000000006</v>
      </c>
      <c r="AR25" s="2">
        <f t="shared" si="12"/>
        <v>78.400000000000006</v>
      </c>
      <c r="AS25" s="2">
        <f t="shared" si="12"/>
        <v>80.400000000000006</v>
      </c>
      <c r="AT25" s="2">
        <f t="shared" si="12"/>
        <v>82.4</v>
      </c>
      <c r="AU25" s="2">
        <f t="shared" si="12"/>
        <v>84.4</v>
      </c>
      <c r="AV25" s="2">
        <f t="shared" si="12"/>
        <v>86.4</v>
      </c>
      <c r="AW25" s="2">
        <f t="shared" si="12"/>
        <v>88.4</v>
      </c>
      <c r="AX25" s="2">
        <f t="shared" si="12"/>
        <v>90.4</v>
      </c>
      <c r="AY25" s="2">
        <f t="shared" si="12"/>
        <v>92.4</v>
      </c>
      <c r="AZ25" s="2">
        <f>AY25+2-6</f>
        <v>88.4</v>
      </c>
      <c r="BA25" s="2">
        <f t="shared" si="12"/>
        <v>90.4</v>
      </c>
      <c r="BB25" s="2">
        <f t="shared" si="12"/>
        <v>92.4</v>
      </c>
      <c r="BC25" s="2">
        <f t="shared" si="12"/>
        <v>94.4</v>
      </c>
      <c r="BD25" s="2">
        <f t="shared" si="12"/>
        <v>96.4</v>
      </c>
      <c r="BE25" s="2">
        <f t="shared" si="12"/>
        <v>98.4</v>
      </c>
      <c r="BF25" s="2">
        <f t="shared" si="12"/>
        <v>100.4</v>
      </c>
      <c r="BG25" s="2">
        <f>BF25+5.1</f>
        <v>105.5</v>
      </c>
      <c r="BH25" s="2">
        <f t="shared" si="13"/>
        <v>110.6</v>
      </c>
      <c r="BI25" s="2">
        <f t="shared" si="13"/>
        <v>115.69999999999999</v>
      </c>
      <c r="BJ25" s="2">
        <f t="shared" si="13"/>
        <v>120.79999999999998</v>
      </c>
      <c r="BK25" s="2">
        <f t="shared" si="13"/>
        <v>125.89999999999998</v>
      </c>
      <c r="BL25" s="2">
        <f t="shared" si="13"/>
        <v>130.99999999999997</v>
      </c>
      <c r="BM25" s="2">
        <f t="shared" si="13"/>
        <v>136.09999999999997</v>
      </c>
      <c r="BN25" s="2">
        <f t="shared" si="13"/>
        <v>141.19999999999996</v>
      </c>
      <c r="BO25" s="2">
        <f>BN25+4.1</f>
        <v>145.29999999999995</v>
      </c>
      <c r="BP25" s="2">
        <f t="shared" si="14"/>
        <v>149.39999999999995</v>
      </c>
      <c r="BQ25" s="2">
        <f t="shared" si="14"/>
        <v>153.49999999999994</v>
      </c>
      <c r="BR25" s="2">
        <f t="shared" si="14"/>
        <v>157.59999999999994</v>
      </c>
      <c r="BS25" s="2">
        <f t="shared" si="14"/>
        <v>161.69999999999993</v>
      </c>
      <c r="BT25" s="2">
        <f>BS25+4.1-15.6</f>
        <v>150.19999999999993</v>
      </c>
      <c r="BU25" s="2">
        <f t="shared" si="14"/>
        <v>154.29999999999993</v>
      </c>
      <c r="BV25" s="2">
        <f t="shared" si="14"/>
        <v>158.39999999999992</v>
      </c>
      <c r="BW25" s="2">
        <f>BV25+3.5</f>
        <v>161.89999999999992</v>
      </c>
      <c r="BX25" s="2">
        <f t="shared" si="15"/>
        <v>165.39999999999992</v>
      </c>
      <c r="BY25" s="2">
        <f t="shared" si="15"/>
        <v>168.89999999999992</v>
      </c>
      <c r="BZ25" s="2">
        <f t="shared" si="15"/>
        <v>172.39999999999992</v>
      </c>
      <c r="CA25" s="2">
        <f t="shared" si="15"/>
        <v>175.89999999999992</v>
      </c>
      <c r="CB25" s="2">
        <f t="shared" si="15"/>
        <v>179.39999999999992</v>
      </c>
      <c r="CC25" s="2">
        <f t="shared" si="15"/>
        <v>182.89999999999992</v>
      </c>
      <c r="CD25" s="2">
        <f t="shared" si="15"/>
        <v>186.39999999999992</v>
      </c>
      <c r="CE25" s="2">
        <f t="shared" si="15"/>
        <v>189.89999999999992</v>
      </c>
      <c r="CF25" s="2">
        <f>CE25+3.2</f>
        <v>193.09999999999991</v>
      </c>
      <c r="CG25" s="2">
        <f t="shared" si="16"/>
        <v>196.2999999999999</v>
      </c>
      <c r="CH25" s="2">
        <f t="shared" si="16"/>
        <v>199.49999999999989</v>
      </c>
      <c r="CI25" s="2">
        <f t="shared" si="16"/>
        <v>202.69999999999987</v>
      </c>
      <c r="CJ25" s="2">
        <f t="shared" si="16"/>
        <v>205.89999999999986</v>
      </c>
      <c r="CK25" s="2">
        <f t="shared" si="16"/>
        <v>209.09999999999985</v>
      </c>
      <c r="CL25" s="2">
        <f t="shared" si="16"/>
        <v>212.29999999999984</v>
      </c>
      <c r="CM25" s="2">
        <f t="shared" si="16"/>
        <v>215.49999999999983</v>
      </c>
      <c r="CN25" s="2">
        <f>CM25+3.2-18</f>
        <v>200.69999999999982</v>
      </c>
      <c r="CO25" s="2">
        <f>CN25+3.1</f>
        <v>203.79999999999981</v>
      </c>
      <c r="CP25" s="2">
        <f t="shared" si="17"/>
        <v>206.89999999999981</v>
      </c>
      <c r="CQ25" s="2">
        <f t="shared" si="17"/>
        <v>209.9999999999998</v>
      </c>
      <c r="CR25" s="2">
        <f t="shared" si="17"/>
        <v>213.0999999999998</v>
      </c>
      <c r="CS25" s="2">
        <f t="shared" si="17"/>
        <v>216.19999999999979</v>
      </c>
      <c r="CT25" s="2">
        <f t="shared" si="17"/>
        <v>219.29999999999978</v>
      </c>
      <c r="CU25" s="2">
        <f t="shared" si="17"/>
        <v>222.39999999999978</v>
      </c>
      <c r="CV25" s="2">
        <f t="shared" si="17"/>
        <v>225.49999999999977</v>
      </c>
      <c r="CW25" s="2">
        <f t="shared" si="17"/>
        <v>228.59999999999977</v>
      </c>
      <c r="CX25" s="2">
        <f t="shared" si="17"/>
        <v>231.69999999999976</v>
      </c>
      <c r="CY25" s="2">
        <f>CX25+3.5</f>
        <v>235.19999999999976</v>
      </c>
      <c r="CZ25" s="2">
        <f t="shared" si="18"/>
        <v>238.69999999999976</v>
      </c>
      <c r="DA25" s="2">
        <f t="shared" si="18"/>
        <v>242.19999999999976</v>
      </c>
      <c r="DB25" s="2">
        <f t="shared" si="18"/>
        <v>245.69999999999976</v>
      </c>
      <c r="DC25" s="2">
        <f t="shared" si="18"/>
        <v>249.19999999999976</v>
      </c>
      <c r="DD25" s="2">
        <f t="shared" si="18"/>
        <v>252.69999999999976</v>
      </c>
      <c r="DE25" s="2">
        <f t="shared" si="18"/>
        <v>256.19999999999976</v>
      </c>
      <c r="DF25" s="2">
        <f t="shared" si="18"/>
        <v>259.69999999999976</v>
      </c>
      <c r="DG25" s="2">
        <f>DF25+3.5</f>
        <v>263.19999999999976</v>
      </c>
      <c r="DH25" s="2">
        <f t="shared" si="18"/>
        <v>266.69999999999976</v>
      </c>
      <c r="DI25" s="50"/>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row>
    <row r="26" spans="1:177" x14ac:dyDescent="0.35">
      <c r="A26" s="4" t="s">
        <v>194</v>
      </c>
      <c r="B26" s="87">
        <f>EXP(-1.0587+0.8836*LN(B22)+0.284)</f>
        <v>0.14150607515138516</v>
      </c>
      <c r="C26" s="87">
        <f>EXP(-1.0587+0.8836*LN(C22)+0.284)</f>
        <v>1.704131301023132</v>
      </c>
      <c r="D26" s="87">
        <f t="shared" ref="D26:AF26" si="19">EXP(-1.0587+0.8836*LN(D22)+0.284)</f>
        <v>3.0608264588994611</v>
      </c>
      <c r="E26" s="87">
        <f>EXP(-1.0587+0.8836*LN(E22)+0.284)</f>
        <v>4.3397840660114504</v>
      </c>
      <c r="F26" s="87">
        <f t="shared" si="19"/>
        <v>5.5701399772658871</v>
      </c>
      <c r="G26" s="87">
        <f t="shared" si="19"/>
        <v>6.7653778472706572</v>
      </c>
      <c r="H26" s="87">
        <f t="shared" si="19"/>
        <v>7.9332658867896191</v>
      </c>
      <c r="I26" s="87">
        <f t="shared" si="19"/>
        <v>9.0788417768605889</v>
      </c>
      <c r="J26" s="87">
        <f t="shared" si="19"/>
        <v>10.205628485036994</v>
      </c>
      <c r="K26" s="87">
        <f t="shared" si="19"/>
        <v>11.316222893747959</v>
      </c>
      <c r="L26" s="87">
        <f t="shared" si="19"/>
        <v>12.412615270831397</v>
      </c>
      <c r="M26" s="87">
        <f t="shared" si="19"/>
        <v>13.496377474561989</v>
      </c>
      <c r="N26" s="87">
        <f t="shared" si="19"/>
        <v>14.568780924051881</v>
      </c>
      <c r="O26" s="87">
        <f t="shared" si="19"/>
        <v>15.63087423666753</v>
      </c>
      <c r="P26" s="87">
        <f t="shared" si="19"/>
        <v>16.683536371931279</v>
      </c>
      <c r="Q26" s="87">
        <f t="shared" si="19"/>
        <v>17.727514209814213</v>
      </c>
      <c r="R26" s="87">
        <f t="shared" si="19"/>
        <v>18.763449857284417</v>
      </c>
      <c r="S26" s="87">
        <f t="shared" si="19"/>
        <v>19.79190095756972</v>
      </c>
      <c r="T26" s="87">
        <f t="shared" si="19"/>
        <v>20.813356101293081</v>
      </c>
      <c r="U26" s="87">
        <f t="shared" si="19"/>
        <v>21.82824672717317</v>
      </c>
      <c r="V26" s="87">
        <f t="shared" si="19"/>
        <v>22.836956454462015</v>
      </c>
      <c r="W26" s="87">
        <f t="shared" si="19"/>
        <v>23.83982850195186</v>
      </c>
      <c r="X26" s="87">
        <f t="shared" si="19"/>
        <v>24.837171658195643</v>
      </c>
      <c r="Y26" s="87">
        <f t="shared" si="19"/>
        <v>25.829265138771547</v>
      </c>
      <c r="Z26" s="87">
        <f t="shared" si="19"/>
        <v>26.816362577368754</v>
      </c>
      <c r="AA26" s="87">
        <f t="shared" si="19"/>
        <v>27.798695334758538</v>
      </c>
      <c r="AB26" s="87">
        <f t="shared" si="19"/>
        <v>28.776475264810017</v>
      </c>
      <c r="AC26" s="87">
        <f t="shared" si="19"/>
        <v>29.749897044064255</v>
      </c>
      <c r="AD26" s="87">
        <f t="shared" si="19"/>
        <v>30.719140147319209</v>
      </c>
      <c r="AE26" s="87">
        <f t="shared" si="19"/>
        <v>31.684370533714876</v>
      </c>
      <c r="AF26" s="87">
        <f t="shared" si="19"/>
        <v>24.271073746489225</v>
      </c>
      <c r="AG26" s="87">
        <f t="shared" ref="AG26:CR26" si="20">EXP(-1.0587+0.8836*LN(AG22)+0.284)</f>
        <v>25.266117784416895</v>
      </c>
      <c r="AH26" s="87">
        <f t="shared" si="20"/>
        <v>26.256024578693971</v>
      </c>
      <c r="AI26" s="87">
        <f t="shared" si="20"/>
        <v>27.241037775757036</v>
      </c>
      <c r="AJ26" s="87">
        <f t="shared" si="20"/>
        <v>28.221380003028763</v>
      </c>
      <c r="AK26" s="87">
        <f t="shared" si="20"/>
        <v>29.197255435015713</v>
      </c>
      <c r="AL26" s="87">
        <f t="shared" si="20"/>
        <v>30.168851961109642</v>
      </c>
      <c r="AM26" s="87">
        <f>EXP(-1.0587+0.8836*LN(AM22)+0.284)</f>
        <v>31.136343029154972</v>
      </c>
      <c r="AN26" s="87">
        <f t="shared" si="20"/>
        <v>32.099889222957039</v>
      </c>
      <c r="AO26" s="87">
        <f t="shared" si="20"/>
        <v>33.059639619847047</v>
      </c>
      <c r="AP26" s="87">
        <f t="shared" si="20"/>
        <v>34.015732965176682</v>
      </c>
      <c r="AQ26" s="87">
        <f t="shared" si="20"/>
        <v>34.968298693458522</v>
      </c>
      <c r="AR26" s="87">
        <f t="shared" si="20"/>
        <v>35.917457820277995</v>
      </c>
      <c r="AS26" s="87">
        <f t="shared" si="20"/>
        <v>37.628556069874236</v>
      </c>
      <c r="AT26" s="87">
        <f t="shared" si="20"/>
        <v>39.329461030729689</v>
      </c>
      <c r="AU26" s="87">
        <f t="shared" si="20"/>
        <v>41.020726952995496</v>
      </c>
      <c r="AV26" s="87">
        <f t="shared" si="20"/>
        <v>42.702853590268191</v>
      </c>
      <c r="AW26" s="87">
        <f t="shared" si="20"/>
        <v>44.376293741823332</v>
      </c>
      <c r="AX26" s="87">
        <f t="shared" si="20"/>
        <v>46.041459474321854</v>
      </c>
      <c r="AY26" s="87">
        <f t="shared" si="20"/>
        <v>47.614066314604706</v>
      </c>
      <c r="AZ26" s="87">
        <f t="shared" si="20"/>
        <v>42.027190005110008</v>
      </c>
      <c r="BA26" s="87">
        <f t="shared" si="20"/>
        <v>43.618429968643994</v>
      </c>
      <c r="BB26" s="87">
        <f t="shared" si="20"/>
        <v>45.202057356408396</v>
      </c>
      <c r="BC26" s="87">
        <f t="shared" si="20"/>
        <v>46.778407757788379</v>
      </c>
      <c r="BD26" s="87">
        <f t="shared" si="20"/>
        <v>48.347789775955881</v>
      </c>
      <c r="BE26" s="87">
        <f t="shared" si="20"/>
        <v>49.910488106991181</v>
      </c>
      <c r="BF26" s="87">
        <f t="shared" si="20"/>
        <v>51.466766171245098</v>
      </c>
      <c r="BG26" s="87">
        <f t="shared" si="20"/>
        <v>53.725845118593725</v>
      </c>
      <c r="BH26" s="87">
        <f t="shared" si="20"/>
        <v>55.972475176323982</v>
      </c>
      <c r="BI26" s="87">
        <f t="shared" si="20"/>
        <v>58.207284760853135</v>
      </c>
      <c r="BJ26" s="87">
        <f t="shared" si="20"/>
        <v>60.430844736165746</v>
      </c>
      <c r="BK26" s="87">
        <f t="shared" si="20"/>
        <v>62.64367585521147</v>
      </c>
      <c r="BL26" s="87">
        <f t="shared" si="20"/>
        <v>64.846254980731615</v>
      </c>
      <c r="BM26" s="87">
        <f t="shared" si="20"/>
        <v>67.039020324874201</v>
      </c>
      <c r="BN26" s="87">
        <f t="shared" si="20"/>
        <v>69.222375892901354</v>
      </c>
      <c r="BO26" s="87">
        <f t="shared" si="20"/>
        <v>71.03405682045252</v>
      </c>
      <c r="BP26" s="87">
        <f t="shared" si="20"/>
        <v>72.839670471114019</v>
      </c>
      <c r="BQ26" s="87">
        <f t="shared" si="20"/>
        <v>74.639406300405696</v>
      </c>
      <c r="BR26" s="87">
        <f t="shared" si="20"/>
        <v>76.433442852745017</v>
      </c>
      <c r="BS26" s="87">
        <f t="shared" si="20"/>
        <v>78.221948662339599</v>
      </c>
      <c r="BT26" s="87">
        <f t="shared" si="20"/>
        <v>62.466288752346152</v>
      </c>
      <c r="BU26" s="87">
        <f t="shared" si="20"/>
        <v>64.30226333833653</v>
      </c>
      <c r="BV26" s="87">
        <f t="shared" si="20"/>
        <v>66.131357035086538</v>
      </c>
      <c r="BW26" s="87">
        <f t="shared" si="20"/>
        <v>67.694415802554104</v>
      </c>
      <c r="BX26" s="87">
        <f t="shared" si="20"/>
        <v>69.252734089993353</v>
      </c>
      <c r="BY26" s="87">
        <f t="shared" si="20"/>
        <v>70.806446300549382</v>
      </c>
      <c r="BZ26" s="87">
        <f t="shared" si="20"/>
        <v>72.355679791659909</v>
      </c>
      <c r="CA26" s="87">
        <f t="shared" si="20"/>
        <v>73.900555405827802</v>
      </c>
      <c r="CB26" s="87">
        <f t="shared" si="20"/>
        <v>75.441187949821568</v>
      </c>
      <c r="CC26" s="87">
        <f t="shared" si="20"/>
        <v>76.977686628387843</v>
      </c>
      <c r="CD26" s="87">
        <f t="shared" si="20"/>
        <v>78.510155437722034</v>
      </c>
      <c r="CE26" s="87">
        <f t="shared" si="20"/>
        <v>80.038693523237754</v>
      </c>
      <c r="CF26" s="87">
        <f t="shared" si="20"/>
        <v>81.476243738649899</v>
      </c>
      <c r="CG26" s="87">
        <f t="shared" si="20"/>
        <v>82.910460218652105</v>
      </c>
      <c r="CH26" s="87">
        <f t="shared" si="20"/>
        <v>84.341415668314824</v>
      </c>
      <c r="CI26" s="87">
        <f t="shared" si="20"/>
        <v>85.769179844222521</v>
      </c>
      <c r="CJ26" s="87">
        <f t="shared" si="20"/>
        <v>87.193819727244374</v>
      </c>
      <c r="CK26" s="87">
        <f t="shared" si="20"/>
        <v>88.615399682178349</v>
      </c>
      <c r="CL26" s="87">
        <f t="shared" si="20"/>
        <v>90.033981605486758</v>
      </c>
      <c r="CM26" s="87">
        <f t="shared" si="20"/>
        <v>91.449625062207147</v>
      </c>
      <c r="CN26" s="87">
        <f t="shared" si="20"/>
        <v>73.027307567075994</v>
      </c>
      <c r="CO26" s="87">
        <f t="shared" si="20"/>
        <v>74.466044238002567</v>
      </c>
      <c r="CP26" s="87">
        <f t="shared" si="20"/>
        <v>75.901128073638844</v>
      </c>
      <c r="CQ26" s="87">
        <f t="shared" si="20"/>
        <v>77.332646131401219</v>
      </c>
      <c r="CR26" s="87">
        <f t="shared" si="20"/>
        <v>78.760681617334598</v>
      </c>
      <c r="CS26" s="87">
        <f t="shared" ref="CS26:DH26" si="21">EXP(-1.0587+0.8836*LN(CS22)+0.284)</f>
        <v>80.185314131879082</v>
      </c>
      <c r="CT26" s="87">
        <f t="shared" si="21"/>
        <v>81.60661989533746</v>
      </c>
      <c r="CU26" s="87">
        <f t="shared" si="21"/>
        <v>83.024671955082482</v>
      </c>
      <c r="CV26" s="87">
        <f t="shared" si="21"/>
        <v>84.439540376311214</v>
      </c>
      <c r="CW26" s="87">
        <f t="shared" si="21"/>
        <v>85.85129241793517</v>
      </c>
      <c r="CX26" s="87">
        <f t="shared" si="21"/>
        <v>87.259992695022987</v>
      </c>
      <c r="CY26" s="87">
        <f t="shared" si="21"/>
        <v>88.7286153413758</v>
      </c>
      <c r="CZ26" s="87">
        <f t="shared" si="21"/>
        <v>90.194042538597856</v>
      </c>
      <c r="DA26" s="87">
        <f t="shared" si="21"/>
        <v>91.636921435873319</v>
      </c>
      <c r="DB26" s="87">
        <f t="shared" si="21"/>
        <v>93.076813518914392</v>
      </c>
      <c r="DC26" s="87">
        <f t="shared" si="21"/>
        <v>94.513777054184345</v>
      </c>
      <c r="DD26" s="87">
        <f t="shared" si="21"/>
        <v>95.947868190254155</v>
      </c>
      <c r="DE26" s="87">
        <f t="shared" si="21"/>
        <v>97.379141069249997</v>
      </c>
      <c r="DF26" s="87">
        <f t="shared" si="21"/>
        <v>98.807647930681284</v>
      </c>
      <c r="DG26" s="87">
        <f t="shared" si="21"/>
        <v>100.23343920828928</v>
      </c>
      <c r="DH26" s="117">
        <f t="shared" si="21"/>
        <v>101.65656362048662</v>
      </c>
      <c r="DI26" s="118"/>
    </row>
    <row r="27" spans="1:177" ht="31.5" customHeight="1" x14ac:dyDescent="0.35">
      <c r="A27" s="4" t="s">
        <v>9</v>
      </c>
      <c r="B27" s="13">
        <f t="shared" ref="B27:AF27" si="22">IF($B$15="Culture agricole",(45+25*(1-(EXP(-0.0175*B19)))),$B$43)</f>
        <v>45</v>
      </c>
      <c r="C27" s="13">
        <f t="shared" si="22"/>
        <v>45.433694108373167</v>
      </c>
      <c r="D27" s="13">
        <f t="shared" si="22"/>
        <v>45.859864593560836</v>
      </c>
      <c r="E27" s="13">
        <f t="shared" si="22"/>
        <v>46.278641973604969</v>
      </c>
      <c r="F27" s="13">
        <f t="shared" si="22"/>
        <v>46.690154502351291</v>
      </c>
      <c r="G27" s="13">
        <f t="shared" si="22"/>
        <v>47.094528208728065</v>
      </c>
      <c r="H27" s="13">
        <f t="shared" si="22"/>
        <v>47.491886935343359</v>
      </c>
      <c r="I27" s="13">
        <f t="shared" si="22"/>
        <v>47.882352376412911</v>
      </c>
      <c r="J27" s="13">
        <f t="shared" si="22"/>
        <v>48.266044115029857</v>
      </c>
      <c r="K27" s="13">
        <f t="shared" si="22"/>
        <v>48.643079659788015</v>
      </c>
      <c r="L27" s="13">
        <f t="shared" si="22"/>
        <v>49.013574480769819</v>
      </c>
      <c r="M27" s="13">
        <f t="shared" si="22"/>
        <v>49.377642044909919</v>
      </c>
      <c r="N27" s="13">
        <f t="shared" si="22"/>
        <v>49.735393850745325</v>
      </c>
      <c r="O27" s="13">
        <f t="shared" si="22"/>
        <v>50.086939462562704</v>
      </c>
      <c r="P27" s="13">
        <f t="shared" si="22"/>
        <v>50.432386543953299</v>
      </c>
      <c r="Q27" s="13">
        <f t="shared" si="22"/>
        <v>50.771840890785739</v>
      </c>
      <c r="R27" s="13">
        <f t="shared" si="22"/>
        <v>51.105406463606862</v>
      </c>
      <c r="S27" s="13">
        <f t="shared" si="22"/>
        <v>51.433185419480445</v>
      </c>
      <c r="T27" s="13">
        <f t="shared" si="22"/>
        <v>51.755278143273578</v>
      </c>
      <c r="U27" s="13">
        <f t="shared" si="22"/>
        <v>52.07178327840036</v>
      </c>
      <c r="V27" s="13">
        <f t="shared" si="22"/>
        <v>52.382797757032165</v>
      </c>
      <c r="W27" s="13">
        <f t="shared" si="22"/>
        <v>52.688416829783918</v>
      </c>
      <c r="X27" s="13">
        <f t="shared" si="22"/>
        <v>52.988734094885309</v>
      </c>
      <c r="Y27" s="13">
        <f t="shared" si="22"/>
        <v>53.283841526846018</v>
      </c>
      <c r="Z27" s="13">
        <f t="shared" si="22"/>
        <v>53.573829504623582</v>
      </c>
      <c r="AA27" s="13">
        <f t="shared" si="22"/>
        <v>53.858786839302695</v>
      </c>
      <c r="AB27" s="13">
        <f t="shared" si="22"/>
        <v>54.138800801294295</v>
      </c>
      <c r="AC27" s="13">
        <f t="shared" si="22"/>
        <v>54.413957147062774</v>
      </c>
      <c r="AD27" s="13">
        <f t="shared" si="22"/>
        <v>54.684340145389598</v>
      </c>
      <c r="AE27" s="13">
        <f t="shared" si="22"/>
        <v>54.950032603181285</v>
      </c>
      <c r="AF27" s="13">
        <f t="shared" si="22"/>
        <v>55.211115890829625</v>
      </c>
      <c r="AG27" s="13">
        <f t="shared" ref="AG27:CR27" si="23">IF($B$15="Culture agricole",(45+25*(1-(EXP(-0.0175*AG19)))),$B$43)</f>
        <v>55.467669967132053</v>
      </c>
      <c r="AH27" s="13">
        <f t="shared" si="23"/>
        <v>55.719773403779627</v>
      </c>
      <c r="AI27" s="13">
        <f t="shared" si="23"/>
        <v>55.96750340942021</v>
      </c>
      <c r="AJ27" s="13">
        <f t="shared" si="23"/>
        <v>56.210935853304257</v>
      </c>
      <c r="AK27" s="13">
        <f t="shared" si="23"/>
        <v>56.450145288520318</v>
      </c>
      <c r="AL27" s="13">
        <f t="shared" si="23"/>
        <v>56.68520497482757</v>
      </c>
      <c r="AM27" s="13">
        <f t="shared" si="23"/>
        <v>56.916186901092118</v>
      </c>
      <c r="AN27" s="13">
        <f t="shared" si="23"/>
        <v>57.143161807334202</v>
      </c>
      <c r="AO27" s="13">
        <f t="shared" si="23"/>
        <v>57.366199206392857</v>
      </c>
      <c r="AP27" s="13">
        <f t="shared" si="23"/>
        <v>57.585367405214768</v>
      </c>
      <c r="AQ27" s="13">
        <f t="shared" si="23"/>
        <v>57.800733525773801</v>
      </c>
      <c r="AR27" s="13">
        <f t="shared" si="23"/>
        <v>58.012363525627649</v>
      </c>
      <c r="AS27" s="13">
        <f t="shared" si="23"/>
        <v>58.220322218117829</v>
      </c>
      <c r="AT27" s="13">
        <f t="shared" si="23"/>
        <v>58.424673292219296</v>
      </c>
      <c r="AU27" s="13">
        <f t="shared" si="23"/>
        <v>58.625479332045664</v>
      </c>
      <c r="AV27" s="13">
        <f t="shared" si="23"/>
        <v>58.82280183601609</v>
      </c>
      <c r="AW27" s="13">
        <f t="shared" si="23"/>
        <v>59.016701235689659</v>
      </c>
      <c r="AX27" s="13">
        <f t="shared" si="23"/>
        <v>59.207236914273011</v>
      </c>
      <c r="AY27" s="13">
        <f t="shared" si="23"/>
        <v>59.394467224806895</v>
      </c>
      <c r="AZ27" s="13">
        <f t="shared" si="23"/>
        <v>59.578449508037295</v>
      </c>
      <c r="BA27" s="13">
        <f t="shared" si="23"/>
        <v>59.759240109976403</v>
      </c>
      <c r="BB27" s="13">
        <f t="shared" si="23"/>
        <v>59.936894399159101</v>
      </c>
      <c r="BC27" s="13">
        <f t="shared" si="23"/>
        <v>60.111466783599973</v>
      </c>
      <c r="BD27" s="13">
        <f t="shared" si="23"/>
        <v>60.283010727456173</v>
      </c>
      <c r="BE27" s="13">
        <f t="shared" si="23"/>
        <v>60.45157876740128</v>
      </c>
      <c r="BF27" s="13">
        <f t="shared" si="23"/>
        <v>60.617222528715011</v>
      </c>
      <c r="BG27" s="13">
        <f t="shared" si="23"/>
        <v>60.77999274109392</v>
      </c>
      <c r="BH27" s="13">
        <f t="shared" si="23"/>
        <v>60.939939254187742</v>
      </c>
      <c r="BI27" s="13">
        <f t="shared" si="23"/>
        <v>61.097111052866211</v>
      </c>
      <c r="BJ27" s="13">
        <f t="shared" si="23"/>
        <v>61.251556272221123</v>
      </c>
      <c r="BK27" s="13">
        <f t="shared" si="23"/>
        <v>61.403322212307998</v>
      </c>
      <c r="BL27" s="13">
        <f t="shared" si="23"/>
        <v>61.55245535263218</v>
      </c>
      <c r="BM27" s="13">
        <f t="shared" si="23"/>
        <v>61.699001366383484</v>
      </c>
      <c r="BN27" s="13">
        <f t="shared" si="23"/>
        <v>61.843005134424018</v>
      </c>
      <c r="BO27" s="13">
        <f t="shared" si="23"/>
        <v>61.984510759033235</v>
      </c>
      <c r="BP27" s="13">
        <f t="shared" si="23"/>
        <v>62.123561577414662</v>
      </c>
      <c r="BQ27" s="13">
        <f t="shared" si="23"/>
        <v>62.26020017496824</v>
      </c>
      <c r="BR27" s="13">
        <f t="shared" si="23"/>
        <v>62.3944683983324</v>
      </c>
      <c r="BS27" s="13">
        <f t="shared" si="23"/>
        <v>62.526407368199969</v>
      </c>
      <c r="BT27" s="13">
        <f t="shared" si="23"/>
        <v>62.656057491911682</v>
      </c>
      <c r="BU27" s="13">
        <f t="shared" si="23"/>
        <v>62.783458475831253</v>
      </c>
      <c r="BV27" s="13">
        <f t="shared" si="23"/>
        <v>62.908649337505743</v>
      </c>
      <c r="BW27" s="13">
        <f t="shared" si="23"/>
        <v>63.031668417615023</v>
      </c>
      <c r="BX27" s="13">
        <f t="shared" si="23"/>
        <v>63.152553391713859</v>
      </c>
      <c r="BY27" s="13">
        <f t="shared" si="23"/>
        <v>63.271341281770404</v>
      </c>
      <c r="BZ27" s="13">
        <f t="shared" si="23"/>
        <v>63.388068467504397</v>
      </c>
      <c r="CA27" s="13">
        <f t="shared" si="23"/>
        <v>63.50277069752881</v>
      </c>
      <c r="CB27" s="13">
        <f t="shared" si="23"/>
        <v>63.615483100298057</v>
      </c>
      <c r="CC27" s="13">
        <f t="shared" si="23"/>
        <v>63.726240194866449</v>
      </c>
      <c r="CD27" s="13">
        <f t="shared" si="23"/>
        <v>63.835075901459838</v>
      </c>
      <c r="CE27" s="13">
        <f t="shared" si="23"/>
        <v>63.942023551864025</v>
      </c>
      <c r="CF27" s="13">
        <f t="shared" si="23"/>
        <v>64.047115899632828</v>
      </c>
      <c r="CG27" s="13">
        <f t="shared" si="23"/>
        <v>64.150385130119133</v>
      </c>
      <c r="CH27" s="13">
        <f t="shared" si="23"/>
        <v>64.251862870331905</v>
      </c>
      <c r="CI27" s="13">
        <f t="shared" si="23"/>
        <v>64.35158019862223</v>
      </c>
      <c r="CJ27" s="13">
        <f t="shared" si="23"/>
        <v>64.449567654201275</v>
      </c>
      <c r="CK27" s="13">
        <f t="shared" si="23"/>
        <v>64.545855246493133</v>
      </c>
      <c r="CL27" s="13">
        <f t="shared" si="23"/>
        <v>64.640472464325555</v>
      </c>
      <c r="CM27" s="13">
        <f t="shared" si="23"/>
        <v>64.733448284960986</v>
      </c>
      <c r="CN27" s="13">
        <f t="shared" si="23"/>
        <v>64.824811182971189</v>
      </c>
      <c r="CO27" s="13">
        <f t="shared" si="23"/>
        <v>64.914589138957751</v>
      </c>
      <c r="CP27" s="13">
        <f t="shared" si="23"/>
        <v>65.002809648121385</v>
      </c>
      <c r="CQ27" s="13">
        <f t="shared" si="23"/>
        <v>65.08949972868254</v>
      </c>
      <c r="CR27" s="13">
        <f t="shared" si="23"/>
        <v>65.17468593015596</v>
      </c>
      <c r="CS27" s="13">
        <f t="shared" ref="CS27:DH27" si="24">IF($B$15="Culture agricole",(45+25*(1-(EXP(-0.0175*CS19)))),$B$43)</f>
        <v>65.258394341481619</v>
      </c>
      <c r="CT27" s="13">
        <f t="shared" si="24"/>
        <v>65.340650599014751</v>
      </c>
      <c r="CU27" s="13">
        <f t="shared" si="24"/>
        <v>65.421479894377129</v>
      </c>
      <c r="CV27" s="13">
        <f t="shared" si="24"/>
        <v>65.500906982172197</v>
      </c>
      <c r="CW27" s="13">
        <f t="shared" si="24"/>
        <v>65.578956187566391</v>
      </c>
      <c r="CX27" s="13">
        <f t="shared" si="24"/>
        <v>65.655651413738866</v>
      </c>
      <c r="CY27" s="13">
        <f t="shared" si="24"/>
        <v>65.731016149202105</v>
      </c>
      <c r="CZ27" s="13">
        <f t="shared" si="24"/>
        <v>65.805073474995353</v>
      </c>
      <c r="DA27" s="13">
        <f t="shared" si="24"/>
        <v>65.877846071753467</v>
      </c>
      <c r="DB27" s="13">
        <f t="shared" si="24"/>
        <v>65.949356226652981</v>
      </c>
      <c r="DC27" s="13">
        <f t="shared" si="24"/>
        <v>66.019625840237751</v>
      </c>
      <c r="DD27" s="13">
        <f t="shared" si="24"/>
        <v>66.088676433126125</v>
      </c>
      <c r="DE27" s="13">
        <f t="shared" si="24"/>
        <v>66.156529152601905</v>
      </c>
      <c r="DF27" s="13">
        <f t="shared" si="24"/>
        <v>66.223204779090736</v>
      </c>
      <c r="DG27" s="13">
        <f t="shared" si="24"/>
        <v>66.288723732524346</v>
      </c>
      <c r="DH27" s="14">
        <f t="shared" si="24"/>
        <v>66.353106078594323</v>
      </c>
      <c r="DI27" s="118"/>
    </row>
    <row r="28" spans="1:177" x14ac:dyDescent="0.35">
      <c r="A28" s="4" t="s">
        <v>179</v>
      </c>
      <c r="B28" s="87">
        <f t="shared" ref="B28:AF28" si="25">B19*(($B$39-$B$38)/30)</f>
        <v>0</v>
      </c>
      <c r="C28" s="87">
        <f t="shared" si="25"/>
        <v>0.33333333333333331</v>
      </c>
      <c r="D28" s="87">
        <f t="shared" si="25"/>
        <v>0.66666666666666663</v>
      </c>
      <c r="E28" s="87">
        <f t="shared" si="25"/>
        <v>1</v>
      </c>
      <c r="F28" s="87">
        <f t="shared" si="25"/>
        <v>1.3333333333333333</v>
      </c>
      <c r="G28" s="87">
        <f t="shared" si="25"/>
        <v>1.6666666666666665</v>
      </c>
      <c r="H28" s="87">
        <f t="shared" si="25"/>
        <v>2</v>
      </c>
      <c r="I28" s="87">
        <f t="shared" si="25"/>
        <v>2.333333333333333</v>
      </c>
      <c r="J28" s="87">
        <f t="shared" si="25"/>
        <v>2.6666666666666665</v>
      </c>
      <c r="K28" s="87">
        <f t="shared" si="25"/>
        <v>3</v>
      </c>
      <c r="L28" s="87">
        <f t="shared" si="25"/>
        <v>3.333333333333333</v>
      </c>
      <c r="M28" s="87">
        <f t="shared" si="25"/>
        <v>3.6666666666666665</v>
      </c>
      <c r="N28" s="87">
        <f t="shared" si="25"/>
        <v>4</v>
      </c>
      <c r="O28" s="87">
        <f t="shared" si="25"/>
        <v>4.333333333333333</v>
      </c>
      <c r="P28" s="87">
        <f t="shared" si="25"/>
        <v>4.6666666666666661</v>
      </c>
      <c r="Q28" s="87">
        <f t="shared" si="25"/>
        <v>5</v>
      </c>
      <c r="R28" s="87">
        <f t="shared" si="25"/>
        <v>5.333333333333333</v>
      </c>
      <c r="S28" s="87">
        <f t="shared" si="25"/>
        <v>5.6666666666666661</v>
      </c>
      <c r="T28" s="87">
        <f t="shared" si="25"/>
        <v>6</v>
      </c>
      <c r="U28" s="87">
        <f t="shared" si="25"/>
        <v>6.333333333333333</v>
      </c>
      <c r="V28" s="87">
        <f t="shared" si="25"/>
        <v>6.6666666666666661</v>
      </c>
      <c r="W28" s="87">
        <f t="shared" si="25"/>
        <v>7</v>
      </c>
      <c r="X28" s="87">
        <f t="shared" si="25"/>
        <v>7.333333333333333</v>
      </c>
      <c r="Y28" s="87">
        <f t="shared" si="25"/>
        <v>7.6666666666666661</v>
      </c>
      <c r="Z28" s="87">
        <f t="shared" si="25"/>
        <v>8</v>
      </c>
      <c r="AA28" s="87">
        <f t="shared" si="25"/>
        <v>8.3333333333333321</v>
      </c>
      <c r="AB28" s="87">
        <f t="shared" si="25"/>
        <v>8.6666666666666661</v>
      </c>
      <c r="AC28" s="87">
        <f t="shared" si="25"/>
        <v>9</v>
      </c>
      <c r="AD28" s="87">
        <f t="shared" si="25"/>
        <v>9.3333333333333321</v>
      </c>
      <c r="AE28" s="87">
        <f t="shared" si="25"/>
        <v>9.6666666666666661</v>
      </c>
      <c r="AF28" s="87">
        <f t="shared" si="25"/>
        <v>10</v>
      </c>
      <c r="AG28" s="87">
        <v>10</v>
      </c>
      <c r="AH28" s="87">
        <v>10</v>
      </c>
      <c r="AI28" s="87">
        <v>10</v>
      </c>
      <c r="AJ28" s="87">
        <v>10</v>
      </c>
      <c r="AK28" s="87">
        <v>10</v>
      </c>
      <c r="AL28" s="87">
        <v>10</v>
      </c>
      <c r="AM28" s="87">
        <v>10</v>
      </c>
      <c r="AN28" s="87">
        <v>10</v>
      </c>
      <c r="AO28" s="87">
        <v>10</v>
      </c>
      <c r="AP28" s="87">
        <v>10</v>
      </c>
      <c r="AQ28" s="87">
        <v>10</v>
      </c>
      <c r="AR28" s="87">
        <v>10</v>
      </c>
      <c r="AS28" s="87">
        <v>10</v>
      </c>
      <c r="AT28" s="87">
        <v>10</v>
      </c>
      <c r="AU28" s="87">
        <v>10</v>
      </c>
      <c r="AV28" s="87">
        <v>10</v>
      </c>
      <c r="AW28" s="87">
        <v>10</v>
      </c>
      <c r="AX28" s="87">
        <v>10</v>
      </c>
      <c r="AY28" s="87">
        <v>10</v>
      </c>
      <c r="AZ28" s="87">
        <v>10</v>
      </c>
      <c r="BA28" s="87">
        <v>10</v>
      </c>
      <c r="BB28" s="87">
        <v>10</v>
      </c>
      <c r="BC28" s="87">
        <v>10</v>
      </c>
      <c r="BD28" s="87">
        <v>10</v>
      </c>
      <c r="BE28" s="87">
        <v>10</v>
      </c>
      <c r="BF28" s="87">
        <v>10</v>
      </c>
      <c r="BG28" s="87">
        <v>10</v>
      </c>
      <c r="BH28" s="87">
        <v>10</v>
      </c>
      <c r="BI28" s="87">
        <v>10</v>
      </c>
      <c r="BJ28" s="87">
        <v>10</v>
      </c>
      <c r="BK28" s="87">
        <v>10</v>
      </c>
      <c r="BL28" s="87">
        <v>10</v>
      </c>
      <c r="BM28" s="87">
        <v>10</v>
      </c>
      <c r="BN28" s="87">
        <v>10</v>
      </c>
      <c r="BO28" s="87">
        <v>10</v>
      </c>
      <c r="BP28" s="87">
        <v>10</v>
      </c>
      <c r="BQ28" s="87">
        <v>10</v>
      </c>
      <c r="BR28" s="87">
        <v>10</v>
      </c>
      <c r="BS28" s="87">
        <v>10</v>
      </c>
      <c r="BT28" s="87">
        <v>10</v>
      </c>
      <c r="BU28" s="87">
        <v>10</v>
      </c>
      <c r="BV28" s="87">
        <v>10</v>
      </c>
      <c r="BW28" s="87">
        <v>10</v>
      </c>
      <c r="BX28" s="87">
        <v>10</v>
      </c>
      <c r="BY28" s="87">
        <v>10</v>
      </c>
      <c r="BZ28" s="87">
        <v>10</v>
      </c>
      <c r="CA28" s="87">
        <v>10</v>
      </c>
      <c r="CB28" s="87">
        <v>10</v>
      </c>
      <c r="CC28" s="87">
        <v>10</v>
      </c>
      <c r="CD28" s="87">
        <v>10</v>
      </c>
      <c r="CE28" s="87">
        <v>10</v>
      </c>
      <c r="CF28" s="87">
        <v>10</v>
      </c>
      <c r="CG28" s="87">
        <v>10</v>
      </c>
      <c r="CH28" s="87">
        <v>10</v>
      </c>
      <c r="CI28" s="87">
        <v>10</v>
      </c>
      <c r="CJ28" s="87">
        <v>10</v>
      </c>
      <c r="CK28" s="87">
        <v>10</v>
      </c>
      <c r="CL28" s="87">
        <v>10</v>
      </c>
      <c r="CM28" s="87">
        <v>10</v>
      </c>
      <c r="CN28" s="87">
        <v>10</v>
      </c>
      <c r="CO28" s="87">
        <v>10</v>
      </c>
      <c r="CP28" s="87">
        <v>10</v>
      </c>
      <c r="CQ28" s="87">
        <v>10</v>
      </c>
      <c r="CR28" s="87">
        <v>10</v>
      </c>
      <c r="CS28" s="87">
        <v>10</v>
      </c>
      <c r="CT28" s="87">
        <v>10</v>
      </c>
      <c r="CU28" s="87">
        <v>10</v>
      </c>
      <c r="CV28" s="87">
        <v>10</v>
      </c>
      <c r="CW28" s="87">
        <v>10</v>
      </c>
      <c r="CX28" s="87">
        <v>10</v>
      </c>
      <c r="CY28" s="87">
        <v>10</v>
      </c>
      <c r="CZ28" s="87">
        <v>10</v>
      </c>
      <c r="DA28" s="87">
        <v>10</v>
      </c>
      <c r="DB28" s="87">
        <v>10</v>
      </c>
      <c r="DC28" s="87">
        <v>10</v>
      </c>
      <c r="DD28" s="87">
        <v>10</v>
      </c>
      <c r="DE28" s="87">
        <v>10</v>
      </c>
      <c r="DF28" s="87">
        <v>10</v>
      </c>
      <c r="DG28" s="87">
        <v>10</v>
      </c>
      <c r="DH28" s="87">
        <v>10</v>
      </c>
      <c r="DI28" s="118"/>
    </row>
    <row r="29" spans="1:177" x14ac:dyDescent="0.35">
      <c r="A29" s="115" t="s">
        <v>1</v>
      </c>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6"/>
      <c r="CS29" s="116"/>
      <c r="CT29" s="116"/>
      <c r="CU29" s="116"/>
      <c r="CV29" s="116"/>
      <c r="CW29" s="116"/>
      <c r="CX29" s="116"/>
      <c r="CY29" s="116"/>
      <c r="CZ29" s="116"/>
      <c r="DA29" s="116"/>
      <c r="DB29" s="116"/>
      <c r="DC29" s="116"/>
      <c r="DD29" s="116"/>
      <c r="DE29" s="116"/>
      <c r="DF29" s="116"/>
      <c r="DG29" s="116"/>
      <c r="DH29" s="116"/>
      <c r="DI29" s="118"/>
    </row>
    <row r="30" spans="1:177" x14ac:dyDescent="0.35">
      <c r="A30" s="4" t="s">
        <v>196</v>
      </c>
      <c r="B30" s="13">
        <f>IF($B$15="Culture agricole",(($B$40+$B$42)*$B$10)*(44/12),(B31+B32)*$B$10*(44/12))</f>
        <v>396</v>
      </c>
      <c r="C30" s="13">
        <f t="shared" ref="C30:BN30" si="26">IF($B$15="Culture agricole",(($B$40+$B$42)*$B$10)*(44/12),(C31+C32)*$B$10*(44/12))</f>
        <v>396</v>
      </c>
      <c r="D30" s="13">
        <f t="shared" si="26"/>
        <v>396</v>
      </c>
      <c r="E30" s="13">
        <f t="shared" si="26"/>
        <v>396</v>
      </c>
      <c r="F30" s="13">
        <f t="shared" si="26"/>
        <v>396</v>
      </c>
      <c r="G30" s="13">
        <f t="shared" si="26"/>
        <v>396</v>
      </c>
      <c r="H30" s="13">
        <f t="shared" si="26"/>
        <v>396</v>
      </c>
      <c r="I30" s="13">
        <f t="shared" si="26"/>
        <v>396</v>
      </c>
      <c r="J30" s="13">
        <f t="shared" si="26"/>
        <v>396</v>
      </c>
      <c r="K30" s="13">
        <f t="shared" si="26"/>
        <v>396</v>
      </c>
      <c r="L30" s="13">
        <f t="shared" si="26"/>
        <v>396</v>
      </c>
      <c r="M30" s="13">
        <f t="shared" si="26"/>
        <v>396</v>
      </c>
      <c r="N30" s="13">
        <f t="shared" si="26"/>
        <v>396</v>
      </c>
      <c r="O30" s="13">
        <f t="shared" si="26"/>
        <v>396</v>
      </c>
      <c r="P30" s="13">
        <f t="shared" si="26"/>
        <v>396</v>
      </c>
      <c r="Q30" s="13">
        <f t="shared" si="26"/>
        <v>396</v>
      </c>
      <c r="R30" s="13">
        <f t="shared" si="26"/>
        <v>396</v>
      </c>
      <c r="S30" s="13">
        <f t="shared" si="26"/>
        <v>396</v>
      </c>
      <c r="T30" s="13">
        <f t="shared" si="26"/>
        <v>396</v>
      </c>
      <c r="U30" s="13">
        <f t="shared" si="26"/>
        <v>396</v>
      </c>
      <c r="V30" s="13">
        <f t="shared" si="26"/>
        <v>396</v>
      </c>
      <c r="W30" s="13">
        <f t="shared" si="26"/>
        <v>396</v>
      </c>
      <c r="X30" s="13">
        <f t="shared" si="26"/>
        <v>396</v>
      </c>
      <c r="Y30" s="13">
        <f t="shared" si="26"/>
        <v>396</v>
      </c>
      <c r="Z30" s="13">
        <f t="shared" si="26"/>
        <v>396</v>
      </c>
      <c r="AA30" s="13">
        <f t="shared" si="26"/>
        <v>396</v>
      </c>
      <c r="AB30" s="13">
        <f t="shared" si="26"/>
        <v>396</v>
      </c>
      <c r="AC30" s="13">
        <f t="shared" si="26"/>
        <v>396</v>
      </c>
      <c r="AD30" s="13">
        <f t="shared" si="26"/>
        <v>396</v>
      </c>
      <c r="AE30" s="13">
        <f t="shared" si="26"/>
        <v>396</v>
      </c>
      <c r="AF30" s="13">
        <f t="shared" si="26"/>
        <v>396</v>
      </c>
      <c r="AG30" s="13">
        <f t="shared" si="26"/>
        <v>396</v>
      </c>
      <c r="AH30" s="13">
        <f t="shared" si="26"/>
        <v>396</v>
      </c>
      <c r="AI30" s="13">
        <f t="shared" si="26"/>
        <v>396</v>
      </c>
      <c r="AJ30" s="13">
        <f t="shared" si="26"/>
        <v>396</v>
      </c>
      <c r="AK30" s="13">
        <f t="shared" si="26"/>
        <v>396</v>
      </c>
      <c r="AL30" s="13">
        <f t="shared" si="26"/>
        <v>396</v>
      </c>
      <c r="AM30" s="13">
        <f t="shared" si="26"/>
        <v>396</v>
      </c>
      <c r="AN30" s="13">
        <f t="shared" si="26"/>
        <v>396</v>
      </c>
      <c r="AO30" s="13">
        <f t="shared" si="26"/>
        <v>396</v>
      </c>
      <c r="AP30" s="13">
        <f t="shared" si="26"/>
        <v>396</v>
      </c>
      <c r="AQ30" s="13">
        <f t="shared" si="26"/>
        <v>396</v>
      </c>
      <c r="AR30" s="13">
        <f t="shared" si="26"/>
        <v>396</v>
      </c>
      <c r="AS30" s="13">
        <f t="shared" si="26"/>
        <v>396</v>
      </c>
      <c r="AT30" s="13">
        <f t="shared" si="26"/>
        <v>396</v>
      </c>
      <c r="AU30" s="13">
        <f t="shared" si="26"/>
        <v>396</v>
      </c>
      <c r="AV30" s="13">
        <f t="shared" si="26"/>
        <v>396</v>
      </c>
      <c r="AW30" s="13">
        <f t="shared" si="26"/>
        <v>396</v>
      </c>
      <c r="AX30" s="13">
        <f t="shared" si="26"/>
        <v>396</v>
      </c>
      <c r="AY30" s="13">
        <f t="shared" si="26"/>
        <v>396</v>
      </c>
      <c r="AZ30" s="13">
        <f t="shared" si="26"/>
        <v>396</v>
      </c>
      <c r="BA30" s="13">
        <f t="shared" si="26"/>
        <v>396</v>
      </c>
      <c r="BB30" s="13">
        <f t="shared" si="26"/>
        <v>396</v>
      </c>
      <c r="BC30" s="13">
        <f t="shared" si="26"/>
        <v>396</v>
      </c>
      <c r="BD30" s="13">
        <f t="shared" si="26"/>
        <v>396</v>
      </c>
      <c r="BE30" s="13">
        <f t="shared" si="26"/>
        <v>396</v>
      </c>
      <c r="BF30" s="13">
        <f t="shared" si="26"/>
        <v>396</v>
      </c>
      <c r="BG30" s="13">
        <f t="shared" si="26"/>
        <v>396</v>
      </c>
      <c r="BH30" s="13">
        <f t="shared" si="26"/>
        <v>396</v>
      </c>
      <c r="BI30" s="13">
        <f t="shared" si="26"/>
        <v>396</v>
      </c>
      <c r="BJ30" s="13">
        <f t="shared" si="26"/>
        <v>396</v>
      </c>
      <c r="BK30" s="13">
        <f t="shared" si="26"/>
        <v>396</v>
      </c>
      <c r="BL30" s="13">
        <f t="shared" si="26"/>
        <v>396</v>
      </c>
      <c r="BM30" s="13">
        <f t="shared" si="26"/>
        <v>396</v>
      </c>
      <c r="BN30" s="13">
        <f t="shared" si="26"/>
        <v>396</v>
      </c>
      <c r="BO30" s="13">
        <f t="shared" ref="BO30:DG30" si="27">IF($B$15="Culture agricole",(($B$40+$B$42)*$B$10)*(44/12),(BO31+BO32)*$B$10*(44/12))</f>
        <v>396</v>
      </c>
      <c r="BP30" s="13">
        <f t="shared" si="27"/>
        <v>396</v>
      </c>
      <c r="BQ30" s="13">
        <f t="shared" si="27"/>
        <v>396</v>
      </c>
      <c r="BR30" s="13">
        <f t="shared" si="27"/>
        <v>396</v>
      </c>
      <c r="BS30" s="13">
        <f t="shared" si="27"/>
        <v>396</v>
      </c>
      <c r="BT30" s="13">
        <f t="shared" si="27"/>
        <v>396</v>
      </c>
      <c r="BU30" s="13">
        <f t="shared" si="27"/>
        <v>396</v>
      </c>
      <c r="BV30" s="13">
        <f t="shared" si="27"/>
        <v>396</v>
      </c>
      <c r="BW30" s="13">
        <f t="shared" si="27"/>
        <v>396</v>
      </c>
      <c r="BX30" s="13">
        <f t="shared" si="27"/>
        <v>396</v>
      </c>
      <c r="BY30" s="13">
        <f t="shared" si="27"/>
        <v>396</v>
      </c>
      <c r="BZ30" s="13">
        <f t="shared" si="27"/>
        <v>396</v>
      </c>
      <c r="CA30" s="13">
        <f t="shared" si="27"/>
        <v>396</v>
      </c>
      <c r="CB30" s="13">
        <f t="shared" si="27"/>
        <v>396</v>
      </c>
      <c r="CC30" s="13">
        <f t="shared" si="27"/>
        <v>396</v>
      </c>
      <c r="CD30" s="13">
        <f t="shared" si="27"/>
        <v>396</v>
      </c>
      <c r="CE30" s="13">
        <f t="shared" si="27"/>
        <v>396</v>
      </c>
      <c r="CF30" s="13">
        <f t="shared" si="27"/>
        <v>396</v>
      </c>
      <c r="CG30" s="13">
        <f t="shared" si="27"/>
        <v>396</v>
      </c>
      <c r="CH30" s="13">
        <f t="shared" si="27"/>
        <v>396</v>
      </c>
      <c r="CI30" s="13">
        <f t="shared" si="27"/>
        <v>396</v>
      </c>
      <c r="CJ30" s="13">
        <f t="shared" si="27"/>
        <v>396</v>
      </c>
      <c r="CK30" s="13">
        <f t="shared" si="27"/>
        <v>396</v>
      </c>
      <c r="CL30" s="13">
        <f t="shared" si="27"/>
        <v>396</v>
      </c>
      <c r="CM30" s="13">
        <f t="shared" si="27"/>
        <v>396</v>
      </c>
      <c r="CN30" s="13">
        <f t="shared" si="27"/>
        <v>396</v>
      </c>
      <c r="CO30" s="13">
        <f t="shared" si="27"/>
        <v>396</v>
      </c>
      <c r="CP30" s="13">
        <f t="shared" si="27"/>
        <v>396</v>
      </c>
      <c r="CQ30" s="13">
        <f t="shared" si="27"/>
        <v>396</v>
      </c>
      <c r="CR30" s="13">
        <f t="shared" si="27"/>
        <v>396</v>
      </c>
      <c r="CS30" s="13">
        <f t="shared" si="27"/>
        <v>396</v>
      </c>
      <c r="CT30" s="13">
        <f t="shared" si="27"/>
        <v>396</v>
      </c>
      <c r="CU30" s="13">
        <f t="shared" si="27"/>
        <v>396</v>
      </c>
      <c r="CV30" s="13">
        <f t="shared" si="27"/>
        <v>396</v>
      </c>
      <c r="CW30" s="13">
        <f t="shared" si="27"/>
        <v>396</v>
      </c>
      <c r="CX30" s="13">
        <f t="shared" si="27"/>
        <v>396</v>
      </c>
      <c r="CY30" s="13">
        <f t="shared" si="27"/>
        <v>396</v>
      </c>
      <c r="CZ30" s="13">
        <f t="shared" si="27"/>
        <v>396</v>
      </c>
      <c r="DA30" s="13">
        <f t="shared" si="27"/>
        <v>396</v>
      </c>
      <c r="DB30" s="13">
        <f t="shared" si="27"/>
        <v>396</v>
      </c>
      <c r="DC30" s="13">
        <f t="shared" si="27"/>
        <v>396</v>
      </c>
      <c r="DD30" s="13">
        <f t="shared" si="27"/>
        <v>396</v>
      </c>
      <c r="DE30" s="13">
        <f t="shared" si="27"/>
        <v>396</v>
      </c>
      <c r="DF30" s="13">
        <f t="shared" si="27"/>
        <v>396</v>
      </c>
      <c r="DG30" s="13">
        <f t="shared" si="27"/>
        <v>396</v>
      </c>
      <c r="DH30" s="13">
        <f>IF($B$15="Culture agricole",(($B$40+$B$42)*$B$10)*(44/12),(DH31+DH32)*$B$10*(44/12))</f>
        <v>396</v>
      </c>
      <c r="DI30" s="118"/>
    </row>
    <row r="31" spans="1:177" ht="29" x14ac:dyDescent="0.35">
      <c r="A31" s="4" t="s">
        <v>9</v>
      </c>
      <c r="B31" s="13">
        <f t="shared" ref="B31:AF31" si="28">IF($B$15="Culture agricole",$B$42,$B$43)</f>
        <v>45</v>
      </c>
      <c r="C31" s="13">
        <f t="shared" si="28"/>
        <v>45</v>
      </c>
      <c r="D31" s="13">
        <f t="shared" si="28"/>
        <v>45</v>
      </c>
      <c r="E31" s="13">
        <f t="shared" si="28"/>
        <v>45</v>
      </c>
      <c r="F31" s="13">
        <f t="shared" si="28"/>
        <v>45</v>
      </c>
      <c r="G31" s="13">
        <f t="shared" si="28"/>
        <v>45</v>
      </c>
      <c r="H31" s="13">
        <f t="shared" si="28"/>
        <v>45</v>
      </c>
      <c r="I31" s="13">
        <f t="shared" si="28"/>
        <v>45</v>
      </c>
      <c r="J31" s="13">
        <f t="shared" si="28"/>
        <v>45</v>
      </c>
      <c r="K31" s="13">
        <f t="shared" si="28"/>
        <v>45</v>
      </c>
      <c r="L31" s="13">
        <f t="shared" si="28"/>
        <v>45</v>
      </c>
      <c r="M31" s="13">
        <f t="shared" si="28"/>
        <v>45</v>
      </c>
      <c r="N31" s="13">
        <f t="shared" si="28"/>
        <v>45</v>
      </c>
      <c r="O31" s="13">
        <f t="shared" si="28"/>
        <v>45</v>
      </c>
      <c r="P31" s="13">
        <f t="shared" si="28"/>
        <v>45</v>
      </c>
      <c r="Q31" s="13">
        <f t="shared" si="28"/>
        <v>45</v>
      </c>
      <c r="R31" s="13">
        <f t="shared" si="28"/>
        <v>45</v>
      </c>
      <c r="S31" s="13">
        <f t="shared" si="28"/>
        <v>45</v>
      </c>
      <c r="T31" s="13">
        <f t="shared" si="28"/>
        <v>45</v>
      </c>
      <c r="U31" s="13">
        <f t="shared" si="28"/>
        <v>45</v>
      </c>
      <c r="V31" s="13">
        <f t="shared" si="28"/>
        <v>45</v>
      </c>
      <c r="W31" s="13">
        <f t="shared" si="28"/>
        <v>45</v>
      </c>
      <c r="X31" s="13">
        <f t="shared" si="28"/>
        <v>45</v>
      </c>
      <c r="Y31" s="13">
        <f t="shared" si="28"/>
        <v>45</v>
      </c>
      <c r="Z31" s="13">
        <f t="shared" si="28"/>
        <v>45</v>
      </c>
      <c r="AA31" s="13">
        <f t="shared" si="28"/>
        <v>45</v>
      </c>
      <c r="AB31" s="13">
        <f t="shared" si="28"/>
        <v>45</v>
      </c>
      <c r="AC31" s="13">
        <f t="shared" si="28"/>
        <v>45</v>
      </c>
      <c r="AD31" s="13">
        <f t="shared" si="28"/>
        <v>45</v>
      </c>
      <c r="AE31" s="13">
        <f t="shared" si="28"/>
        <v>45</v>
      </c>
      <c r="AF31" s="13">
        <f t="shared" si="28"/>
        <v>45</v>
      </c>
      <c r="AG31" s="13">
        <f t="shared" ref="AG31:CR31" si="29">IF($B$15="Culture agricole",$B$42,$B$43)</f>
        <v>45</v>
      </c>
      <c r="AH31" s="13">
        <f t="shared" si="29"/>
        <v>45</v>
      </c>
      <c r="AI31" s="13">
        <f t="shared" si="29"/>
        <v>45</v>
      </c>
      <c r="AJ31" s="13">
        <f t="shared" si="29"/>
        <v>45</v>
      </c>
      <c r="AK31" s="13">
        <f t="shared" si="29"/>
        <v>45</v>
      </c>
      <c r="AL31" s="13">
        <f t="shared" si="29"/>
        <v>45</v>
      </c>
      <c r="AM31" s="13">
        <f t="shared" si="29"/>
        <v>45</v>
      </c>
      <c r="AN31" s="13">
        <f t="shared" si="29"/>
        <v>45</v>
      </c>
      <c r="AO31" s="13">
        <f t="shared" si="29"/>
        <v>45</v>
      </c>
      <c r="AP31" s="13">
        <f t="shared" si="29"/>
        <v>45</v>
      </c>
      <c r="AQ31" s="13">
        <f t="shared" si="29"/>
        <v>45</v>
      </c>
      <c r="AR31" s="13">
        <f t="shared" si="29"/>
        <v>45</v>
      </c>
      <c r="AS31" s="13">
        <f t="shared" si="29"/>
        <v>45</v>
      </c>
      <c r="AT31" s="13">
        <f t="shared" si="29"/>
        <v>45</v>
      </c>
      <c r="AU31" s="13">
        <f t="shared" si="29"/>
        <v>45</v>
      </c>
      <c r="AV31" s="13">
        <f t="shared" si="29"/>
        <v>45</v>
      </c>
      <c r="AW31" s="13">
        <f t="shared" si="29"/>
        <v>45</v>
      </c>
      <c r="AX31" s="13">
        <f t="shared" si="29"/>
        <v>45</v>
      </c>
      <c r="AY31" s="13">
        <f t="shared" si="29"/>
        <v>45</v>
      </c>
      <c r="AZ31" s="13">
        <f t="shared" si="29"/>
        <v>45</v>
      </c>
      <c r="BA31" s="13">
        <f t="shared" si="29"/>
        <v>45</v>
      </c>
      <c r="BB31" s="13">
        <f t="shared" si="29"/>
        <v>45</v>
      </c>
      <c r="BC31" s="13">
        <f t="shared" si="29"/>
        <v>45</v>
      </c>
      <c r="BD31" s="13">
        <f t="shared" si="29"/>
        <v>45</v>
      </c>
      <c r="BE31" s="13">
        <f t="shared" si="29"/>
        <v>45</v>
      </c>
      <c r="BF31" s="13">
        <f t="shared" si="29"/>
        <v>45</v>
      </c>
      <c r="BG31" s="13">
        <f t="shared" si="29"/>
        <v>45</v>
      </c>
      <c r="BH31" s="13">
        <f t="shared" si="29"/>
        <v>45</v>
      </c>
      <c r="BI31" s="13">
        <f t="shared" si="29"/>
        <v>45</v>
      </c>
      <c r="BJ31" s="13">
        <f t="shared" si="29"/>
        <v>45</v>
      </c>
      <c r="BK31" s="13">
        <f t="shared" si="29"/>
        <v>45</v>
      </c>
      <c r="BL31" s="13">
        <f t="shared" si="29"/>
        <v>45</v>
      </c>
      <c r="BM31" s="13">
        <f t="shared" si="29"/>
        <v>45</v>
      </c>
      <c r="BN31" s="13">
        <f t="shared" si="29"/>
        <v>45</v>
      </c>
      <c r="BO31" s="13">
        <f t="shared" si="29"/>
        <v>45</v>
      </c>
      <c r="BP31" s="13">
        <f t="shared" si="29"/>
        <v>45</v>
      </c>
      <c r="BQ31" s="13">
        <f t="shared" si="29"/>
        <v>45</v>
      </c>
      <c r="BR31" s="13">
        <f t="shared" si="29"/>
        <v>45</v>
      </c>
      <c r="BS31" s="13">
        <f t="shared" si="29"/>
        <v>45</v>
      </c>
      <c r="BT31" s="13">
        <f t="shared" si="29"/>
        <v>45</v>
      </c>
      <c r="BU31" s="13">
        <f t="shared" si="29"/>
        <v>45</v>
      </c>
      <c r="BV31" s="13">
        <f t="shared" si="29"/>
        <v>45</v>
      </c>
      <c r="BW31" s="13">
        <f t="shared" si="29"/>
        <v>45</v>
      </c>
      <c r="BX31" s="13">
        <f t="shared" si="29"/>
        <v>45</v>
      </c>
      <c r="BY31" s="13">
        <f t="shared" si="29"/>
        <v>45</v>
      </c>
      <c r="BZ31" s="13">
        <f t="shared" si="29"/>
        <v>45</v>
      </c>
      <c r="CA31" s="13">
        <f t="shared" si="29"/>
        <v>45</v>
      </c>
      <c r="CB31" s="13">
        <f t="shared" si="29"/>
        <v>45</v>
      </c>
      <c r="CC31" s="13">
        <f t="shared" si="29"/>
        <v>45</v>
      </c>
      <c r="CD31" s="13">
        <f t="shared" si="29"/>
        <v>45</v>
      </c>
      <c r="CE31" s="13">
        <f t="shared" si="29"/>
        <v>45</v>
      </c>
      <c r="CF31" s="13">
        <f t="shared" si="29"/>
        <v>45</v>
      </c>
      <c r="CG31" s="13">
        <f t="shared" si="29"/>
        <v>45</v>
      </c>
      <c r="CH31" s="13">
        <f t="shared" si="29"/>
        <v>45</v>
      </c>
      <c r="CI31" s="13">
        <f t="shared" si="29"/>
        <v>45</v>
      </c>
      <c r="CJ31" s="13">
        <f t="shared" si="29"/>
        <v>45</v>
      </c>
      <c r="CK31" s="13">
        <f t="shared" si="29"/>
        <v>45</v>
      </c>
      <c r="CL31" s="13">
        <f t="shared" si="29"/>
        <v>45</v>
      </c>
      <c r="CM31" s="13">
        <f t="shared" si="29"/>
        <v>45</v>
      </c>
      <c r="CN31" s="13">
        <f t="shared" si="29"/>
        <v>45</v>
      </c>
      <c r="CO31" s="13">
        <f t="shared" si="29"/>
        <v>45</v>
      </c>
      <c r="CP31" s="13">
        <f t="shared" si="29"/>
        <v>45</v>
      </c>
      <c r="CQ31" s="13">
        <f t="shared" si="29"/>
        <v>45</v>
      </c>
      <c r="CR31" s="13">
        <f t="shared" si="29"/>
        <v>45</v>
      </c>
      <c r="CS31" s="13">
        <f t="shared" ref="CS31:DH31" si="30">IF($B$15="Culture agricole",$B$42,$B$43)</f>
        <v>45</v>
      </c>
      <c r="CT31" s="13">
        <f t="shared" si="30"/>
        <v>45</v>
      </c>
      <c r="CU31" s="13">
        <f t="shared" si="30"/>
        <v>45</v>
      </c>
      <c r="CV31" s="13">
        <f t="shared" si="30"/>
        <v>45</v>
      </c>
      <c r="CW31" s="13">
        <f t="shared" si="30"/>
        <v>45</v>
      </c>
      <c r="CX31" s="13">
        <f t="shared" si="30"/>
        <v>45</v>
      </c>
      <c r="CY31" s="13">
        <f t="shared" si="30"/>
        <v>45</v>
      </c>
      <c r="CZ31" s="13">
        <f t="shared" si="30"/>
        <v>45</v>
      </c>
      <c r="DA31" s="13">
        <f t="shared" si="30"/>
        <v>45</v>
      </c>
      <c r="DB31" s="13">
        <f t="shared" si="30"/>
        <v>45</v>
      </c>
      <c r="DC31" s="13">
        <f t="shared" si="30"/>
        <v>45</v>
      </c>
      <c r="DD31" s="13">
        <f t="shared" si="30"/>
        <v>45</v>
      </c>
      <c r="DE31" s="13">
        <f t="shared" si="30"/>
        <v>45</v>
      </c>
      <c r="DF31" s="13">
        <f t="shared" si="30"/>
        <v>45</v>
      </c>
      <c r="DG31" s="13">
        <f t="shared" si="30"/>
        <v>45</v>
      </c>
      <c r="DH31" s="14">
        <f t="shared" si="30"/>
        <v>45</v>
      </c>
      <c r="DI31" s="118"/>
    </row>
    <row r="32" spans="1:177" x14ac:dyDescent="0.35">
      <c r="A32" s="4" t="s">
        <v>179</v>
      </c>
      <c r="B32" s="13">
        <f>$B$38</f>
        <v>0</v>
      </c>
      <c r="C32" s="13">
        <f t="shared" ref="C32:BN32" si="31">$B$38</f>
        <v>0</v>
      </c>
      <c r="D32" s="13">
        <f t="shared" si="31"/>
        <v>0</v>
      </c>
      <c r="E32" s="13">
        <f t="shared" si="31"/>
        <v>0</v>
      </c>
      <c r="F32" s="13">
        <f t="shared" si="31"/>
        <v>0</v>
      </c>
      <c r="G32" s="13">
        <f t="shared" si="31"/>
        <v>0</v>
      </c>
      <c r="H32" s="13">
        <f t="shared" si="31"/>
        <v>0</v>
      </c>
      <c r="I32" s="13">
        <f t="shared" si="31"/>
        <v>0</v>
      </c>
      <c r="J32" s="13">
        <f t="shared" si="31"/>
        <v>0</v>
      </c>
      <c r="K32" s="13">
        <f t="shared" si="31"/>
        <v>0</v>
      </c>
      <c r="L32" s="13">
        <f t="shared" si="31"/>
        <v>0</v>
      </c>
      <c r="M32" s="13">
        <f t="shared" si="31"/>
        <v>0</v>
      </c>
      <c r="N32" s="13">
        <f t="shared" si="31"/>
        <v>0</v>
      </c>
      <c r="O32" s="13">
        <f t="shared" si="31"/>
        <v>0</v>
      </c>
      <c r="P32" s="13">
        <f t="shared" si="31"/>
        <v>0</v>
      </c>
      <c r="Q32" s="13">
        <f t="shared" si="31"/>
        <v>0</v>
      </c>
      <c r="R32" s="13">
        <f t="shared" si="31"/>
        <v>0</v>
      </c>
      <c r="S32" s="13">
        <f t="shared" si="31"/>
        <v>0</v>
      </c>
      <c r="T32" s="13">
        <f t="shared" si="31"/>
        <v>0</v>
      </c>
      <c r="U32" s="13">
        <f t="shared" si="31"/>
        <v>0</v>
      </c>
      <c r="V32" s="13">
        <f t="shared" si="31"/>
        <v>0</v>
      </c>
      <c r="W32" s="13">
        <f t="shared" si="31"/>
        <v>0</v>
      </c>
      <c r="X32" s="13">
        <f t="shared" si="31"/>
        <v>0</v>
      </c>
      <c r="Y32" s="13">
        <f t="shared" si="31"/>
        <v>0</v>
      </c>
      <c r="Z32" s="13">
        <f t="shared" si="31"/>
        <v>0</v>
      </c>
      <c r="AA32" s="13">
        <f t="shared" si="31"/>
        <v>0</v>
      </c>
      <c r="AB32" s="13">
        <f t="shared" si="31"/>
        <v>0</v>
      </c>
      <c r="AC32" s="13">
        <f t="shared" si="31"/>
        <v>0</v>
      </c>
      <c r="AD32" s="13">
        <f t="shared" si="31"/>
        <v>0</v>
      </c>
      <c r="AE32" s="13">
        <f t="shared" si="31"/>
        <v>0</v>
      </c>
      <c r="AF32" s="13">
        <f>$B$38</f>
        <v>0</v>
      </c>
      <c r="AG32" s="13">
        <f t="shared" si="31"/>
        <v>0</v>
      </c>
      <c r="AH32" s="13">
        <f t="shared" si="31"/>
        <v>0</v>
      </c>
      <c r="AI32" s="13">
        <f t="shared" si="31"/>
        <v>0</v>
      </c>
      <c r="AJ32" s="13">
        <f t="shared" si="31"/>
        <v>0</v>
      </c>
      <c r="AK32" s="13">
        <f t="shared" si="31"/>
        <v>0</v>
      </c>
      <c r="AL32" s="13">
        <f t="shared" si="31"/>
        <v>0</v>
      </c>
      <c r="AM32" s="13">
        <f t="shared" si="31"/>
        <v>0</v>
      </c>
      <c r="AN32" s="13">
        <f t="shared" si="31"/>
        <v>0</v>
      </c>
      <c r="AO32" s="13">
        <f t="shared" si="31"/>
        <v>0</v>
      </c>
      <c r="AP32" s="13">
        <f t="shared" si="31"/>
        <v>0</v>
      </c>
      <c r="AQ32" s="13">
        <f t="shared" si="31"/>
        <v>0</v>
      </c>
      <c r="AR32" s="13">
        <f t="shared" si="31"/>
        <v>0</v>
      </c>
      <c r="AS32" s="13">
        <f t="shared" si="31"/>
        <v>0</v>
      </c>
      <c r="AT32" s="13">
        <f t="shared" si="31"/>
        <v>0</v>
      </c>
      <c r="AU32" s="13">
        <f t="shared" si="31"/>
        <v>0</v>
      </c>
      <c r="AV32" s="13">
        <f t="shared" si="31"/>
        <v>0</v>
      </c>
      <c r="AW32" s="13">
        <f t="shared" si="31"/>
        <v>0</v>
      </c>
      <c r="AX32" s="13">
        <f t="shared" si="31"/>
        <v>0</v>
      </c>
      <c r="AY32" s="13">
        <f t="shared" si="31"/>
        <v>0</v>
      </c>
      <c r="AZ32" s="13">
        <f t="shared" si="31"/>
        <v>0</v>
      </c>
      <c r="BA32" s="13">
        <f t="shared" si="31"/>
        <v>0</v>
      </c>
      <c r="BB32" s="13">
        <f t="shared" si="31"/>
        <v>0</v>
      </c>
      <c r="BC32" s="13">
        <f t="shared" si="31"/>
        <v>0</v>
      </c>
      <c r="BD32" s="13">
        <f t="shared" si="31"/>
        <v>0</v>
      </c>
      <c r="BE32" s="13">
        <f t="shared" si="31"/>
        <v>0</v>
      </c>
      <c r="BF32" s="13">
        <f t="shared" si="31"/>
        <v>0</v>
      </c>
      <c r="BG32" s="13">
        <f t="shared" si="31"/>
        <v>0</v>
      </c>
      <c r="BH32" s="13">
        <f t="shared" si="31"/>
        <v>0</v>
      </c>
      <c r="BI32" s="13">
        <f t="shared" si="31"/>
        <v>0</v>
      </c>
      <c r="BJ32" s="13">
        <f t="shared" si="31"/>
        <v>0</v>
      </c>
      <c r="BK32" s="13">
        <f t="shared" si="31"/>
        <v>0</v>
      </c>
      <c r="BL32" s="13">
        <f t="shared" si="31"/>
        <v>0</v>
      </c>
      <c r="BM32" s="13">
        <f t="shared" si="31"/>
        <v>0</v>
      </c>
      <c r="BN32" s="13">
        <f t="shared" si="31"/>
        <v>0</v>
      </c>
      <c r="BO32" s="13">
        <f t="shared" ref="BO32:DH32" si="32">$B$38</f>
        <v>0</v>
      </c>
      <c r="BP32" s="13">
        <f t="shared" si="32"/>
        <v>0</v>
      </c>
      <c r="BQ32" s="13">
        <f t="shared" si="32"/>
        <v>0</v>
      </c>
      <c r="BR32" s="13">
        <f t="shared" si="32"/>
        <v>0</v>
      </c>
      <c r="BS32" s="13">
        <f t="shared" si="32"/>
        <v>0</v>
      </c>
      <c r="BT32" s="13">
        <f t="shared" si="32"/>
        <v>0</v>
      </c>
      <c r="BU32" s="13">
        <f t="shared" si="32"/>
        <v>0</v>
      </c>
      <c r="BV32" s="13">
        <f t="shared" si="32"/>
        <v>0</v>
      </c>
      <c r="BW32" s="13">
        <f t="shared" si="32"/>
        <v>0</v>
      </c>
      <c r="BX32" s="13">
        <f t="shared" si="32"/>
        <v>0</v>
      </c>
      <c r="BY32" s="13">
        <f t="shared" si="32"/>
        <v>0</v>
      </c>
      <c r="BZ32" s="13">
        <f t="shared" si="32"/>
        <v>0</v>
      </c>
      <c r="CA32" s="13">
        <f t="shared" si="32"/>
        <v>0</v>
      </c>
      <c r="CB32" s="13">
        <f t="shared" si="32"/>
        <v>0</v>
      </c>
      <c r="CC32" s="13">
        <f t="shared" si="32"/>
        <v>0</v>
      </c>
      <c r="CD32" s="13">
        <f t="shared" si="32"/>
        <v>0</v>
      </c>
      <c r="CE32" s="13">
        <f t="shared" si="32"/>
        <v>0</v>
      </c>
      <c r="CF32" s="13">
        <f t="shared" si="32"/>
        <v>0</v>
      </c>
      <c r="CG32" s="13">
        <f t="shared" si="32"/>
        <v>0</v>
      </c>
      <c r="CH32" s="13">
        <f t="shared" si="32"/>
        <v>0</v>
      </c>
      <c r="CI32" s="13">
        <f t="shared" si="32"/>
        <v>0</v>
      </c>
      <c r="CJ32" s="13">
        <f t="shared" si="32"/>
        <v>0</v>
      </c>
      <c r="CK32" s="13">
        <f t="shared" si="32"/>
        <v>0</v>
      </c>
      <c r="CL32" s="13">
        <f t="shared" si="32"/>
        <v>0</v>
      </c>
      <c r="CM32" s="13">
        <f t="shared" si="32"/>
        <v>0</v>
      </c>
      <c r="CN32" s="13">
        <f t="shared" si="32"/>
        <v>0</v>
      </c>
      <c r="CO32" s="13">
        <f t="shared" si="32"/>
        <v>0</v>
      </c>
      <c r="CP32" s="13">
        <f t="shared" si="32"/>
        <v>0</v>
      </c>
      <c r="CQ32" s="13">
        <f t="shared" si="32"/>
        <v>0</v>
      </c>
      <c r="CR32" s="13">
        <f t="shared" si="32"/>
        <v>0</v>
      </c>
      <c r="CS32" s="13">
        <f t="shared" si="32"/>
        <v>0</v>
      </c>
      <c r="CT32" s="13">
        <f t="shared" si="32"/>
        <v>0</v>
      </c>
      <c r="CU32" s="13">
        <f t="shared" si="32"/>
        <v>0</v>
      </c>
      <c r="CV32" s="13">
        <f t="shared" si="32"/>
        <v>0</v>
      </c>
      <c r="CW32" s="13">
        <f t="shared" si="32"/>
        <v>0</v>
      </c>
      <c r="CX32" s="13">
        <f t="shared" si="32"/>
        <v>0</v>
      </c>
      <c r="CY32" s="13">
        <f t="shared" si="32"/>
        <v>0</v>
      </c>
      <c r="CZ32" s="13">
        <f t="shared" si="32"/>
        <v>0</v>
      </c>
      <c r="DA32" s="13">
        <f t="shared" si="32"/>
        <v>0</v>
      </c>
      <c r="DB32" s="13">
        <f t="shared" si="32"/>
        <v>0</v>
      </c>
      <c r="DC32" s="13">
        <f t="shared" si="32"/>
        <v>0</v>
      </c>
      <c r="DD32" s="13">
        <f t="shared" si="32"/>
        <v>0</v>
      </c>
      <c r="DE32" s="13">
        <f t="shared" si="32"/>
        <v>0</v>
      </c>
      <c r="DF32" s="13">
        <f t="shared" si="32"/>
        <v>0</v>
      </c>
      <c r="DG32" s="13">
        <f t="shared" si="32"/>
        <v>0</v>
      </c>
      <c r="DH32" s="14">
        <f t="shared" si="32"/>
        <v>0</v>
      </c>
      <c r="DI32" s="118"/>
    </row>
    <row r="33" spans="1:113" ht="15" thickBot="1" x14ac:dyDescent="0.4">
      <c r="A33" s="91" t="s">
        <v>197</v>
      </c>
      <c r="B33" s="87">
        <f>B21-B30</f>
        <v>-38.895783425778006</v>
      </c>
      <c r="C33" s="124">
        <f t="shared" ref="C33:AF33" si="33">C21-C30</f>
        <v>-22.905828966269212</v>
      </c>
      <c r="D33" s="124">
        <f t="shared" si="33"/>
        <v>-7.3341231374816402</v>
      </c>
      <c r="E33" s="124">
        <f t="shared" si="33"/>
        <v>8.0436363976546659</v>
      </c>
      <c r="F33" s="124">
        <f t="shared" si="33"/>
        <v>23.279210356893657</v>
      </c>
      <c r="G33" s="124">
        <f t="shared" si="33"/>
        <v>38.397080921122665</v>
      </c>
      <c r="H33" s="124">
        <f t="shared" si="33"/>
        <v>53.411758557544658</v>
      </c>
      <c r="I33" s="124">
        <f t="shared" si="33"/>
        <v>68.332981045489134</v>
      </c>
      <c r="J33" s="124">
        <f t="shared" si="33"/>
        <v>83.16783131820921</v>
      </c>
      <c r="K33" s="124">
        <f t="shared" si="33"/>
        <v>97.921762947332127</v>
      </c>
      <c r="L33" s="124">
        <f t="shared" si="33"/>
        <v>112.59915683906172</v>
      </c>
      <c r="M33" s="124">
        <f t="shared" si="33"/>
        <v>127.20364930468202</v>
      </c>
      <c r="N33" s="124">
        <f t="shared" si="33"/>
        <v>141.73833780089331</v>
      </c>
      <c r="O33" s="124">
        <f t="shared" si="33"/>
        <v>156.20591641875922</v>
      </c>
      <c r="P33" s="124">
        <f t="shared" si="33"/>
        <v>170.60876870842378</v>
      </c>
      <c r="Q33" s="124">
        <f t="shared" si="33"/>
        <v>184.94903338911627</v>
      </c>
      <c r="R33" s="124">
        <f t="shared" si="33"/>
        <v>199.22865216467005</v>
      </c>
      <c r="S33" s="124">
        <f t="shared" si="33"/>
        <v>213.44940534765237</v>
      </c>
      <c r="T33" s="124">
        <f t="shared" si="33"/>
        <v>227.61293894821222</v>
      </c>
      <c r="U33" s="124">
        <f t="shared" si="33"/>
        <v>241.72078564462413</v>
      </c>
      <c r="V33" s="124">
        <f t="shared" si="33"/>
        <v>255.77438127654943</v>
      </c>
      <c r="W33" s="124">
        <f t="shared" si="33"/>
        <v>269.77507800158821</v>
      </c>
      <c r="X33" s="124">
        <f t="shared" si="33"/>
        <v>283.72415492444918</v>
      </c>
      <c r="Y33" s="124">
        <f t="shared" si="33"/>
        <v>297.62282678371412</v>
      </c>
      <c r="Z33" s="124">
        <f t="shared" si="33"/>
        <v>311.4722511260693</v>
      </c>
      <c r="AA33" s="124">
        <f t="shared" si="33"/>
        <v>325.27353428864842</v>
      </c>
      <c r="AB33" s="124">
        <f t="shared" si="33"/>
        <v>339.02773643192825</v>
      </c>
      <c r="AC33" s="124">
        <f t="shared" si="33"/>
        <v>352.73587580874903</v>
      </c>
      <c r="AD33" s="124">
        <f t="shared" si="33"/>
        <v>366.39893241313325</v>
      </c>
      <c r="AE33" s="124">
        <f t="shared" si="33"/>
        <v>380.01785112128266</v>
      </c>
      <c r="AF33" s="124">
        <f t="shared" si="33"/>
        <v>317.37160796943954</v>
      </c>
      <c r="AG33" s="124">
        <f t="shared" ref="AG33:CR33" si="34">AG21-AG30</f>
        <v>328.33007613927862</v>
      </c>
      <c r="AH33" s="124">
        <f t="shared" si="34"/>
        <v>339.24434787702683</v>
      </c>
      <c r="AI33" s="124">
        <f t="shared" si="34"/>
        <v>350.11545902605167</v>
      </c>
      <c r="AJ33" s="124">
        <f t="shared" si="34"/>
        <v>360.9443982135781</v>
      </c>
      <c r="AK33" s="124">
        <f t="shared" si="34"/>
        <v>371.73211150400004</v>
      </c>
      <c r="AL33" s="124">
        <f t="shared" si="34"/>
        <v>382.47950635530049</v>
      </c>
      <c r="AM33" s="124">
        <f t="shared" si="34"/>
        <v>393.18745500762793</v>
      </c>
      <c r="AN33" s="124">
        <f t="shared" si="34"/>
        <v>403.85679740540377</v>
      </c>
      <c r="AO33" s="124">
        <f t="shared" si="34"/>
        <v>414.4883437333317</v>
      </c>
      <c r="AP33" s="124">
        <f t="shared" si="34"/>
        <v>425.08287663058377</v>
      </c>
      <c r="AQ33" s="124">
        <f t="shared" si="34"/>
        <v>435.64115313496904</v>
      </c>
      <c r="AR33" s="124">
        <f t="shared" si="34"/>
        <v>446.16390639915528</v>
      </c>
      <c r="AS33" s="124">
        <f t="shared" si="34"/>
        <v>463.82224266519108</v>
      </c>
      <c r="AT33" s="124">
        <f t="shared" si="34"/>
        <v>481.43425328236458</v>
      </c>
      <c r="AU33" s="124">
        <f t="shared" si="34"/>
        <v>499.00139923586903</v>
      </c>
      <c r="AV33" s="124">
        <f t="shared" si="34"/>
        <v>516.52503799736462</v>
      </c>
      <c r="AW33" s="124">
        <f t="shared" si="34"/>
        <v>534.00643681020449</v>
      </c>
      <c r="AX33" s="124">
        <f t="shared" si="34"/>
        <v>551.44678367215283</v>
      </c>
      <c r="AY33" s="124">
        <f t="shared" si="34"/>
        <v>568.03258919227414</v>
      </c>
      <c r="AZ33" s="124">
        <f t="shared" si="34"/>
        <v>516.09045923962208</v>
      </c>
      <c r="BA33" s="124">
        <f t="shared" si="34"/>
        <v>532.65771495733486</v>
      </c>
      <c r="BB33" s="124">
        <f t="shared" si="34"/>
        <v>549.18687250855157</v>
      </c>
      <c r="BC33" s="124">
        <f t="shared" si="34"/>
        <v>565.67894728959345</v>
      </c>
      <c r="BD33" s="124">
        <f t="shared" si="34"/>
        <v>582.13490022044277</v>
      </c>
      <c r="BE33" s="124">
        <f t="shared" si="34"/>
        <v>598.5556432372282</v>
      </c>
      <c r="BF33" s="124">
        <f t="shared" si="34"/>
        <v>614.94204400260833</v>
      </c>
      <c r="BG33" s="124">
        <f t="shared" si="34"/>
        <v>638.20067526781486</v>
      </c>
      <c r="BH33" s="124">
        <f t="shared" si="34"/>
        <v>661.41526101859813</v>
      </c>
      <c r="BI33" s="124">
        <f t="shared" si="34"/>
        <v>684.58728370705307</v>
      </c>
      <c r="BJ33" s="124">
        <f t="shared" si="34"/>
        <v>707.71811881787994</v>
      </c>
      <c r="BK33" s="124">
        <f t="shared" si="34"/>
        <v>730.80904794557296</v>
      </c>
      <c r="BL33" s="124">
        <f t="shared" si="34"/>
        <v>753.86126974375452</v>
      </c>
      <c r="BM33" s="124">
        <f t="shared" si="34"/>
        <v>776.87590916357976</v>
      </c>
      <c r="BN33" s="124">
        <f t="shared" si="34"/>
        <v>799.85402530397459</v>
      </c>
      <c r="BO33" s="124">
        <f t="shared" si="34"/>
        <v>819.15202196823134</v>
      </c>
      <c r="BP33" s="124">
        <f t="shared" si="34"/>
        <v>838.42000939324748</v>
      </c>
      <c r="BQ33" s="124">
        <f t="shared" si="34"/>
        <v>857.65865482375511</v>
      </c>
      <c r="BR33" s="124">
        <f t="shared" si="34"/>
        <v>876.86860064998996</v>
      </c>
      <c r="BS33" s="124">
        <f t="shared" si="34"/>
        <v>896.0504660782517</v>
      </c>
      <c r="BT33" s="124">
        <f t="shared" si="34"/>
        <v>738.97289256227646</v>
      </c>
      <c r="BU33" s="124">
        <f t="shared" si="34"/>
        <v>758.20149192738586</v>
      </c>
      <c r="BV33" s="124">
        <f t="shared" si="34"/>
        <v>777.40060290888778</v>
      </c>
      <c r="BW33" s="124">
        <f t="shared" si="34"/>
        <v>793.97779065829241</v>
      </c>
      <c r="BX33" s="124">
        <f t="shared" si="34"/>
        <v>810.5298199520455</v>
      </c>
      <c r="BY33" s="124">
        <f t="shared" si="34"/>
        <v>827.0572180896113</v>
      </c>
      <c r="BZ33" s="124">
        <f t="shared" si="34"/>
        <v>843.56049501257553</v>
      </c>
      <c r="CA33" s="124">
        <f t="shared" si="34"/>
        <v>860.04014431731139</v>
      </c>
      <c r="CB33" s="124">
        <f t="shared" si="34"/>
        <v>876.4966441762997</v>
      </c>
      <c r="CC33" s="124">
        <f t="shared" si="34"/>
        <v>892.9304581787178</v>
      </c>
      <c r="CD33" s="124">
        <f t="shared" si="34"/>
        <v>909.34203609946076</v>
      </c>
      <c r="CE33" s="124">
        <f t="shared" si="34"/>
        <v>925.7318146045352</v>
      </c>
      <c r="CF33" s="124">
        <f t="shared" si="34"/>
        <v>941.211317340307</v>
      </c>
      <c r="CG33" s="124">
        <f t="shared" si="34"/>
        <v>956.67057473136219</v>
      </c>
      <c r="CH33" s="124">
        <f t="shared" si="34"/>
        <v>972.10996389161005</v>
      </c>
      <c r="CI33" s="124">
        <f t="shared" si="34"/>
        <v>987.52985245430864</v>
      </c>
      <c r="CJ33" s="124">
        <f t="shared" si="34"/>
        <v>1002.9305989483578</v>
      </c>
      <c r="CK33" s="124">
        <f t="shared" si="34"/>
        <v>1018.3125531504193</v>
      </c>
      <c r="CL33" s="124">
        <f t="shared" si="34"/>
        <v>1033.6760564150138</v>
      </c>
      <c r="CM33" s="124">
        <f t="shared" si="34"/>
        <v>1049.0214419845015</v>
      </c>
      <c r="CN33" s="124">
        <f t="shared" si="34"/>
        <v>861.7046040503219</v>
      </c>
      <c r="CO33" s="124">
        <f t="shared" si="34"/>
        <v>876.93037215079926</v>
      </c>
      <c r="CP33" s="124">
        <f t="shared" si="34"/>
        <v>892.13744325097514</v>
      </c>
      <c r="CQ33" s="124">
        <f t="shared" si="34"/>
        <v>907.32618296015585</v>
      </c>
      <c r="CR33" s="124">
        <f t="shared" si="34"/>
        <v>922.4969464676924</v>
      </c>
      <c r="CS33" s="124">
        <f t="shared" ref="CS33:DG33" si="35">CS21-CS30</f>
        <v>937.650079035423</v>
      </c>
      <c r="CT33" s="124">
        <f t="shared" si="35"/>
        <v>952.78591645364236</v>
      </c>
      <c r="CU33" s="124">
        <f t="shared" si="35"/>
        <v>967.9047854641683</v>
      </c>
      <c r="CV33" s="124">
        <f t="shared" si="35"/>
        <v>983.00700415367874</v>
      </c>
      <c r="CW33" s="124">
        <f t="shared" si="35"/>
        <v>998.09288232009544</v>
      </c>
      <c r="CX33" s="124">
        <f t="shared" si="35"/>
        <v>1013.1627218145095</v>
      </c>
      <c r="CY33" s="124">
        <f t="shared" si="35"/>
        <v>1028.8644328652429</v>
      </c>
      <c r="CZ33" s="124">
        <f t="shared" si="35"/>
        <v>1044.5502238241536</v>
      </c>
      <c r="DA33" s="124">
        <f t="shared" si="35"/>
        <v>1060.0197790842994</v>
      </c>
      <c r="DB33" s="124">
        <f t="shared" si="35"/>
        <v>1075.4741337701334</v>
      </c>
      <c r="DC33" s="124">
        <f t="shared" si="35"/>
        <v>1090.9135628147201</v>
      </c>
      <c r="DD33" s="124">
        <f t="shared" si="35"/>
        <v>1106.3383344534509</v>
      </c>
      <c r="DE33" s="124">
        <f t="shared" si="35"/>
        <v>1121.7487104703503</v>
      </c>
      <c r="DF33" s="124">
        <f t="shared" si="35"/>
        <v>1137.1449464302013</v>
      </c>
      <c r="DG33" s="124">
        <f t="shared" si="35"/>
        <v>1152.5272918976295</v>
      </c>
      <c r="DH33" s="125">
        <f>DH21-DH30</f>
        <v>1167.8959906441471</v>
      </c>
      <c r="DI33" s="118"/>
    </row>
    <row r="34" spans="1:113" x14ac:dyDescent="0.35">
      <c r="A34" s="136" t="s">
        <v>8</v>
      </c>
      <c r="B34" s="137"/>
      <c r="C34" s="51"/>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113" ht="29" x14ac:dyDescent="0.35">
      <c r="A35" s="4" t="s">
        <v>3</v>
      </c>
      <c r="B35" s="14">
        <v>0.47499999999999998</v>
      </c>
      <c r="C35" s="50"/>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row>
    <row r="36" spans="1:113" ht="15" thickBot="1" x14ac:dyDescent="0.4">
      <c r="A36" s="4" t="s">
        <v>4</v>
      </c>
      <c r="B36" s="15">
        <f>IF(B12="Conifères",1.3,1.56)</f>
        <v>1.56</v>
      </c>
      <c r="C36" s="52"/>
      <c r="D36" s="16"/>
      <c r="E36" s="16"/>
      <c r="F36" s="8"/>
      <c r="G36" s="8"/>
      <c r="H36" s="8"/>
      <c r="I36" s="8"/>
      <c r="J36" s="8"/>
      <c r="K36" s="8"/>
      <c r="L36" s="8"/>
      <c r="M36" s="8"/>
      <c r="N36" s="8"/>
      <c r="O36" s="8"/>
      <c r="P36" s="8"/>
      <c r="Q36" s="8"/>
      <c r="R36" s="8"/>
      <c r="S36" s="8"/>
      <c r="T36" s="8"/>
      <c r="U36" s="8"/>
      <c r="V36" s="8"/>
      <c r="W36" s="8"/>
      <c r="X36" s="8"/>
      <c r="Y36" s="8"/>
      <c r="Z36" s="8"/>
      <c r="AA36" s="8"/>
      <c r="AB36" s="8"/>
      <c r="AC36" s="8"/>
      <c r="AD36" s="8"/>
      <c r="AE36" s="8"/>
      <c r="AF36" s="8"/>
    </row>
    <row r="37" spans="1:113" ht="29.5" thickBot="1" x14ac:dyDescent="0.4">
      <c r="A37" s="12" t="s">
        <v>145</v>
      </c>
      <c r="B37" s="18" t="s">
        <v>29</v>
      </c>
      <c r="C37" s="108">
        <f>IF(B37="Alisier torminal",0.62,IF(B37="Arbousier",0.64,IF(B37="Aulne vert",0.42,IF(B37="Grands aulnes",0.42,IF(B37="Bouleaux",0.52,IF(B37="Cèdre de l’Atlas",0.36,IF(B37="Charme",0.61,IF(B37="Charme-houblon",0.66,IF(B37="Châtaignier",0.47,IF(B37="Chêne chevelu",0.67,IF(B37="Chêne-liège",0.7,IF(B37="Chêne pédonculé",0.54,IF(B37="Chêne pubescent",0.65,IF(B37="Chêne rouge d’Amérique",0.56,IF(B37="Chêne rouvre (sessile)",0.58,IF(B37="Chêne tauzin",0.64,IF(B37="Chêne vert",0.73,IF(B37="Chênes indifférenciés",0.56,IF(B37="Cornouiller mâle",0.74,IF(B37="Cyprès",0.4,IF(B37="Cytise aubour",0.6,IF(B37="Douglas",0.43,IF(B37="Epicéa commun",0.37,IF(B37="Epicéa de Sitka",0.36,IF(B37="Grands érables",0.51,IF(B37="Petits érables",0.56,IF(B37="Eucalyptus",0.56,IF(B37="Genévrier thurifère",0.48,IF(B37="Hêtre",0.55,IF(B37="Frênes",0.56,IF(B37="Fruitiers",0.58,IF(B37="If",0.58,IF(B37="Mélèze d’Europe",0.48,IF(B37="Mélèze du Japon",0.42,IF(B37="Merisier",0.5,IF(B37="Micocoulier",0.55,IF(B37="Mûrier",0.53,IF(B37="Noisetier",0.52,IF(B37="Noyer",0.52,IF(B37="Olivier",0.75,IF(B37="Ormes",0.52,IF(B37="Peupliers cultivés",0.35,IF(B37="Peupliers non cultivés",0.37,IF(B37="Pin d'Alep",0.45,IF(B37="Pin cembro",0.39,IF(B37="Pin à crochets",0.44,IF(B37="Pin laricio",0.46,IF(B37="Pin maritime",0.46,IF(B37="Pin mugho",0.44,IF(B37="Pin noir d'Autriche",0.46,IF(B37="Pin pignon",0.48,IF(B37="Pin sylvestre",0.44,IF(B37="Pin Weymouth",0.34,IF(B37="Platanes",0.5,IF(B37="Robinier faux acacia",0.58,IF(B37="Sapin méditerranéen",0.37,IF(B37="Sapin de Nordmann",0.37,IF(B37="Sapin pectiné",0.38,IF(B37="Sapin de Vancouver",0.36,IF(B37="Saules",0.37,IF(B37="Tamaris",0.53,IF(B37="Tilleuls",0.43,IF(B37="Tremble",0.38,IF(B37="Conifères (moyenne)",0.42,IF(B37="Feuillus (moyenne)",0.57,"")))))))))))))))))))))))))))))))))))))))))))))))))))))))))))))))))</f>
        <v>0.57999999999999996</v>
      </c>
      <c r="D37" s="109" t="s">
        <v>27</v>
      </c>
      <c r="E37" s="108">
        <f t="shared" ref="E37" si="36">IF(D37="Alisier torminal",0.62,IF(D37="Arbousier",0.64,IF(D37="Aulne vert",0.42,IF(D37="Grands aulnes",0.42,IF(D37="Bouleaux",0.52,IF(D37="Cèdre de l’Atlas",0.36,IF(D37="Charme",0.61,IF(D37="Charme-houblon",0.66,IF(D37="Châtaignier",0.47,IF(D37="Chêne chevelu",0.67,IF(D37="Chêne-liège",0.7,IF(D37="Chêne pédonculé",0.54,IF(D37="Chêne pubescent",0.65,IF(D37="Chêne rouge d’Amérique",0.56,IF(D37="Chêne rouvre (sessile)",0.58,IF(D37="Chêne tauzin",0.64,IF(D37="Chêne vert",0.73,IF(D37="Chênes indifférenciés",0.56,IF(D37="Cornouiller mâle",0.74,IF(D37="Cyprès",0.4,IF(D37="Cytise aubour",0.6,IF(D37="Douglas",0.43,IF(D37="Epicéa commun",0.37,IF(D37="Epicéa de Sitka",0.36,IF(D37="Grands érables",0.51,IF(D37="Petits érables",0.56,IF(D37="Eucalyptus",0.56,IF(D37="Genévrier thurifère",0.48,IF(D37="Hêtre",0.55,IF(D37="Frênes",0.56,IF(D37="Fruitiers",0.58,IF(D37="If",0.58,IF(D37="Mélèze d’Europe",0.48,IF(D37="Mélèze du Japon",0.42,IF(D37="Merisier",0.5,IF(D37="Micocoulier",0.55,IF(D37="Mûrier",0.53,IF(D37="Noisetier",0.52,IF(D37="Noyer",0.52,IF(D37="Olivier",0.75,IF(D37="Ormes",0.52,IF(D37="Peupliers cultivés",0.35,IF(D37="Peupliers non cultivés",0.37,IF(D37="Pin d'Alep",0.45,IF(D37="Pin cembro",0.39,IF(D37="Pin à crochets",0.44,IF(D37="Pin laricio",0.46,IF(D37="Pin maritime",0.46,IF(D37="Pin mugho",0.44,IF(D37="Pin noir d'Autriche",0.46,IF(D37="Pin pignon",0.48,IF(D37="Pin sylvestre",0.44,IF(D37="Pin Weymouth",0.34,IF(D37="Platanes",0.5,IF(D37="Robinier faux acacia",0.58,IF(D37="Sapin méditerranéen",0.37,IF(D37="Sapin de Nordmann",0.37,IF(D37="Sapin pectiné",0.38,IF(D37="Sapin de Vancouver",0.36,IF(D37="Saules",0.37,IF(D37="Tamaris",0.53,IF(D37="Tilleuls",0.43,IF(D37="Tremble",0.38,IF(D37="Conifères (moyenne)",0.42,IF(D37="Feuillus (moyenne)",0.57,"")))))))))))))))))))))))))))))))))))))))))))))))))))))))))))))))))</f>
        <v>0.54</v>
      </c>
      <c r="F37" s="110" t="s">
        <v>28</v>
      </c>
      <c r="G37" s="53">
        <f t="shared" ref="G37" si="37">IF(F37="Alisier torminal",0.62,IF(F37="Arbousier",0.64,IF(F37="Aulne vert",0.42,IF(F37="Grands aulnes",0.42,IF(F37="Bouleaux",0.52,IF(F37="Cèdre de l’Atlas",0.36,IF(F37="Charme",0.61,IF(F37="Charme-houblon",0.66,IF(F37="Châtaignier",0.47,IF(F37="Chêne chevelu",0.67,IF(F37="Chêne-liège",0.7,IF(F37="Chêne pédonculé",0.54,IF(F37="Chêne pubescent",0.65,IF(F37="Chêne rouge d’Amérique",0.56,IF(F37="Chêne rouvre (sessile)",0.58,IF(F37="Chêne tauzin",0.64,IF(F37="Chêne vert",0.73,IF(F37="Chênes indifférenciés",0.56,IF(F37="Cornouiller mâle",0.74,IF(F37="Cyprès",0.4,IF(F37="Cytise aubour",0.6,IF(F37="Douglas",0.43,IF(F37="Epicéa commun",0.37,IF(F37="Epicéa de Sitka",0.36,IF(F37="Grands érables",0.51,IF(F37="Petits érables",0.56,IF(F37="Eucalyptus",0.56,IF(F37="Genévrier thurifère",0.48,IF(F37="Hêtre",0.55,IF(F37="Frênes",0.56,IF(F37="Fruitiers",0.58,IF(F37="If",0.58,IF(F37="Mélèze d’Europe",0.48,IF(F37="Mélèze du Japon",0.42,IF(F37="Merisier",0.5,IF(F37="Micocoulier",0.55,IF(F37="Mûrier",0.53,IF(F37="Noisetier",0.52,IF(F37="Noyer",0.52,IF(F37="Olivier",0.75,IF(F37="Ormes",0.52,IF(F37="Peupliers cultivés",0.35,IF(F37="Peupliers non cultivés",0.37,IF(F37="Pin d'Alep",0.45,IF(F37="Pin cembro",0.39,IF(F37="Pin à crochets",0.44,IF(F37="Pin laricio",0.46,IF(F37="Pin maritime",0.46,IF(F37="Pin mugho",0.44,IF(F37="Pin noir d'Autriche",0.46,IF(F37="Pin pignon",0.48,IF(F37="Pin sylvestre",0.44,IF(F37="Pin Weymouth",0.34,IF(F37="Platanes",0.5,IF(F37="Robinier faux acacia",0.58,IF(F37="Sapin méditerranéen",0.37,IF(F37="Sapin de Nordmann",0.37,IF(F37="Sapin pectiné",0.38,IF(F37="Sapin de Vancouver",0.36,IF(F37="Saules",0.37,IF(F37="Tamaris",0.53,IF(F37="Tilleuls",0.43,IF(F37="Tremble",0.38,IF(F37="Conifères (moyenne)",0.42,IF(F37="Feuillus (moyenne)",0.57,"")))))))))))))))))))))))))))))))))))))))))))))))))))))))))))))))))</f>
        <v>0.65</v>
      </c>
      <c r="H37" s="52"/>
      <c r="I37" s="16" t="str">
        <f>IF(H37="Conifères (moyenne)",0.42,IF(H37="Feuillus (moyenne)",0.57,IF(H37="Moyenne",0.54,"")))</f>
        <v/>
      </c>
      <c r="J37" s="8"/>
      <c r="K37" s="8"/>
      <c r="L37" s="8"/>
      <c r="M37" s="8"/>
      <c r="N37" s="8"/>
      <c r="O37" s="8"/>
      <c r="P37" s="8"/>
      <c r="Q37" s="8"/>
      <c r="R37" s="8"/>
      <c r="S37" s="8"/>
      <c r="T37" s="8"/>
      <c r="U37" s="8"/>
      <c r="V37" s="8"/>
      <c r="W37" s="8"/>
      <c r="X37" s="8"/>
      <c r="Y37" s="8"/>
      <c r="Z37" s="8"/>
      <c r="AA37" s="8"/>
      <c r="AB37" s="8"/>
      <c r="AC37" s="8"/>
      <c r="AD37" s="8"/>
      <c r="AE37" s="8"/>
      <c r="AF37" s="8"/>
    </row>
    <row r="38" spans="1:113" ht="29" x14ac:dyDescent="0.35">
      <c r="A38" s="4" t="s">
        <v>173</v>
      </c>
      <c r="B38" s="24">
        <v>0</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113" x14ac:dyDescent="0.35">
      <c r="A39" s="4" t="s">
        <v>6</v>
      </c>
      <c r="B39" s="24">
        <v>10</v>
      </c>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row>
    <row r="40" spans="1:113" ht="56.5" x14ac:dyDescent="0.35">
      <c r="A40" s="4" t="s">
        <v>142</v>
      </c>
      <c r="B40" s="24">
        <v>5</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row>
    <row r="41" spans="1:113" ht="43.5" x14ac:dyDescent="0.35">
      <c r="A41" s="4" t="s">
        <v>143</v>
      </c>
      <c r="B41" s="24">
        <v>0</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row>
    <row r="42" spans="1:113" ht="29" x14ac:dyDescent="0.35">
      <c r="A42" s="4" t="s">
        <v>182</v>
      </c>
      <c r="B42" s="24">
        <v>45</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row>
    <row r="43" spans="1:113" ht="58" x14ac:dyDescent="0.35">
      <c r="A43" s="4" t="s">
        <v>144</v>
      </c>
      <c r="B43" s="24">
        <v>70</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row>
    <row r="44" spans="1:113" x14ac:dyDescent="0.35">
      <c r="A44" s="132"/>
      <c r="B44" s="133"/>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row>
    <row r="45" spans="1:113" ht="44" thickBot="1" x14ac:dyDescent="0.4">
      <c r="A45" s="5" t="s">
        <v>137</v>
      </c>
      <c r="B45" s="93">
        <f>AF33</f>
        <v>317.37160796943954</v>
      </c>
      <c r="C45" s="8"/>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row>
    <row r="46" spans="1:113" ht="43.5" x14ac:dyDescent="0.35">
      <c r="A46" s="3" t="s">
        <v>175</v>
      </c>
      <c r="B46" s="88">
        <f>(1/B11)*(SUM(B21:DH21))</f>
        <v>1009.7687510193113</v>
      </c>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1:113" ht="43.5" x14ac:dyDescent="0.35">
      <c r="A47" s="4" t="s">
        <v>176</v>
      </c>
      <c r="B47" s="119">
        <f>((1/B13)*(SUM(B30:DH30)))</f>
        <v>399.59999999999997</v>
      </c>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row>
    <row r="48" spans="1:113" ht="58.5" thickBot="1" x14ac:dyDescent="0.4">
      <c r="A48" s="5" t="s">
        <v>177</v>
      </c>
      <c r="B48" s="93">
        <f>B46-B47</f>
        <v>610.16875101931123</v>
      </c>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row>
  </sheetData>
  <mergeCells count="3">
    <mergeCell ref="A44:B44"/>
    <mergeCell ref="A9:B9"/>
    <mergeCell ref="A34:B34"/>
  </mergeCell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Choisir l'essence pour avoir la di pour le scénario de référence">
          <x14:formula1>
            <xm:f>'Listes choix'!$C$65:$C$67</xm:f>
          </x14:formula1>
          <xm:sqref>H37</xm:sqref>
        </x14:dataValidation>
        <x14:dataValidation type="list" showInputMessage="1" showErrorMessage="1" prompt="Choisir l'essence pour avoir la di pour le scénario de projet">
          <x14:formula1>
            <xm:f>'Listes choix'!$C$2:$C$66</xm:f>
          </x14:formula1>
          <xm:sqref>B37 D37 F37</xm:sqref>
        </x14:dataValidation>
        <x14:dataValidation type="list" showInputMessage="1" showErrorMessage="1" prompt="Information nécessaire pour le calcul du stock de la Biomasse Aérienne du scénario de projet">
          <x14:formula1>
            <xm:f>'Listes choix'!$B$2:$B$3</xm:f>
          </x14:formula1>
          <xm:sqref>B12</xm:sqref>
        </x14:dataValidation>
        <x14:dataValidation type="list" showInputMessage="1" showErrorMessage="1" prompt="Choisir une de trois options">
          <x14:formula1>
            <xm:f>'Listes choix'!$A$71:$A$73</xm:f>
          </x14:formula1>
          <xm:sqref>B15</xm:sqref>
        </x14:dataValidation>
        <x14:dataValidation type="list" showInputMessage="1" showErrorMessage="1" prompt="Information nécessaire pour le scénario de référence">
          <x14:formula1>
            <xm:f>'Listes choix'!$T$2:$T$3</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FU28"/>
  <sheetViews>
    <sheetView zoomScale="69" workbookViewId="0">
      <selection activeCell="D24" sqref="D24"/>
    </sheetView>
  </sheetViews>
  <sheetFormatPr baseColWidth="10" defaultRowHeight="14.5" x14ac:dyDescent="0.35"/>
  <cols>
    <col min="1" max="1" width="38.08984375" style="1" customWidth="1"/>
    <col min="2" max="2" width="27.08984375" customWidth="1"/>
    <col min="4" max="4" width="13.1796875" customWidth="1"/>
  </cols>
  <sheetData>
    <row r="4" spans="1:177" ht="16" thickBot="1" x14ac:dyDescent="0.4">
      <c r="A4" s="20"/>
      <c r="B4" s="8"/>
    </row>
    <row r="5" spans="1:177" ht="16" thickBot="1" x14ac:dyDescent="0.4">
      <c r="A5" s="21" t="s">
        <v>178</v>
      </c>
      <c r="B5" s="26">
        <f>SUM(B18:AE18)</f>
        <v>13.75</v>
      </c>
    </row>
    <row r="6" spans="1:177" ht="16" thickBot="1" x14ac:dyDescent="0.4">
      <c r="A6" s="21" t="s">
        <v>90</v>
      </c>
      <c r="B6" s="26">
        <f>B5*B10</f>
        <v>29.700000000000003</v>
      </c>
    </row>
    <row r="8" spans="1:177" ht="15" thickBot="1" x14ac:dyDescent="0.4"/>
    <row r="9" spans="1:177" ht="15" thickBot="1" x14ac:dyDescent="0.4">
      <c r="A9" s="134" t="s">
        <v>10</v>
      </c>
      <c r="B9" s="135"/>
    </row>
    <row r="10" spans="1:177" x14ac:dyDescent="0.35">
      <c r="A10" s="3" t="s">
        <v>5</v>
      </c>
      <c r="B10" s="85">
        <v>2.16</v>
      </c>
    </row>
    <row r="11" spans="1:177" x14ac:dyDescent="0.35">
      <c r="A11" s="89" t="s">
        <v>13</v>
      </c>
      <c r="B11" s="92">
        <v>30</v>
      </c>
    </row>
    <row r="12" spans="1:177" x14ac:dyDescent="0.35">
      <c r="A12" s="4" t="s">
        <v>103</v>
      </c>
      <c r="B12" s="31" t="s">
        <v>16</v>
      </c>
    </row>
    <row r="13" spans="1:177" ht="36" customHeight="1" thickBot="1" x14ac:dyDescent="0.4">
      <c r="A13" s="5" t="s">
        <v>156</v>
      </c>
      <c r="B13" s="35">
        <f>IF(B12="Feuillus",C25,IF(B12="Peuplier",C26,IF(B12="Résineux",C28,IF(B12="Pin maritime en gestion dynamique (3 éclaircies durant les 30 1ères années)",C27,0))))</f>
        <v>0.25</v>
      </c>
    </row>
    <row r="14" spans="1:177" ht="15" thickBot="1" x14ac:dyDescent="0.4">
      <c r="AF14" s="8"/>
    </row>
    <row r="15" spans="1:177" s="6" customFormat="1" ht="15.5" x14ac:dyDescent="0.35">
      <c r="A15" s="144" t="s">
        <v>91</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6"/>
      <c r="AF15" s="20"/>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row>
    <row r="16" spans="1:177" x14ac:dyDescent="0.35">
      <c r="A16" s="4" t="s">
        <v>14</v>
      </c>
      <c r="B16" s="13">
        <v>1</v>
      </c>
      <c r="C16" s="13">
        <v>2</v>
      </c>
      <c r="D16" s="13">
        <v>3</v>
      </c>
      <c r="E16" s="13">
        <v>4</v>
      </c>
      <c r="F16" s="13">
        <v>5</v>
      </c>
      <c r="G16" s="13">
        <v>6</v>
      </c>
      <c r="H16" s="13">
        <v>7</v>
      </c>
      <c r="I16" s="13">
        <v>8</v>
      </c>
      <c r="J16" s="13">
        <v>9</v>
      </c>
      <c r="K16" s="13">
        <v>10</v>
      </c>
      <c r="L16" s="13">
        <v>11</v>
      </c>
      <c r="M16" s="13">
        <v>12</v>
      </c>
      <c r="N16" s="13">
        <v>13</v>
      </c>
      <c r="O16" s="13">
        <v>14</v>
      </c>
      <c r="P16" s="13">
        <v>15</v>
      </c>
      <c r="Q16" s="13">
        <v>16</v>
      </c>
      <c r="R16" s="13">
        <v>17</v>
      </c>
      <c r="S16" s="13">
        <v>18</v>
      </c>
      <c r="T16" s="13">
        <v>19</v>
      </c>
      <c r="U16" s="13">
        <v>20</v>
      </c>
      <c r="V16" s="13">
        <v>21</v>
      </c>
      <c r="W16" s="13">
        <v>22</v>
      </c>
      <c r="X16" s="13">
        <v>23</v>
      </c>
      <c r="Y16" s="13">
        <v>24</v>
      </c>
      <c r="Z16" s="13">
        <v>25</v>
      </c>
      <c r="AA16" s="13">
        <v>26</v>
      </c>
      <c r="AB16" s="13">
        <v>27</v>
      </c>
      <c r="AC16" s="13">
        <v>28</v>
      </c>
      <c r="AD16" s="13">
        <v>29</v>
      </c>
      <c r="AE16" s="24">
        <v>30</v>
      </c>
      <c r="AF16" s="16"/>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row>
    <row r="17" spans="1:177" s="6" customFormat="1" x14ac:dyDescent="0.35">
      <c r="A17" s="147" t="s">
        <v>2</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9"/>
      <c r="AF17" s="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row>
    <row r="18" spans="1:177" s="6" customFormat="1" x14ac:dyDescent="0.35">
      <c r="A18" s="58" t="s">
        <v>180</v>
      </c>
      <c r="B18" s="57">
        <f>$B$13*B19</f>
        <v>0</v>
      </c>
      <c r="C18" s="57">
        <f>$B$13*C19</f>
        <v>0</v>
      </c>
      <c r="D18" s="57">
        <f>$B$13*D19</f>
        <v>0</v>
      </c>
      <c r="E18" s="57">
        <f>$B$13*E19</f>
        <v>0</v>
      </c>
      <c r="F18" s="57">
        <f t="shared" ref="F18:AD18" si="0">$B$13*F19</f>
        <v>0</v>
      </c>
      <c r="G18" s="57">
        <f t="shared" si="0"/>
        <v>0</v>
      </c>
      <c r="H18" s="57">
        <f t="shared" si="0"/>
        <v>0</v>
      </c>
      <c r="I18" s="57">
        <f t="shared" si="0"/>
        <v>0</v>
      </c>
      <c r="J18" s="57">
        <f t="shared" si="0"/>
        <v>0</v>
      </c>
      <c r="K18" s="57">
        <f t="shared" si="0"/>
        <v>0</v>
      </c>
      <c r="L18" s="57">
        <f t="shared" si="0"/>
        <v>0</v>
      </c>
      <c r="M18" s="57">
        <f t="shared" si="0"/>
        <v>0</v>
      </c>
      <c r="N18" s="57">
        <f t="shared" si="0"/>
        <v>0</v>
      </c>
      <c r="O18" s="57">
        <f t="shared" si="0"/>
        <v>0</v>
      </c>
      <c r="P18" s="57">
        <f t="shared" si="0"/>
        <v>0</v>
      </c>
      <c r="Q18" s="57">
        <f t="shared" si="0"/>
        <v>0</v>
      </c>
      <c r="R18" s="57">
        <f t="shared" si="0"/>
        <v>0</v>
      </c>
      <c r="S18" s="57">
        <f t="shared" si="0"/>
        <v>0</v>
      </c>
      <c r="T18" s="57">
        <f t="shared" si="0"/>
        <v>0</v>
      </c>
      <c r="U18" s="57">
        <f t="shared" si="0"/>
        <v>0</v>
      </c>
      <c r="V18" s="57">
        <f t="shared" si="0"/>
        <v>0</v>
      </c>
      <c r="W18" s="57">
        <f t="shared" si="0"/>
        <v>0</v>
      </c>
      <c r="X18" s="57">
        <f t="shared" si="0"/>
        <v>0</v>
      </c>
      <c r="Y18" s="57">
        <f t="shared" si="0"/>
        <v>0</v>
      </c>
      <c r="Z18" s="57">
        <f t="shared" si="0"/>
        <v>0</v>
      </c>
      <c r="AA18" s="57">
        <f t="shared" si="0"/>
        <v>0</v>
      </c>
      <c r="AB18" s="57">
        <f t="shared" si="0"/>
        <v>0</v>
      </c>
      <c r="AC18" s="57">
        <f t="shared" si="0"/>
        <v>0</v>
      </c>
      <c r="AD18" s="57">
        <f t="shared" si="0"/>
        <v>0</v>
      </c>
      <c r="AE18" s="59">
        <f>$B$13*AE19</f>
        <v>13.75</v>
      </c>
      <c r="AF18" s="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row>
    <row r="19" spans="1:177" ht="15" thickBot="1" x14ac:dyDescent="0.4">
      <c r="A19" s="4" t="s">
        <v>181</v>
      </c>
      <c r="B19" s="18"/>
      <c r="C19" s="54"/>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1">
        <v>55</v>
      </c>
      <c r="AF19" s="34"/>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row>
    <row r="20" spans="1:177" ht="15" thickBot="1" x14ac:dyDescent="0.4">
      <c r="A20" s="140" t="s">
        <v>8</v>
      </c>
      <c r="B20" s="141"/>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177" x14ac:dyDescent="0.35">
      <c r="A21" s="142" t="s">
        <v>93</v>
      </c>
      <c r="B21" s="13" t="s">
        <v>94</v>
      </c>
      <c r="C21" s="29">
        <v>1.52</v>
      </c>
      <c r="D21" s="16"/>
      <c r="E21" s="16"/>
      <c r="F21" s="8"/>
      <c r="G21" s="8"/>
      <c r="H21" s="8"/>
      <c r="I21" s="8"/>
      <c r="J21" s="8"/>
      <c r="K21" s="8"/>
      <c r="L21" s="8"/>
      <c r="M21" s="8"/>
      <c r="N21" s="8"/>
      <c r="O21" s="8"/>
      <c r="P21" s="8"/>
      <c r="Q21" s="8"/>
      <c r="R21" s="8"/>
      <c r="S21" s="8"/>
      <c r="T21" s="8"/>
      <c r="U21" s="8"/>
      <c r="V21" s="8"/>
      <c r="W21" s="8"/>
      <c r="X21" s="8"/>
      <c r="Y21" s="8"/>
      <c r="Z21" s="8"/>
      <c r="AA21" s="8"/>
      <c r="AB21" s="8"/>
      <c r="AC21" s="8"/>
      <c r="AD21" s="8"/>
      <c r="AE21" s="8"/>
      <c r="AF21" s="8"/>
    </row>
    <row r="22" spans="1:177" x14ac:dyDescent="0.35">
      <c r="A22" s="143"/>
      <c r="B22" s="13" t="s">
        <v>96</v>
      </c>
      <c r="C22" s="24">
        <v>0</v>
      </c>
      <c r="D22" s="16"/>
      <c r="E22" s="16"/>
      <c r="F22" s="8"/>
      <c r="G22" s="8"/>
      <c r="H22" s="8"/>
      <c r="I22" s="8"/>
      <c r="J22" s="8"/>
      <c r="K22" s="8"/>
      <c r="L22" s="8"/>
      <c r="M22" s="8"/>
      <c r="N22" s="8"/>
      <c r="O22" s="8"/>
      <c r="P22" s="8"/>
      <c r="Q22" s="8"/>
      <c r="R22" s="8"/>
      <c r="S22" s="8"/>
      <c r="T22" s="8"/>
      <c r="U22" s="8"/>
      <c r="V22" s="8"/>
      <c r="W22" s="8"/>
      <c r="X22" s="8"/>
      <c r="Y22" s="8"/>
      <c r="Z22" s="8"/>
      <c r="AA22" s="8"/>
      <c r="AB22" s="8"/>
      <c r="AC22" s="8"/>
      <c r="AD22" s="8"/>
      <c r="AE22" s="8"/>
      <c r="AF22" s="8"/>
    </row>
    <row r="23" spans="1:177" x14ac:dyDescent="0.35">
      <c r="A23" s="143"/>
      <c r="B23" s="13" t="s">
        <v>97</v>
      </c>
      <c r="C23" s="24">
        <v>0.77</v>
      </c>
      <c r="D23" s="16"/>
      <c r="E23" s="16"/>
      <c r="F23" s="8"/>
      <c r="G23" s="8"/>
      <c r="H23" s="8"/>
      <c r="I23" s="8"/>
      <c r="J23" s="8"/>
      <c r="K23" s="8"/>
      <c r="L23" s="8"/>
      <c r="M23" s="8"/>
      <c r="N23" s="8"/>
      <c r="O23" s="8"/>
      <c r="P23" s="8"/>
      <c r="Q23" s="8"/>
      <c r="R23" s="8"/>
      <c r="S23" s="8"/>
      <c r="T23" s="8"/>
      <c r="U23" s="8"/>
      <c r="V23" s="8"/>
      <c r="W23" s="8"/>
      <c r="X23" s="8"/>
      <c r="Y23" s="8"/>
      <c r="Z23" s="8"/>
      <c r="AA23" s="8"/>
      <c r="AB23" s="8"/>
      <c r="AC23" s="8"/>
      <c r="AD23" s="8"/>
      <c r="AE23" s="8"/>
      <c r="AF23" s="8"/>
    </row>
    <row r="24" spans="1:177" x14ac:dyDescent="0.35">
      <c r="A24" s="143"/>
      <c r="B24" s="13" t="s">
        <v>95</v>
      </c>
      <c r="C24" s="24">
        <v>0.25</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row>
    <row r="25" spans="1:177" x14ac:dyDescent="0.35">
      <c r="A25" s="138" t="s">
        <v>98</v>
      </c>
      <c r="B25" s="25" t="s">
        <v>99</v>
      </c>
      <c r="C25" s="32">
        <v>0.25</v>
      </c>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row>
    <row r="26" spans="1:177" x14ac:dyDescent="0.35">
      <c r="A26" s="138"/>
      <c r="B26" s="25" t="s">
        <v>100</v>
      </c>
      <c r="C26" s="32">
        <v>1.03</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row>
    <row r="27" spans="1:177" ht="29" x14ac:dyDescent="0.35">
      <c r="A27" s="138"/>
      <c r="B27" s="30" t="s">
        <v>101</v>
      </c>
      <c r="C27" s="32">
        <v>0.59</v>
      </c>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row>
    <row r="28" spans="1:177" ht="15" thickBot="1" x14ac:dyDescent="0.4">
      <c r="A28" s="139"/>
      <c r="B28" s="23" t="s">
        <v>102</v>
      </c>
      <c r="C28" s="33">
        <v>0.43</v>
      </c>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row>
  </sheetData>
  <mergeCells count="6">
    <mergeCell ref="A25:A28"/>
    <mergeCell ref="A9:B9"/>
    <mergeCell ref="A20:B20"/>
    <mergeCell ref="A21:A24"/>
    <mergeCell ref="A15:AE15"/>
    <mergeCell ref="A17:AE17"/>
  </mergeCell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Choisir l'essence pour avoir la di pour le scénario de référence">
          <x14:formula1>
            <xm:f>'Listes choix'!$C$2:$C$66</xm:f>
          </x14:formula1>
          <xm:sqref>D21:D23</xm:sqref>
        </x14:dataValidation>
        <x14:dataValidation type="list" showInputMessage="1" showErrorMessage="1" prompt="Choisir un type de reboisement pour le calcul du CS projet">
          <x14:formula1>
            <xm:f>'Listes choix'!$G$2:$G$5</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topLeftCell="A2" zoomScale="76" workbookViewId="0">
      <selection activeCell="A24" sqref="A24"/>
    </sheetView>
  </sheetViews>
  <sheetFormatPr baseColWidth="10" defaultRowHeight="14.5" x14ac:dyDescent="0.35"/>
  <cols>
    <col min="1" max="1" width="55.90625" customWidth="1"/>
    <col min="2" max="2" width="29.7265625" customWidth="1"/>
    <col min="3" max="3" width="22.54296875" customWidth="1"/>
  </cols>
  <sheetData>
    <row r="1" spans="1:5" ht="15" thickBot="1" x14ac:dyDescent="0.4"/>
    <row r="2" spans="1:5" ht="16" thickBot="1" x14ac:dyDescent="0.4">
      <c r="A2" s="36" t="s">
        <v>109</v>
      </c>
      <c r="B2" s="104" t="s">
        <v>108</v>
      </c>
      <c r="C2" s="105"/>
      <c r="D2" s="106"/>
      <c r="E2" s="8"/>
    </row>
    <row r="3" spans="1:5" ht="15.5" x14ac:dyDescent="0.35">
      <c r="A3" s="27" t="s">
        <v>110</v>
      </c>
      <c r="B3" s="128">
        <f>SUM(B4,B6)</f>
        <v>317.37160796943954</v>
      </c>
      <c r="C3" s="105"/>
      <c r="D3" s="106"/>
      <c r="E3" s="8"/>
    </row>
    <row r="4" spans="1:5" ht="15.5" x14ac:dyDescent="0.35">
      <c r="A4" s="37" t="s">
        <v>111</v>
      </c>
      <c r="B4" s="129">
        <f>REAforêtMBoisement!B5</f>
        <v>317.37160796943954</v>
      </c>
      <c r="C4" s="105"/>
      <c r="D4" s="106"/>
      <c r="E4" s="8"/>
    </row>
    <row r="5" spans="1:5" ht="15.5" x14ac:dyDescent="0.35">
      <c r="A5" s="94" t="s">
        <v>115</v>
      </c>
      <c r="B5" s="129">
        <f>B4*(1-C15)*(1-C16)*(1-C17)*(1-C18)</f>
        <v>285.63444717249558</v>
      </c>
      <c r="C5" s="105"/>
      <c r="D5" s="106"/>
      <c r="E5" s="8"/>
    </row>
    <row r="6" spans="1:5" ht="15.5" x14ac:dyDescent="0.35">
      <c r="A6" s="37" t="s">
        <v>112</v>
      </c>
      <c r="B6" s="129">
        <v>0</v>
      </c>
      <c r="C6" s="105"/>
      <c r="D6" s="106"/>
      <c r="E6" s="8"/>
    </row>
    <row r="7" spans="1:5" ht="15.5" x14ac:dyDescent="0.35">
      <c r="A7" s="94" t="s">
        <v>116</v>
      </c>
      <c r="B7" s="129">
        <f>B6*(1-C15)*(1-C16)*(1-C17)*(1-C18)</f>
        <v>0</v>
      </c>
      <c r="C7" s="105"/>
      <c r="D7" s="106"/>
      <c r="E7" s="8"/>
    </row>
    <row r="8" spans="1:5" ht="15.5" x14ac:dyDescent="0.35">
      <c r="A8" s="37" t="s">
        <v>113</v>
      </c>
      <c r="B8" s="129">
        <f>REEsubsMBoisement!B6</f>
        <v>29.700000000000003</v>
      </c>
      <c r="C8" s="105"/>
      <c r="D8" s="106"/>
      <c r="E8" s="8"/>
    </row>
    <row r="9" spans="1:5" ht="16" thickBot="1" x14ac:dyDescent="0.4">
      <c r="A9" s="95" t="s">
        <v>117</v>
      </c>
      <c r="B9" s="130">
        <f>B8*(1-C15)*(1-C16)*(1-C17)*(1-C18)</f>
        <v>26.730000000000004</v>
      </c>
      <c r="C9" s="105"/>
      <c r="D9" s="106"/>
      <c r="E9" s="8"/>
    </row>
    <row r="10" spans="1:5" ht="15.5" x14ac:dyDescent="0.35">
      <c r="A10" s="38" t="s">
        <v>114</v>
      </c>
      <c r="B10" s="126">
        <f>SUM(B3,B8)</f>
        <v>347.07160796943953</v>
      </c>
      <c r="C10" s="52"/>
      <c r="D10" s="16"/>
      <c r="E10" s="8"/>
    </row>
    <row r="11" spans="1:5" ht="16" thickBot="1" x14ac:dyDescent="0.4">
      <c r="A11" s="39" t="s">
        <v>118</v>
      </c>
      <c r="B11" s="127">
        <f>SUM(B5,B7,B9)</f>
        <v>312.3644471724956</v>
      </c>
      <c r="C11" s="52"/>
      <c r="D11" s="16"/>
      <c r="E11" s="8"/>
    </row>
    <row r="13" spans="1:5" ht="15" thickBot="1" x14ac:dyDescent="0.4"/>
    <row r="14" spans="1:5" ht="16" thickBot="1" x14ac:dyDescent="0.4">
      <c r="A14" s="41" t="s">
        <v>119</v>
      </c>
      <c r="B14" s="60" t="s">
        <v>120</v>
      </c>
      <c r="C14" s="84" t="s">
        <v>127</v>
      </c>
    </row>
    <row r="15" spans="1:5" x14ac:dyDescent="0.35">
      <c r="A15" s="99" t="s">
        <v>188</v>
      </c>
      <c r="B15" s="44" t="s">
        <v>128</v>
      </c>
      <c r="C15" s="46">
        <f>IF(B15="Réalisée",0,IF(B15="Pas réalisée",0.2,""))</f>
        <v>0</v>
      </c>
    </row>
    <row r="16" spans="1:5" x14ac:dyDescent="0.35">
      <c r="A16" s="22" t="s">
        <v>189</v>
      </c>
      <c r="B16" s="43" t="s">
        <v>124</v>
      </c>
      <c r="C16" s="47">
        <v>0.1</v>
      </c>
      <c r="D16" s="40"/>
    </row>
    <row r="17" spans="1:5" ht="29" x14ac:dyDescent="0.35">
      <c r="A17" s="103" t="s">
        <v>149</v>
      </c>
      <c r="B17" s="45" t="s">
        <v>135</v>
      </c>
      <c r="C17" s="47">
        <f>IF(B17="Départements sans risque ou risque négligeable",0,IF(B17="Départements avec risque très faible ou faible",0.05,IF(B17="Départements avec risque moyen",0.1,IF(B17="Départements avec risque fort ou très fort", 0.15,""))))</f>
        <v>0</v>
      </c>
      <c r="D17" s="40"/>
    </row>
    <row r="18" spans="1:5" ht="15" thickBot="1" x14ac:dyDescent="0.4">
      <c r="A18" s="131" t="s">
        <v>126</v>
      </c>
      <c r="B18" s="156" t="s">
        <v>133</v>
      </c>
      <c r="C18" s="157">
        <f>IF(B18="Démontrée",0,IF(B18="Non démontrée",0.1,""))</f>
        <v>0</v>
      </c>
    </row>
    <row r="19" spans="1:5" x14ac:dyDescent="0.35">
      <c r="A19" s="48"/>
      <c r="B19" s="16"/>
      <c r="C19" s="16"/>
      <c r="D19" s="48"/>
      <c r="E19" s="82"/>
    </row>
    <row r="20" spans="1:5" x14ac:dyDescent="0.35">
      <c r="A20" s="48"/>
      <c r="B20" s="16"/>
      <c r="C20" s="16"/>
      <c r="D20" s="48"/>
      <c r="E20" s="82"/>
    </row>
    <row r="21" spans="1:5" x14ac:dyDescent="0.35">
      <c r="A21" s="48"/>
      <c r="B21" s="16"/>
      <c r="C21" s="16"/>
      <c r="D21" s="48"/>
      <c r="E21" s="82"/>
    </row>
    <row r="22" spans="1:5" x14ac:dyDescent="0.35">
      <c r="A22" s="48"/>
      <c r="B22" s="16"/>
      <c r="C22" s="49"/>
      <c r="D22" s="48"/>
    </row>
    <row r="23" spans="1:5" x14ac:dyDescent="0.35">
      <c r="A23" s="48"/>
      <c r="B23" s="48"/>
      <c r="C23" s="48"/>
      <c r="D23" s="48"/>
    </row>
    <row r="24" spans="1:5" x14ac:dyDescent="0.35">
      <c r="A24" s="48"/>
      <c r="B24" s="48"/>
      <c r="C24" s="48"/>
      <c r="D24" s="48"/>
    </row>
    <row r="25" spans="1:5" x14ac:dyDescent="0.35">
      <c r="A25" s="48"/>
      <c r="B25" s="48"/>
      <c r="C25" s="48"/>
      <c r="D25" s="48"/>
    </row>
    <row r="26" spans="1:5" x14ac:dyDescent="0.35">
      <c r="A26" s="48"/>
      <c r="B26" s="48"/>
      <c r="C26" s="48"/>
      <c r="D26" s="48"/>
    </row>
  </sheetData>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showInputMessage="1" showErrorMessage="1" prompt="Choisir une des deux options (Méthode Reboisement et Boisement)">
          <x14:formula1>
            <xm:f>'Listes choix'!$J$2:$K$2</xm:f>
          </x14:formula1>
          <xm:sqref>B15</xm:sqref>
        </x14:dataValidation>
        <x14:dataValidation type="list" showInputMessage="1" showErrorMessage="1" prompt="Choisir une des deux options">
          <x14:formula1>
            <xm:f>'Listes choix'!$J$9:$K$9</xm:f>
          </x14:formula1>
          <xm:sqref>B18</xm:sqref>
        </x14:dataValidation>
        <x14:dataValidation type="list" showInputMessage="1" showErrorMessage="1" prompt="Choisir une des quatre options (Méthodes Reboisement et Boisement)">
          <x14:formula1>
            <xm:f>'Listes choix'!$K$5:$K$8</xm:f>
          </x14:formula1>
          <xm:sqref>B17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60"/>
  <sheetViews>
    <sheetView topLeftCell="H1" zoomScale="66" workbookViewId="0">
      <selection activeCell="W2" sqref="W2"/>
    </sheetView>
  </sheetViews>
  <sheetFormatPr baseColWidth="10" defaultRowHeight="14.5" x14ac:dyDescent="0.35"/>
  <cols>
    <col min="1" max="1" width="23.1796875" style="40" customWidth="1"/>
    <col min="2" max="2" width="10.90625" style="40"/>
    <col min="3" max="3" width="22.08984375" style="40" customWidth="1"/>
    <col min="4" max="6" width="10.90625" style="40"/>
    <col min="7" max="7" width="14.90625" style="40" customWidth="1"/>
    <col min="8" max="8" width="16.7265625" style="40" customWidth="1"/>
    <col min="9" max="9" width="22.26953125" style="40" customWidth="1"/>
    <col min="10" max="10" width="25" style="40" customWidth="1"/>
    <col min="11" max="11" width="26.90625" style="40" customWidth="1"/>
    <col min="12" max="15" width="10.90625" style="40"/>
    <col min="16" max="16" width="13.6328125" style="40" customWidth="1"/>
    <col min="17" max="16384" width="10.90625" style="40"/>
  </cols>
  <sheetData>
    <row r="1" spans="1:20" ht="44" thickBot="1" x14ac:dyDescent="0.4">
      <c r="A1" s="64" t="s">
        <v>7</v>
      </c>
      <c r="B1" s="64" t="s">
        <v>15</v>
      </c>
      <c r="C1" s="68" t="s">
        <v>53</v>
      </c>
      <c r="D1" s="69" t="s">
        <v>18</v>
      </c>
      <c r="E1" s="68" t="s">
        <v>85</v>
      </c>
      <c r="F1" s="68" t="s">
        <v>86</v>
      </c>
      <c r="G1" s="68" t="s">
        <v>104</v>
      </c>
      <c r="H1" s="68" t="s">
        <v>106</v>
      </c>
      <c r="I1" s="77" t="s">
        <v>119</v>
      </c>
      <c r="J1" s="150" t="s">
        <v>120</v>
      </c>
      <c r="K1" s="151"/>
      <c r="L1" s="11"/>
      <c r="M1" s="11"/>
      <c r="N1" s="68" t="s">
        <v>53</v>
      </c>
      <c r="O1" s="68" t="s">
        <v>146</v>
      </c>
      <c r="P1" s="69" t="s">
        <v>149</v>
      </c>
      <c r="Q1" s="153" t="s">
        <v>158</v>
      </c>
      <c r="R1" s="154"/>
      <c r="S1" s="155"/>
      <c r="T1" s="68" t="s">
        <v>185</v>
      </c>
    </row>
    <row r="2" spans="1:20" ht="87.5" thickBot="1" x14ac:dyDescent="0.4">
      <c r="A2" s="61" t="s">
        <v>152</v>
      </c>
      <c r="B2" s="66" t="s">
        <v>17</v>
      </c>
      <c r="C2" s="70" t="s">
        <v>19</v>
      </c>
      <c r="D2" s="73">
        <v>0.62</v>
      </c>
      <c r="E2" s="70" t="s">
        <v>87</v>
      </c>
      <c r="F2" s="73">
        <v>35</v>
      </c>
      <c r="G2" s="66" t="s">
        <v>16</v>
      </c>
      <c r="H2" s="66" t="s">
        <v>16</v>
      </c>
      <c r="I2" s="70" t="s">
        <v>121</v>
      </c>
      <c r="J2" s="78" t="s">
        <v>128</v>
      </c>
      <c r="K2" s="78" t="s">
        <v>172</v>
      </c>
      <c r="L2" s="81" t="s">
        <v>128</v>
      </c>
      <c r="M2" s="80" t="s">
        <v>172</v>
      </c>
      <c r="N2" s="66" t="s">
        <v>19</v>
      </c>
      <c r="O2" s="66" t="s">
        <v>147</v>
      </c>
      <c r="P2" s="65" t="s">
        <v>150</v>
      </c>
      <c r="Q2" s="68" t="s">
        <v>157</v>
      </c>
      <c r="R2" s="68" t="s">
        <v>159</v>
      </c>
      <c r="S2" s="98" t="s">
        <v>160</v>
      </c>
      <c r="T2" s="42" t="s">
        <v>186</v>
      </c>
    </row>
    <row r="3" spans="1:20" ht="102" thickBot="1" x14ac:dyDescent="0.4">
      <c r="A3" s="62" t="s">
        <v>153</v>
      </c>
      <c r="B3" s="67" t="s">
        <v>16</v>
      </c>
      <c r="C3" s="55" t="s">
        <v>75</v>
      </c>
      <c r="D3" s="74">
        <v>0.64</v>
      </c>
      <c r="E3" s="55" t="s">
        <v>88</v>
      </c>
      <c r="F3" s="74">
        <v>25</v>
      </c>
      <c r="G3" s="76" t="s">
        <v>100</v>
      </c>
      <c r="H3" s="67" t="s">
        <v>107</v>
      </c>
      <c r="I3" s="55" t="s">
        <v>122</v>
      </c>
      <c r="J3" s="42" t="s">
        <v>134</v>
      </c>
      <c r="K3" s="71" t="s">
        <v>136</v>
      </c>
      <c r="L3" s="11"/>
      <c r="M3" s="11"/>
      <c r="N3" s="76" t="s">
        <v>20</v>
      </c>
      <c r="O3" s="76" t="s">
        <v>24</v>
      </c>
      <c r="P3" s="67" t="s">
        <v>131</v>
      </c>
      <c r="Q3" s="66" t="s">
        <v>161</v>
      </c>
      <c r="R3" s="66" t="s">
        <v>170</v>
      </c>
      <c r="S3" s="66" t="s">
        <v>164</v>
      </c>
      <c r="T3" s="42" t="s">
        <v>187</v>
      </c>
    </row>
    <row r="4" spans="1:20" ht="87.5" thickBot="1" x14ac:dyDescent="0.4">
      <c r="A4" s="62" t="s">
        <v>154</v>
      </c>
      <c r="B4" s="11"/>
      <c r="C4" s="55" t="s">
        <v>20</v>
      </c>
      <c r="D4" s="74">
        <v>0.42</v>
      </c>
      <c r="E4" s="56" t="s">
        <v>89</v>
      </c>
      <c r="F4" s="75">
        <v>2</v>
      </c>
      <c r="G4" s="62" t="s">
        <v>102</v>
      </c>
      <c r="H4" s="11"/>
      <c r="I4" s="55" t="s">
        <v>123</v>
      </c>
      <c r="J4" s="42" t="s">
        <v>124</v>
      </c>
      <c r="K4" s="71" t="s">
        <v>124</v>
      </c>
      <c r="L4" s="11"/>
      <c r="M4" s="11"/>
      <c r="N4" s="76" t="s">
        <v>76</v>
      </c>
      <c r="O4" s="63" t="s">
        <v>148</v>
      </c>
      <c r="P4" s="11"/>
      <c r="Q4" s="76" t="s">
        <v>162</v>
      </c>
      <c r="R4" s="67" t="s">
        <v>163</v>
      </c>
      <c r="S4" s="62" t="s">
        <v>165</v>
      </c>
    </row>
    <row r="5" spans="1:20" ht="87.5" thickBot="1" x14ac:dyDescent="0.4">
      <c r="A5" s="63" t="s">
        <v>155</v>
      </c>
      <c r="B5" s="11"/>
      <c r="C5" s="55" t="s">
        <v>76</v>
      </c>
      <c r="D5" s="71">
        <v>0.42</v>
      </c>
      <c r="E5" s="11"/>
      <c r="F5" s="11"/>
      <c r="G5" s="63" t="s">
        <v>105</v>
      </c>
      <c r="H5" s="11"/>
      <c r="I5" s="142" t="s">
        <v>125</v>
      </c>
      <c r="J5" s="42"/>
      <c r="K5" s="71" t="s">
        <v>135</v>
      </c>
      <c r="L5" s="11"/>
      <c r="M5" s="11"/>
      <c r="N5" s="62" t="s">
        <v>22</v>
      </c>
      <c r="O5" s="11"/>
      <c r="P5" s="11"/>
      <c r="Q5" s="63" t="s">
        <v>169</v>
      </c>
      <c r="S5" s="62" t="s">
        <v>166</v>
      </c>
    </row>
    <row r="6" spans="1:20" ht="72.5" x14ac:dyDescent="0.35">
      <c r="A6" s="11"/>
      <c r="B6" s="11"/>
      <c r="C6" s="55" t="s">
        <v>77</v>
      </c>
      <c r="D6" s="71">
        <v>0.52</v>
      </c>
      <c r="E6" s="11"/>
      <c r="F6" s="11"/>
      <c r="G6" s="11"/>
      <c r="H6" s="11"/>
      <c r="I6" s="143"/>
      <c r="J6" s="42"/>
      <c r="K6" s="71" t="s">
        <v>129</v>
      </c>
      <c r="L6" s="11"/>
      <c r="M6" s="11"/>
      <c r="N6" s="62" t="s">
        <v>23</v>
      </c>
      <c r="O6" s="11"/>
      <c r="P6" s="11"/>
      <c r="S6" s="62" t="s">
        <v>167</v>
      </c>
    </row>
    <row r="7" spans="1:20" ht="101.5" x14ac:dyDescent="0.35">
      <c r="A7" s="11"/>
      <c r="B7" s="11"/>
      <c r="C7" s="55" t="s">
        <v>21</v>
      </c>
      <c r="D7" s="71">
        <v>0.36</v>
      </c>
      <c r="E7" s="11"/>
      <c r="F7" s="11"/>
      <c r="G7" s="11"/>
      <c r="H7" s="11"/>
      <c r="I7" s="143"/>
      <c r="J7" s="42"/>
      <c r="K7" s="71" t="s">
        <v>130</v>
      </c>
      <c r="L7" s="11"/>
      <c r="M7" s="11"/>
      <c r="N7" s="62" t="s">
        <v>24</v>
      </c>
      <c r="O7" s="11"/>
      <c r="P7" s="11"/>
      <c r="S7" s="83" t="s">
        <v>168</v>
      </c>
    </row>
    <row r="8" spans="1:20" ht="29.5" thickBot="1" x14ac:dyDescent="0.4">
      <c r="A8" s="11"/>
      <c r="B8" s="11"/>
      <c r="C8" s="55" t="s">
        <v>22</v>
      </c>
      <c r="D8" s="71">
        <v>0.61</v>
      </c>
      <c r="E8" s="11"/>
      <c r="F8" s="11"/>
      <c r="G8" s="11"/>
      <c r="H8" s="11"/>
      <c r="I8" s="152"/>
      <c r="J8" s="42"/>
      <c r="K8" s="71" t="s">
        <v>131</v>
      </c>
      <c r="L8" s="11"/>
      <c r="M8" s="11"/>
      <c r="N8" s="62" t="s">
        <v>25</v>
      </c>
      <c r="O8" s="11"/>
      <c r="P8" s="11"/>
      <c r="S8" s="63" t="s">
        <v>171</v>
      </c>
    </row>
    <row r="9" spans="1:20" ht="29.5" thickBot="1" x14ac:dyDescent="0.4">
      <c r="A9" s="11"/>
      <c r="B9" s="11"/>
      <c r="C9" s="55" t="s">
        <v>23</v>
      </c>
      <c r="D9" s="71">
        <v>0.66</v>
      </c>
      <c r="E9" s="11"/>
      <c r="F9" s="11"/>
      <c r="G9" s="11"/>
      <c r="H9" s="11"/>
      <c r="I9" s="56" t="s">
        <v>126</v>
      </c>
      <c r="J9" s="79" t="s">
        <v>133</v>
      </c>
      <c r="K9" s="72" t="s">
        <v>132</v>
      </c>
      <c r="L9" s="11"/>
      <c r="M9" s="11"/>
      <c r="N9" s="62" t="s">
        <v>26</v>
      </c>
      <c r="O9" s="11"/>
      <c r="P9" s="11"/>
    </row>
    <row r="10" spans="1:20" ht="29" x14ac:dyDescent="0.35">
      <c r="A10" s="11"/>
      <c r="B10" s="11"/>
      <c r="C10" s="55" t="s">
        <v>24</v>
      </c>
      <c r="D10" s="71">
        <v>0.47</v>
      </c>
      <c r="E10" s="11"/>
      <c r="F10" s="11"/>
      <c r="G10" s="11"/>
      <c r="H10" s="11"/>
      <c r="I10" s="11"/>
      <c r="J10" s="11"/>
      <c r="K10" s="11"/>
      <c r="L10" s="11"/>
      <c r="M10" s="11"/>
      <c r="N10" s="62" t="s">
        <v>27</v>
      </c>
      <c r="O10" s="11"/>
      <c r="P10" s="11"/>
    </row>
    <row r="11" spans="1:20" ht="29" x14ac:dyDescent="0.35">
      <c r="A11" s="11"/>
      <c r="B11" s="11"/>
      <c r="C11" s="55" t="s">
        <v>25</v>
      </c>
      <c r="D11" s="71">
        <v>0.67</v>
      </c>
      <c r="E11" s="11"/>
      <c r="F11" s="11"/>
      <c r="G11" s="11"/>
      <c r="H11" s="11"/>
      <c r="I11" s="11"/>
      <c r="J11" s="11"/>
      <c r="K11" s="11"/>
      <c r="L11" s="11"/>
      <c r="M11" s="11"/>
      <c r="N11" s="62" t="s">
        <v>28</v>
      </c>
      <c r="O11" s="11"/>
      <c r="P11" s="11"/>
    </row>
    <row r="12" spans="1:20" ht="43.5" x14ac:dyDescent="0.35">
      <c r="A12" s="11"/>
      <c r="B12" s="11"/>
      <c r="C12" s="55" t="s">
        <v>26</v>
      </c>
      <c r="D12" s="71">
        <v>0.7</v>
      </c>
      <c r="E12" s="11"/>
      <c r="F12" s="11"/>
      <c r="G12" s="11"/>
      <c r="H12" s="11"/>
      <c r="I12" s="11"/>
      <c r="J12" s="11"/>
      <c r="K12" s="11"/>
      <c r="L12" s="11"/>
      <c r="M12" s="11"/>
      <c r="N12" s="62" t="s">
        <v>29</v>
      </c>
      <c r="O12" s="11"/>
      <c r="P12" s="11"/>
    </row>
    <row r="13" spans="1:20" ht="29" x14ac:dyDescent="0.35">
      <c r="A13" s="11"/>
      <c r="B13" s="11"/>
      <c r="C13" s="55" t="s">
        <v>27</v>
      </c>
      <c r="D13" s="71">
        <v>0.54</v>
      </c>
      <c r="E13" s="11"/>
      <c r="F13" s="11"/>
      <c r="G13" s="11"/>
      <c r="H13" s="11"/>
      <c r="I13" s="11"/>
      <c r="J13" s="11"/>
      <c r="K13" s="11"/>
      <c r="L13" s="11"/>
      <c r="M13" s="11"/>
      <c r="N13" s="62" t="s">
        <v>30</v>
      </c>
      <c r="O13" s="11"/>
      <c r="P13" s="11"/>
    </row>
    <row r="14" spans="1:20" x14ac:dyDescent="0.35">
      <c r="A14" s="11"/>
      <c r="B14" s="11"/>
      <c r="C14" s="55" t="s">
        <v>28</v>
      </c>
      <c r="D14" s="71">
        <v>0.65</v>
      </c>
      <c r="E14" s="11"/>
      <c r="F14" s="11"/>
      <c r="G14" s="11"/>
      <c r="H14" s="11"/>
      <c r="I14" s="11"/>
      <c r="J14" s="11"/>
      <c r="K14" s="11"/>
      <c r="L14" s="11"/>
      <c r="M14" s="11"/>
      <c r="N14" s="62" t="s">
        <v>31</v>
      </c>
      <c r="O14" s="11"/>
      <c r="P14" s="11"/>
    </row>
    <row r="15" spans="1:20" ht="43.5" x14ac:dyDescent="0.35">
      <c r="A15" s="11"/>
      <c r="B15" s="11"/>
      <c r="C15" s="55" t="s">
        <v>78</v>
      </c>
      <c r="D15" s="71">
        <v>0.56000000000000005</v>
      </c>
      <c r="E15" s="11"/>
      <c r="F15" s="11"/>
      <c r="G15" s="11"/>
      <c r="H15" s="11"/>
      <c r="I15" s="11"/>
      <c r="J15" s="11"/>
      <c r="K15" s="11"/>
      <c r="L15" s="11"/>
      <c r="M15" s="11"/>
      <c r="N15" s="62" t="s">
        <v>32</v>
      </c>
      <c r="O15" s="11"/>
      <c r="P15" s="11"/>
    </row>
    <row r="16" spans="1:20" ht="29" x14ac:dyDescent="0.35">
      <c r="A16" s="11"/>
      <c r="B16" s="11"/>
      <c r="C16" s="55" t="s">
        <v>29</v>
      </c>
      <c r="D16" s="71">
        <v>0.57999999999999996</v>
      </c>
      <c r="E16" s="11"/>
      <c r="F16" s="11"/>
      <c r="G16" s="11"/>
      <c r="H16" s="11"/>
      <c r="I16" s="11"/>
      <c r="J16" s="11"/>
      <c r="K16" s="11"/>
      <c r="L16" s="11"/>
      <c r="M16" s="11"/>
      <c r="N16" s="62" t="s">
        <v>39</v>
      </c>
      <c r="O16" s="11"/>
      <c r="P16" s="11"/>
    </row>
    <row r="17" spans="1:16" ht="29" x14ac:dyDescent="0.35">
      <c r="A17" s="11"/>
      <c r="B17" s="11"/>
      <c r="C17" s="55" t="s">
        <v>30</v>
      </c>
      <c r="D17" s="71">
        <v>0.64</v>
      </c>
      <c r="E17" s="11"/>
      <c r="F17" s="11"/>
      <c r="G17" s="11"/>
      <c r="H17" s="11"/>
      <c r="I17" s="11"/>
      <c r="J17" s="11"/>
      <c r="K17" s="11"/>
      <c r="L17" s="11"/>
      <c r="M17" s="11"/>
      <c r="N17" s="62" t="s">
        <v>40</v>
      </c>
      <c r="O17" s="11"/>
      <c r="P17" s="11"/>
    </row>
    <row r="18" spans="1:16" x14ac:dyDescent="0.35">
      <c r="A18" s="11"/>
      <c r="B18" s="11"/>
      <c r="C18" s="55" t="s">
        <v>31</v>
      </c>
      <c r="D18" s="71">
        <v>0.73</v>
      </c>
      <c r="E18" s="11"/>
      <c r="F18" s="11"/>
      <c r="G18" s="11"/>
      <c r="H18" s="11"/>
      <c r="I18" s="11"/>
      <c r="J18" s="11"/>
      <c r="K18" s="11"/>
      <c r="L18" s="11"/>
      <c r="M18" s="11"/>
      <c r="N18" s="62" t="s">
        <v>42</v>
      </c>
      <c r="O18" s="11"/>
      <c r="P18" s="11"/>
    </row>
    <row r="19" spans="1:16" x14ac:dyDescent="0.35">
      <c r="A19" s="11"/>
      <c r="B19" s="11"/>
      <c r="C19" s="55" t="s">
        <v>32</v>
      </c>
      <c r="D19" s="71">
        <v>0.56000000000000005</v>
      </c>
      <c r="E19" s="11"/>
      <c r="F19" s="11"/>
      <c r="G19" s="11"/>
      <c r="H19" s="11"/>
      <c r="I19" s="11"/>
      <c r="J19" s="11"/>
      <c r="K19" s="11"/>
      <c r="L19" s="11"/>
      <c r="M19" s="11"/>
      <c r="N19" s="62" t="s">
        <v>80</v>
      </c>
      <c r="O19" s="11"/>
      <c r="P19" s="11"/>
    </row>
    <row r="20" spans="1:16" x14ac:dyDescent="0.35">
      <c r="A20" s="11"/>
      <c r="B20" s="11"/>
      <c r="C20" s="55" t="s">
        <v>33</v>
      </c>
      <c r="D20" s="71">
        <v>0.74</v>
      </c>
      <c r="E20" s="11"/>
      <c r="F20" s="11"/>
      <c r="G20" s="11"/>
      <c r="H20" s="11"/>
      <c r="I20" s="11"/>
      <c r="J20" s="11"/>
      <c r="K20" s="11"/>
      <c r="L20" s="11"/>
      <c r="M20" s="11"/>
      <c r="N20" s="62" t="s">
        <v>83</v>
      </c>
      <c r="O20" s="11"/>
      <c r="P20" s="11"/>
    </row>
    <row r="21" spans="1:16" x14ac:dyDescent="0.35">
      <c r="A21" s="11"/>
      <c r="B21" s="11"/>
      <c r="C21" s="55" t="s">
        <v>34</v>
      </c>
      <c r="D21" s="71">
        <v>0.4</v>
      </c>
      <c r="E21" s="11"/>
      <c r="F21" s="11"/>
      <c r="G21" s="11"/>
      <c r="H21" s="11"/>
      <c r="I21" s="11"/>
      <c r="J21" s="11"/>
      <c r="K21" s="11"/>
      <c r="L21" s="11"/>
      <c r="M21" s="11"/>
      <c r="N21" s="62" t="s">
        <v>50</v>
      </c>
      <c r="O21" s="11"/>
      <c r="P21" s="11"/>
    </row>
    <row r="22" spans="1:16" x14ac:dyDescent="0.35">
      <c r="A22" s="11"/>
      <c r="B22" s="11"/>
      <c r="C22" s="55" t="s">
        <v>35</v>
      </c>
      <c r="D22" s="71">
        <v>0.6</v>
      </c>
      <c r="E22" s="11"/>
      <c r="F22" s="11"/>
      <c r="G22" s="11"/>
      <c r="H22" s="11"/>
      <c r="I22" s="11"/>
      <c r="J22" s="11"/>
      <c r="K22" s="11"/>
      <c r="L22" s="11"/>
      <c r="M22" s="11"/>
      <c r="N22" s="62" t="s">
        <v>63</v>
      </c>
      <c r="O22" s="11"/>
      <c r="P22" s="11"/>
    </row>
    <row r="23" spans="1:16" ht="29" x14ac:dyDescent="0.35">
      <c r="A23" s="11"/>
      <c r="B23" s="11"/>
      <c r="C23" s="55" t="s">
        <v>36</v>
      </c>
      <c r="D23" s="71">
        <v>0.43</v>
      </c>
      <c r="E23" s="11"/>
      <c r="F23" s="11"/>
      <c r="G23" s="11"/>
      <c r="H23" s="11"/>
      <c r="I23" s="11"/>
      <c r="J23" s="11"/>
      <c r="K23" s="11"/>
      <c r="L23" s="11"/>
      <c r="M23" s="11"/>
      <c r="N23" s="62" t="s">
        <v>84</v>
      </c>
      <c r="O23" s="11"/>
      <c r="P23" s="11"/>
    </row>
    <row r="24" spans="1:16" x14ac:dyDescent="0.35">
      <c r="A24" s="11"/>
      <c r="B24" s="11"/>
      <c r="C24" s="55" t="s">
        <v>37</v>
      </c>
      <c r="D24" s="71">
        <v>0.37</v>
      </c>
      <c r="E24" s="11"/>
      <c r="F24" s="11"/>
      <c r="G24" s="11"/>
      <c r="H24" s="11"/>
      <c r="I24" s="11"/>
      <c r="J24" s="11"/>
      <c r="K24" s="11"/>
      <c r="L24" s="11"/>
      <c r="M24" s="11"/>
      <c r="N24" s="62" t="s">
        <v>70</v>
      </c>
      <c r="O24" s="11"/>
      <c r="P24" s="11"/>
    </row>
    <row r="25" spans="1:16" ht="29.5" thickBot="1" x14ac:dyDescent="0.4">
      <c r="A25" s="11"/>
      <c r="B25" s="11"/>
      <c r="C25" s="55" t="s">
        <v>38</v>
      </c>
      <c r="D25" s="71">
        <v>0.36</v>
      </c>
      <c r="E25" s="11"/>
      <c r="F25" s="11"/>
      <c r="G25" s="11"/>
      <c r="H25" s="11"/>
      <c r="I25" s="11"/>
      <c r="J25" s="11"/>
      <c r="K25" s="11"/>
      <c r="L25" s="11"/>
      <c r="M25" s="11"/>
      <c r="N25" s="63" t="s">
        <v>73</v>
      </c>
      <c r="O25" s="11"/>
      <c r="P25" s="11"/>
    </row>
    <row r="26" spans="1:16" x14ac:dyDescent="0.35">
      <c r="A26" s="11"/>
      <c r="B26" s="11"/>
      <c r="C26" s="55" t="s">
        <v>39</v>
      </c>
      <c r="D26" s="71">
        <v>0.51</v>
      </c>
      <c r="E26" s="11"/>
      <c r="F26" s="11"/>
      <c r="G26" s="11"/>
      <c r="H26" s="11"/>
      <c r="I26" s="11"/>
      <c r="J26" s="11"/>
      <c r="K26" s="11"/>
      <c r="L26" s="11"/>
      <c r="M26" s="11"/>
      <c r="N26" s="11"/>
      <c r="O26" s="11"/>
      <c r="P26" s="11"/>
    </row>
    <row r="27" spans="1:16" x14ac:dyDescent="0.35">
      <c r="A27" s="11"/>
      <c r="B27" s="11"/>
      <c r="C27" s="55" t="s">
        <v>40</v>
      </c>
      <c r="D27" s="71">
        <v>0.56000000000000005</v>
      </c>
      <c r="E27" s="11"/>
      <c r="F27" s="11"/>
      <c r="G27" s="11"/>
      <c r="H27" s="11"/>
      <c r="I27" s="11"/>
      <c r="J27" s="11"/>
      <c r="K27" s="11"/>
      <c r="L27" s="11"/>
      <c r="M27" s="11"/>
      <c r="N27" s="11"/>
      <c r="O27" s="11"/>
      <c r="P27" s="11"/>
    </row>
    <row r="28" spans="1:16" x14ac:dyDescent="0.35">
      <c r="A28" s="11"/>
      <c r="B28" s="11"/>
      <c r="C28" s="55" t="s">
        <v>41</v>
      </c>
      <c r="D28" s="71">
        <v>0.56000000000000005</v>
      </c>
      <c r="E28" s="11"/>
      <c r="F28" s="11"/>
      <c r="G28" s="11"/>
      <c r="H28" s="11"/>
      <c r="I28" s="11"/>
      <c r="J28" s="11"/>
      <c r="K28" s="11"/>
      <c r="L28" s="11"/>
      <c r="M28" s="11"/>
      <c r="N28" s="11"/>
      <c r="O28" s="11"/>
      <c r="P28" s="11"/>
    </row>
    <row r="29" spans="1:16" x14ac:dyDescent="0.35">
      <c r="A29" s="11"/>
      <c r="B29" s="11"/>
      <c r="C29" s="55" t="s">
        <v>79</v>
      </c>
      <c r="D29" s="71">
        <v>0.48</v>
      </c>
      <c r="E29" s="11"/>
      <c r="F29" s="11"/>
      <c r="G29" s="11"/>
      <c r="H29" s="11"/>
      <c r="I29" s="11"/>
      <c r="J29" s="11"/>
      <c r="K29" s="11"/>
      <c r="L29" s="11"/>
      <c r="M29" s="11"/>
      <c r="N29" s="11"/>
      <c r="O29" s="11"/>
      <c r="P29" s="11"/>
    </row>
    <row r="30" spans="1:16" x14ac:dyDescent="0.35">
      <c r="A30" s="11"/>
      <c r="B30" s="11"/>
      <c r="C30" s="55" t="s">
        <v>42</v>
      </c>
      <c r="D30" s="71">
        <v>0.55000000000000004</v>
      </c>
      <c r="E30" s="11"/>
      <c r="F30" s="11"/>
      <c r="G30" s="11"/>
      <c r="H30" s="11"/>
      <c r="I30" s="11"/>
      <c r="J30" s="11"/>
      <c r="K30" s="11"/>
      <c r="L30" s="11"/>
      <c r="M30" s="11"/>
      <c r="N30" s="11"/>
      <c r="O30" s="11"/>
      <c r="P30" s="11"/>
    </row>
    <row r="31" spans="1:16" x14ac:dyDescent="0.35">
      <c r="A31" s="11"/>
      <c r="B31" s="11"/>
      <c r="C31" s="55" t="s">
        <v>80</v>
      </c>
      <c r="D31" s="71">
        <v>0.56000000000000005</v>
      </c>
      <c r="E31" s="11"/>
      <c r="F31" s="11"/>
      <c r="G31" s="11"/>
      <c r="H31" s="11"/>
      <c r="I31" s="11"/>
      <c r="J31" s="11"/>
      <c r="K31" s="11"/>
      <c r="L31" s="11"/>
      <c r="M31" s="11"/>
      <c r="N31" s="11"/>
      <c r="O31" s="11"/>
      <c r="P31" s="11"/>
    </row>
    <row r="32" spans="1:16" x14ac:dyDescent="0.35">
      <c r="A32" s="11"/>
      <c r="B32" s="11"/>
      <c r="C32" s="55" t="s">
        <v>43</v>
      </c>
      <c r="D32" s="71">
        <v>0.57999999999999996</v>
      </c>
      <c r="E32" s="11"/>
      <c r="F32" s="11"/>
      <c r="G32" s="11"/>
      <c r="H32" s="11"/>
      <c r="I32" s="11"/>
      <c r="J32" s="11"/>
      <c r="K32" s="11"/>
      <c r="L32" s="11"/>
      <c r="M32" s="11"/>
      <c r="N32" s="11"/>
      <c r="O32" s="11"/>
      <c r="P32" s="11"/>
    </row>
    <row r="33" spans="1:16" x14ac:dyDescent="0.35">
      <c r="A33" s="11"/>
      <c r="B33" s="11"/>
      <c r="C33" s="55" t="s">
        <v>44</v>
      </c>
      <c r="D33" s="71">
        <v>0.57999999999999996</v>
      </c>
      <c r="E33" s="11"/>
      <c r="F33" s="11"/>
      <c r="G33" s="11"/>
      <c r="H33" s="11"/>
      <c r="I33" s="11"/>
      <c r="J33" s="11"/>
      <c r="K33" s="11"/>
      <c r="L33" s="11"/>
      <c r="M33" s="11"/>
      <c r="N33" s="11"/>
      <c r="O33" s="11"/>
      <c r="P33" s="11"/>
    </row>
    <row r="34" spans="1:16" x14ac:dyDescent="0.35">
      <c r="A34" s="11"/>
      <c r="B34" s="11"/>
      <c r="C34" s="55" t="s">
        <v>45</v>
      </c>
      <c r="D34" s="71">
        <v>0.48</v>
      </c>
      <c r="E34" s="11"/>
      <c r="F34" s="11"/>
      <c r="G34" s="11"/>
      <c r="H34" s="11"/>
      <c r="I34" s="11"/>
      <c r="J34" s="11"/>
      <c r="K34" s="11"/>
      <c r="L34" s="11"/>
      <c r="M34" s="11"/>
      <c r="N34" s="11"/>
      <c r="O34" s="11"/>
      <c r="P34" s="11"/>
    </row>
    <row r="35" spans="1:16" x14ac:dyDescent="0.35">
      <c r="A35" s="11"/>
      <c r="B35" s="11"/>
      <c r="C35" s="55" t="s">
        <v>46</v>
      </c>
      <c r="D35" s="71">
        <v>0.42</v>
      </c>
      <c r="E35" s="11"/>
      <c r="F35" s="11"/>
      <c r="G35" s="11"/>
      <c r="H35" s="11"/>
      <c r="I35" s="11"/>
      <c r="J35" s="11"/>
      <c r="K35" s="11"/>
      <c r="L35" s="11"/>
      <c r="M35" s="11"/>
      <c r="N35" s="11"/>
      <c r="O35" s="11"/>
      <c r="P35" s="11"/>
    </row>
    <row r="36" spans="1:16" x14ac:dyDescent="0.35">
      <c r="A36" s="11"/>
      <c r="B36" s="11"/>
      <c r="C36" s="55" t="s">
        <v>81</v>
      </c>
      <c r="D36" s="71">
        <v>0.5</v>
      </c>
      <c r="E36" s="11"/>
      <c r="F36" s="11"/>
      <c r="G36" s="11"/>
      <c r="H36" s="11"/>
      <c r="I36" s="11"/>
      <c r="J36" s="11"/>
      <c r="K36" s="11"/>
      <c r="L36" s="11"/>
      <c r="M36" s="11"/>
      <c r="N36" s="11"/>
      <c r="O36" s="11"/>
      <c r="P36" s="11"/>
    </row>
    <row r="37" spans="1:16" x14ac:dyDescent="0.35">
      <c r="A37" s="11"/>
      <c r="B37" s="11"/>
      <c r="C37" s="55" t="s">
        <v>47</v>
      </c>
      <c r="D37" s="71">
        <v>0.55000000000000004</v>
      </c>
      <c r="E37" s="11"/>
      <c r="F37" s="11"/>
      <c r="G37" s="11"/>
      <c r="H37" s="11"/>
      <c r="I37" s="11"/>
      <c r="J37" s="11"/>
      <c r="K37" s="11"/>
      <c r="L37" s="11"/>
      <c r="M37" s="11"/>
      <c r="N37" s="11"/>
      <c r="O37" s="11"/>
      <c r="P37" s="11"/>
    </row>
    <row r="38" spans="1:16" x14ac:dyDescent="0.35">
      <c r="A38" s="11"/>
      <c r="B38" s="11"/>
      <c r="C38" s="55" t="s">
        <v>82</v>
      </c>
      <c r="D38" s="71">
        <v>0.53</v>
      </c>
      <c r="E38" s="11"/>
      <c r="F38" s="11"/>
      <c r="G38" s="11"/>
      <c r="H38" s="11"/>
      <c r="I38" s="11"/>
      <c r="J38" s="11"/>
      <c r="K38" s="11"/>
      <c r="L38" s="11"/>
      <c r="M38" s="11"/>
      <c r="N38" s="11"/>
      <c r="O38" s="11"/>
      <c r="P38" s="11"/>
    </row>
    <row r="39" spans="1:16" x14ac:dyDescent="0.35">
      <c r="A39" s="11"/>
      <c r="B39" s="11"/>
      <c r="C39" s="55" t="s">
        <v>83</v>
      </c>
      <c r="D39" s="71">
        <v>0.52</v>
      </c>
      <c r="E39" s="11"/>
      <c r="F39" s="11"/>
      <c r="G39" s="11"/>
      <c r="H39" s="11"/>
      <c r="I39" s="11"/>
      <c r="J39" s="11"/>
      <c r="K39" s="11"/>
      <c r="L39" s="11"/>
      <c r="M39" s="11"/>
      <c r="N39" s="11"/>
      <c r="O39" s="11"/>
      <c r="P39" s="11"/>
    </row>
    <row r="40" spans="1:16" x14ac:dyDescent="0.35">
      <c r="A40" s="11"/>
      <c r="B40" s="11"/>
      <c r="C40" s="55" t="s">
        <v>48</v>
      </c>
      <c r="D40" s="71">
        <v>0.52</v>
      </c>
      <c r="E40" s="11"/>
      <c r="F40" s="11"/>
      <c r="G40" s="11"/>
      <c r="H40" s="11"/>
      <c r="I40" s="11"/>
      <c r="J40" s="11"/>
      <c r="K40" s="11"/>
      <c r="L40" s="11"/>
      <c r="M40" s="11"/>
      <c r="N40" s="11"/>
      <c r="O40" s="11"/>
      <c r="P40" s="11"/>
    </row>
    <row r="41" spans="1:16" x14ac:dyDescent="0.35">
      <c r="A41" s="11"/>
      <c r="B41" s="11"/>
      <c r="C41" s="55" t="s">
        <v>49</v>
      </c>
      <c r="D41" s="71">
        <v>0.75</v>
      </c>
      <c r="E41" s="11"/>
      <c r="F41" s="11"/>
      <c r="G41" s="11"/>
      <c r="H41" s="11"/>
      <c r="I41" s="11"/>
      <c r="J41" s="11"/>
      <c r="K41" s="11"/>
      <c r="L41" s="11"/>
      <c r="M41" s="11"/>
      <c r="N41" s="11"/>
      <c r="O41" s="11"/>
      <c r="P41" s="11"/>
    </row>
    <row r="42" spans="1:16" x14ac:dyDescent="0.35">
      <c r="A42" s="11"/>
      <c r="B42" s="11"/>
      <c r="C42" s="55" t="s">
        <v>50</v>
      </c>
      <c r="D42" s="71">
        <v>0.52</v>
      </c>
      <c r="E42" s="11"/>
      <c r="F42" s="11"/>
      <c r="G42" s="11"/>
      <c r="H42" s="11"/>
      <c r="I42" s="11"/>
      <c r="J42" s="11"/>
      <c r="K42" s="11"/>
      <c r="L42" s="11"/>
      <c r="M42" s="11"/>
      <c r="N42" s="11"/>
      <c r="O42" s="11"/>
      <c r="P42" s="11"/>
    </row>
    <row r="43" spans="1:16" x14ac:dyDescent="0.35">
      <c r="A43" s="11"/>
      <c r="B43" s="11"/>
      <c r="C43" s="55" t="s">
        <v>51</v>
      </c>
      <c r="D43" s="71">
        <v>0.35</v>
      </c>
      <c r="E43" s="11"/>
      <c r="F43" s="11"/>
      <c r="G43" s="11"/>
      <c r="H43" s="11"/>
      <c r="I43" s="11"/>
      <c r="J43" s="11"/>
      <c r="K43" s="11"/>
      <c r="L43" s="11"/>
      <c r="M43" s="11"/>
      <c r="N43" s="11"/>
      <c r="O43" s="11"/>
      <c r="P43" s="11"/>
    </row>
    <row r="44" spans="1:16" x14ac:dyDescent="0.35">
      <c r="A44" s="11"/>
      <c r="B44" s="11"/>
      <c r="C44" s="55" t="s">
        <v>52</v>
      </c>
      <c r="D44" s="71">
        <v>0.37</v>
      </c>
      <c r="E44" s="11"/>
      <c r="F44" s="11"/>
      <c r="G44" s="11"/>
      <c r="H44" s="11"/>
      <c r="I44" s="11"/>
      <c r="J44" s="11"/>
      <c r="K44" s="11"/>
      <c r="L44" s="11"/>
      <c r="M44" s="11"/>
      <c r="N44" s="11"/>
      <c r="O44" s="11"/>
      <c r="P44" s="11"/>
    </row>
    <row r="45" spans="1:16" x14ac:dyDescent="0.35">
      <c r="A45" s="11"/>
      <c r="B45" s="11"/>
      <c r="C45" s="55" t="s">
        <v>54</v>
      </c>
      <c r="D45" s="71">
        <v>0.45</v>
      </c>
      <c r="E45" s="11"/>
      <c r="F45" s="11"/>
      <c r="G45" s="11"/>
      <c r="H45" s="11"/>
      <c r="I45" s="11"/>
      <c r="J45" s="11"/>
      <c r="K45" s="11"/>
      <c r="L45" s="11"/>
      <c r="M45" s="11"/>
      <c r="N45" s="11"/>
      <c r="O45" s="11"/>
      <c r="P45" s="11"/>
    </row>
    <row r="46" spans="1:16" x14ac:dyDescent="0.35">
      <c r="A46" s="11"/>
      <c r="B46" s="11"/>
      <c r="C46" s="55" t="s">
        <v>55</v>
      </c>
      <c r="D46" s="71">
        <v>0.39</v>
      </c>
      <c r="E46" s="11"/>
      <c r="F46" s="11"/>
      <c r="G46" s="11"/>
      <c r="H46" s="11"/>
      <c r="I46" s="11"/>
      <c r="J46" s="11"/>
      <c r="K46" s="11"/>
      <c r="L46" s="11"/>
      <c r="M46" s="11"/>
      <c r="N46" s="11"/>
      <c r="O46" s="11"/>
      <c r="P46" s="11"/>
    </row>
    <row r="47" spans="1:16" x14ac:dyDescent="0.35">
      <c r="A47" s="11"/>
      <c r="B47" s="11"/>
      <c r="C47" s="55" t="s">
        <v>56</v>
      </c>
      <c r="D47" s="71">
        <v>0.44</v>
      </c>
      <c r="E47" s="11"/>
      <c r="F47" s="11"/>
      <c r="G47" s="11"/>
      <c r="H47" s="11"/>
      <c r="I47" s="11"/>
      <c r="J47" s="11"/>
      <c r="K47" s="11"/>
      <c r="L47" s="11"/>
      <c r="M47" s="11"/>
      <c r="N47" s="11"/>
      <c r="O47" s="11"/>
      <c r="P47" s="11"/>
    </row>
    <row r="48" spans="1:16" x14ac:dyDescent="0.35">
      <c r="A48" s="11"/>
      <c r="B48" s="11"/>
      <c r="C48" s="55" t="s">
        <v>57</v>
      </c>
      <c r="D48" s="71">
        <v>0.46</v>
      </c>
      <c r="E48" s="11"/>
      <c r="F48" s="11"/>
      <c r="G48" s="11"/>
      <c r="H48" s="11"/>
      <c r="I48" s="11"/>
      <c r="J48" s="11"/>
      <c r="K48" s="11"/>
      <c r="L48" s="11"/>
      <c r="M48" s="11"/>
      <c r="N48" s="11"/>
      <c r="O48" s="11"/>
      <c r="P48" s="11"/>
    </row>
    <row r="49" spans="1:16" x14ac:dyDescent="0.35">
      <c r="A49" s="11"/>
      <c r="B49" s="11"/>
      <c r="C49" s="55" t="s">
        <v>58</v>
      </c>
      <c r="D49" s="71">
        <v>0.46</v>
      </c>
      <c r="E49" s="11"/>
      <c r="F49" s="11"/>
      <c r="G49" s="11"/>
      <c r="H49" s="11"/>
      <c r="I49" s="11"/>
      <c r="J49" s="11"/>
      <c r="K49" s="11"/>
      <c r="L49" s="11"/>
      <c r="M49" s="11"/>
      <c r="N49" s="11"/>
      <c r="O49" s="11"/>
      <c r="P49" s="11"/>
    </row>
    <row r="50" spans="1:16" x14ac:dyDescent="0.35">
      <c r="A50" s="11"/>
      <c r="B50" s="11"/>
      <c r="C50" s="55" t="s">
        <v>59</v>
      </c>
      <c r="D50" s="71">
        <v>0.44</v>
      </c>
      <c r="E50" s="11"/>
      <c r="F50" s="11"/>
      <c r="G50" s="11"/>
      <c r="H50" s="11"/>
      <c r="I50" s="11"/>
      <c r="J50" s="11"/>
      <c r="K50" s="11"/>
      <c r="L50" s="11"/>
      <c r="M50" s="11"/>
      <c r="N50" s="11"/>
      <c r="O50" s="11"/>
      <c r="P50" s="11"/>
    </row>
    <row r="51" spans="1:16" x14ac:dyDescent="0.35">
      <c r="A51" s="11"/>
      <c r="B51" s="11"/>
      <c r="C51" s="55" t="s">
        <v>60</v>
      </c>
      <c r="D51" s="71">
        <v>0.46</v>
      </c>
      <c r="E51" s="11"/>
      <c r="F51" s="11"/>
      <c r="G51" s="11"/>
      <c r="H51" s="11"/>
      <c r="I51" s="11"/>
      <c r="J51" s="11"/>
      <c r="K51" s="11"/>
      <c r="L51" s="11"/>
      <c r="M51" s="11"/>
      <c r="N51" s="11"/>
      <c r="O51" s="11"/>
      <c r="P51" s="11"/>
    </row>
    <row r="52" spans="1:16" x14ac:dyDescent="0.35">
      <c r="A52" s="11"/>
      <c r="B52" s="11"/>
      <c r="C52" s="55" t="s">
        <v>74</v>
      </c>
      <c r="D52" s="71">
        <v>0.48</v>
      </c>
      <c r="E52" s="11"/>
      <c r="F52" s="11"/>
      <c r="G52" s="11"/>
      <c r="H52" s="11"/>
      <c r="I52" s="11"/>
      <c r="J52" s="11"/>
      <c r="K52" s="11"/>
      <c r="L52" s="11"/>
      <c r="M52" s="11"/>
      <c r="N52" s="11"/>
      <c r="O52" s="11"/>
      <c r="P52" s="11"/>
    </row>
    <row r="53" spans="1:16" x14ac:dyDescent="0.35">
      <c r="A53" s="11"/>
      <c r="B53" s="11"/>
      <c r="C53" s="55" t="s">
        <v>61</v>
      </c>
      <c r="D53" s="71">
        <v>0.44</v>
      </c>
      <c r="E53" s="11"/>
      <c r="F53" s="11"/>
      <c r="G53" s="11"/>
      <c r="H53" s="11"/>
      <c r="I53" s="11"/>
      <c r="J53" s="11"/>
      <c r="K53" s="11"/>
      <c r="L53" s="11"/>
      <c r="M53" s="11"/>
      <c r="N53" s="11"/>
      <c r="O53" s="11"/>
      <c r="P53" s="11"/>
    </row>
    <row r="54" spans="1:16" x14ac:dyDescent="0.35">
      <c r="A54" s="11"/>
      <c r="B54" s="11"/>
      <c r="C54" s="55" t="s">
        <v>62</v>
      </c>
      <c r="D54" s="71">
        <v>0.34</v>
      </c>
      <c r="E54" s="11"/>
      <c r="F54" s="11"/>
      <c r="G54" s="11"/>
      <c r="H54" s="11"/>
      <c r="I54" s="11"/>
      <c r="J54" s="11"/>
      <c r="K54" s="11"/>
      <c r="L54" s="11"/>
      <c r="M54" s="11"/>
      <c r="N54" s="11"/>
      <c r="O54" s="11"/>
      <c r="P54" s="11"/>
    </row>
    <row r="55" spans="1:16" x14ac:dyDescent="0.35">
      <c r="A55" s="11"/>
      <c r="B55" s="11"/>
      <c r="C55" s="55" t="s">
        <v>63</v>
      </c>
      <c r="D55" s="71">
        <v>0.5</v>
      </c>
      <c r="E55" s="11"/>
      <c r="F55" s="11"/>
      <c r="G55" s="11"/>
      <c r="H55" s="11"/>
      <c r="I55" s="11"/>
      <c r="J55" s="11"/>
      <c r="K55" s="11"/>
      <c r="L55" s="11"/>
      <c r="M55" s="11"/>
      <c r="N55" s="11"/>
      <c r="O55" s="11"/>
      <c r="P55" s="11"/>
    </row>
    <row r="56" spans="1:16" x14ac:dyDescent="0.35">
      <c r="A56" s="11"/>
      <c r="B56" s="11"/>
      <c r="C56" s="55" t="s">
        <v>84</v>
      </c>
      <c r="D56" s="71">
        <v>0.57999999999999996</v>
      </c>
      <c r="E56" s="11"/>
      <c r="F56" s="11"/>
      <c r="G56" s="11"/>
      <c r="H56" s="11"/>
      <c r="I56" s="11"/>
      <c r="J56" s="11"/>
      <c r="K56" s="11"/>
      <c r="L56" s="11"/>
      <c r="M56" s="11"/>
      <c r="N56" s="11"/>
      <c r="O56" s="11"/>
      <c r="P56" s="11"/>
    </row>
    <row r="57" spans="1:16" x14ac:dyDescent="0.35">
      <c r="A57" s="11"/>
      <c r="B57" s="11"/>
      <c r="C57" s="55" t="s">
        <v>64</v>
      </c>
      <c r="D57" s="71">
        <v>0.37</v>
      </c>
      <c r="E57" s="11"/>
      <c r="F57" s="11"/>
      <c r="G57" s="11"/>
      <c r="H57" s="11"/>
      <c r="I57" s="11"/>
      <c r="J57" s="11"/>
      <c r="K57" s="11"/>
      <c r="L57" s="11"/>
      <c r="M57" s="11"/>
      <c r="N57" s="11"/>
      <c r="O57" s="11"/>
      <c r="P57" s="11"/>
    </row>
    <row r="58" spans="1:16" x14ac:dyDescent="0.35">
      <c r="A58" s="11"/>
      <c r="B58" s="11"/>
      <c r="C58" s="55" t="s">
        <v>65</v>
      </c>
      <c r="D58" s="71">
        <v>0.37</v>
      </c>
      <c r="E58" s="11"/>
      <c r="F58" s="11"/>
      <c r="G58" s="11"/>
      <c r="H58" s="11"/>
      <c r="I58" s="11"/>
      <c r="J58" s="11"/>
      <c r="K58" s="11"/>
      <c r="L58" s="11"/>
      <c r="M58" s="11"/>
      <c r="N58" s="11"/>
      <c r="O58" s="11"/>
      <c r="P58" s="11"/>
    </row>
    <row r="59" spans="1:16" x14ac:dyDescent="0.35">
      <c r="A59" s="11"/>
      <c r="B59" s="11"/>
      <c r="C59" s="55" t="s">
        <v>66</v>
      </c>
      <c r="D59" s="71">
        <v>0.38</v>
      </c>
      <c r="E59" s="11"/>
      <c r="F59" s="11"/>
      <c r="G59" s="11"/>
      <c r="H59" s="11"/>
      <c r="I59" s="11"/>
      <c r="J59" s="11"/>
      <c r="K59" s="11"/>
      <c r="L59" s="11"/>
      <c r="M59" s="11"/>
      <c r="N59" s="11"/>
      <c r="O59" s="11"/>
      <c r="P59" s="11"/>
    </row>
    <row r="60" spans="1:16" x14ac:dyDescent="0.35">
      <c r="A60" s="11"/>
      <c r="B60" s="11"/>
      <c r="C60" s="55" t="s">
        <v>67</v>
      </c>
      <c r="D60" s="71">
        <v>0.36</v>
      </c>
      <c r="E60" s="11"/>
      <c r="F60" s="11"/>
      <c r="G60" s="11"/>
      <c r="H60" s="11"/>
      <c r="I60" s="11"/>
      <c r="J60" s="11"/>
      <c r="K60" s="11"/>
      <c r="L60" s="11"/>
      <c r="M60" s="11"/>
      <c r="N60" s="11"/>
      <c r="O60" s="11"/>
      <c r="P60" s="11"/>
    </row>
    <row r="61" spans="1:16" x14ac:dyDescent="0.35">
      <c r="A61" s="11"/>
      <c r="B61" s="11"/>
      <c r="C61" s="55" t="s">
        <v>68</v>
      </c>
      <c r="D61" s="71">
        <v>0.37</v>
      </c>
      <c r="E61" s="11"/>
      <c r="F61" s="11"/>
      <c r="G61" s="11"/>
      <c r="H61" s="11"/>
      <c r="I61" s="11"/>
      <c r="J61" s="11"/>
      <c r="K61" s="11"/>
      <c r="L61" s="11"/>
      <c r="M61" s="11"/>
      <c r="N61" s="11"/>
      <c r="O61" s="11"/>
      <c r="P61" s="11"/>
    </row>
    <row r="62" spans="1:16" x14ac:dyDescent="0.35">
      <c r="A62" s="11"/>
      <c r="B62" s="11"/>
      <c r="C62" s="55" t="s">
        <v>69</v>
      </c>
      <c r="D62" s="71">
        <v>0.53</v>
      </c>
      <c r="E62" s="11"/>
      <c r="F62" s="11"/>
      <c r="G62" s="11"/>
      <c r="H62" s="11"/>
      <c r="I62" s="11"/>
      <c r="J62" s="11"/>
      <c r="K62" s="11"/>
      <c r="L62" s="11"/>
      <c r="M62" s="11"/>
      <c r="N62" s="11"/>
      <c r="O62" s="11"/>
      <c r="P62" s="11"/>
    </row>
    <row r="63" spans="1:16" x14ac:dyDescent="0.35">
      <c r="A63" s="11"/>
      <c r="B63" s="11"/>
      <c r="C63" s="55" t="s">
        <v>70</v>
      </c>
      <c r="D63" s="71">
        <v>0.43</v>
      </c>
      <c r="E63" s="11"/>
      <c r="F63" s="11"/>
      <c r="G63" s="11"/>
      <c r="H63" s="11"/>
      <c r="I63" s="11"/>
      <c r="J63" s="11"/>
      <c r="K63" s="11"/>
      <c r="L63" s="11"/>
      <c r="M63" s="11"/>
      <c r="N63" s="11"/>
      <c r="O63" s="11"/>
      <c r="P63" s="11"/>
    </row>
    <row r="64" spans="1:16" x14ac:dyDescent="0.35">
      <c r="A64" s="11"/>
      <c r="B64" s="11"/>
      <c r="C64" s="55" t="s">
        <v>71</v>
      </c>
      <c r="D64" s="71">
        <v>0.38</v>
      </c>
      <c r="E64" s="11"/>
      <c r="F64" s="11"/>
      <c r="G64" s="11"/>
      <c r="H64" s="11"/>
      <c r="I64" s="11"/>
      <c r="J64" s="11"/>
      <c r="K64" s="11"/>
      <c r="L64" s="11"/>
      <c r="M64" s="11"/>
      <c r="N64" s="11"/>
      <c r="O64" s="11"/>
      <c r="P64" s="11"/>
    </row>
    <row r="65" spans="1:16" x14ac:dyDescent="0.35">
      <c r="A65" s="11"/>
      <c r="B65" s="11"/>
      <c r="C65" s="55" t="s">
        <v>72</v>
      </c>
      <c r="D65" s="71">
        <v>0.42</v>
      </c>
      <c r="E65" s="11"/>
      <c r="F65" s="11"/>
      <c r="G65" s="11"/>
      <c r="H65" s="11"/>
      <c r="I65" s="11"/>
      <c r="J65" s="11"/>
      <c r="K65" s="11"/>
      <c r="L65" s="11"/>
      <c r="M65" s="11"/>
      <c r="N65" s="11"/>
      <c r="O65" s="11"/>
      <c r="P65" s="11"/>
    </row>
    <row r="66" spans="1:16" ht="15" thickBot="1" x14ac:dyDescent="0.4">
      <c r="A66" s="11"/>
      <c r="B66" s="11"/>
      <c r="C66" s="56" t="s">
        <v>73</v>
      </c>
      <c r="D66" s="72">
        <v>0.56999999999999995</v>
      </c>
      <c r="E66" s="11"/>
      <c r="F66" s="11"/>
      <c r="G66" s="11"/>
      <c r="H66" s="11"/>
      <c r="I66" s="11"/>
      <c r="J66" s="11"/>
      <c r="K66" s="11"/>
      <c r="L66" s="11"/>
      <c r="M66" s="11"/>
      <c r="N66" s="11"/>
      <c r="O66" s="11"/>
      <c r="P66" s="11"/>
    </row>
    <row r="67" spans="1:16" ht="15" thickBot="1" x14ac:dyDescent="0.4">
      <c r="A67" s="11"/>
      <c r="B67" s="11"/>
      <c r="C67" s="97" t="s">
        <v>183</v>
      </c>
      <c r="D67" s="72">
        <v>0.54</v>
      </c>
      <c r="E67" s="11"/>
      <c r="F67" s="11"/>
      <c r="G67" s="11"/>
      <c r="H67" s="11"/>
      <c r="I67" s="11"/>
      <c r="J67" s="11"/>
      <c r="K67" s="11"/>
      <c r="L67" s="11"/>
      <c r="M67" s="11"/>
      <c r="N67" s="11"/>
      <c r="O67" s="11"/>
      <c r="P67" s="11"/>
    </row>
    <row r="68" spans="1:16" x14ac:dyDescent="0.35">
      <c r="A68" s="11"/>
      <c r="B68" s="11"/>
      <c r="C68" s="11"/>
      <c r="D68" s="11"/>
      <c r="E68" s="11"/>
      <c r="F68" s="11"/>
      <c r="G68" s="11"/>
      <c r="H68" s="11"/>
      <c r="I68" s="11"/>
      <c r="J68" s="11"/>
      <c r="K68" s="11"/>
      <c r="L68" s="11"/>
      <c r="M68" s="11"/>
      <c r="N68" s="11"/>
      <c r="O68" s="11"/>
      <c r="P68" s="11"/>
    </row>
    <row r="69" spans="1:16" ht="15" thickBot="1" x14ac:dyDescent="0.4">
      <c r="A69" s="11"/>
      <c r="B69" s="11"/>
      <c r="C69" s="11"/>
      <c r="D69" s="11"/>
      <c r="E69" s="11"/>
      <c r="F69" s="11"/>
      <c r="G69" s="11"/>
      <c r="H69" s="11"/>
      <c r="I69" s="11"/>
      <c r="J69" s="11"/>
      <c r="K69" s="11"/>
      <c r="L69" s="11"/>
      <c r="M69" s="11"/>
      <c r="N69" s="11"/>
      <c r="O69" s="11"/>
      <c r="P69" s="11"/>
    </row>
    <row r="70" spans="1:16" ht="15" thickBot="1" x14ac:dyDescent="0.4">
      <c r="A70" s="68" t="s">
        <v>138</v>
      </c>
      <c r="B70" s="11"/>
      <c r="C70" s="11"/>
      <c r="D70" s="11"/>
      <c r="E70" s="11"/>
      <c r="F70" s="11"/>
      <c r="G70" s="11"/>
      <c r="H70" s="11"/>
      <c r="I70" s="11"/>
      <c r="J70" s="11"/>
      <c r="K70" s="11"/>
      <c r="L70" s="11"/>
      <c r="M70" s="11"/>
      <c r="N70" s="11"/>
      <c r="O70" s="11"/>
      <c r="P70" s="11"/>
    </row>
    <row r="71" spans="1:16" x14ac:dyDescent="0.35">
      <c r="A71" s="65" t="s">
        <v>139</v>
      </c>
      <c r="B71" s="11"/>
      <c r="C71" s="11"/>
      <c r="D71" s="11"/>
      <c r="E71" s="11"/>
      <c r="F71" s="11"/>
      <c r="G71" s="11"/>
      <c r="H71" s="11"/>
      <c r="I71" s="11"/>
      <c r="J71" s="11"/>
      <c r="K71" s="11"/>
      <c r="L71" s="11"/>
      <c r="M71" s="11"/>
      <c r="N71" s="11"/>
      <c r="O71" s="11"/>
      <c r="P71" s="11"/>
    </row>
    <row r="72" spans="1:16" x14ac:dyDescent="0.35">
      <c r="A72" s="62" t="s">
        <v>140</v>
      </c>
      <c r="B72" s="11"/>
      <c r="C72" s="11"/>
      <c r="D72" s="11"/>
      <c r="E72" s="11"/>
      <c r="F72" s="11"/>
      <c r="G72" s="11"/>
      <c r="H72" s="11"/>
      <c r="I72" s="11"/>
      <c r="J72" s="11"/>
      <c r="K72" s="11"/>
      <c r="L72" s="11"/>
      <c r="M72" s="11"/>
      <c r="N72" s="11"/>
      <c r="O72" s="11"/>
      <c r="P72" s="11"/>
    </row>
    <row r="73" spans="1:16" ht="29.5" thickBot="1" x14ac:dyDescent="0.4">
      <c r="A73" s="63" t="s">
        <v>141</v>
      </c>
      <c r="B73" s="11"/>
      <c r="C73" s="11"/>
      <c r="D73" s="11"/>
      <c r="E73" s="11"/>
      <c r="F73" s="11"/>
      <c r="G73" s="11"/>
      <c r="H73" s="11"/>
      <c r="I73" s="11"/>
      <c r="J73" s="11"/>
      <c r="K73" s="11"/>
      <c r="L73" s="11"/>
      <c r="M73" s="11"/>
      <c r="N73" s="11"/>
      <c r="O73" s="11"/>
      <c r="P73" s="11"/>
    </row>
    <row r="74" spans="1:16" x14ac:dyDescent="0.35">
      <c r="A74" s="11"/>
      <c r="B74" s="11"/>
      <c r="C74" s="11"/>
      <c r="D74" s="11"/>
      <c r="E74" s="11"/>
      <c r="F74" s="11"/>
      <c r="G74" s="11"/>
      <c r="H74" s="11"/>
      <c r="I74" s="11"/>
      <c r="J74" s="11"/>
      <c r="K74" s="11"/>
      <c r="L74" s="11"/>
      <c r="M74" s="11"/>
      <c r="N74" s="11"/>
      <c r="O74" s="11"/>
      <c r="P74" s="11"/>
    </row>
    <row r="75" spans="1:16" x14ac:dyDescent="0.35">
      <c r="A75" s="11"/>
      <c r="B75" s="11"/>
      <c r="C75" s="11"/>
      <c r="D75" s="11"/>
      <c r="E75" s="11"/>
      <c r="F75" s="11"/>
      <c r="G75" s="11"/>
      <c r="H75" s="11"/>
      <c r="I75" s="11"/>
      <c r="J75" s="11"/>
      <c r="K75" s="11"/>
      <c r="L75" s="11"/>
      <c r="M75" s="11"/>
      <c r="N75" s="11"/>
      <c r="O75" s="11"/>
      <c r="P75" s="11"/>
    </row>
    <row r="76" spans="1:16" x14ac:dyDescent="0.35">
      <c r="A76" s="11"/>
      <c r="B76" s="11"/>
      <c r="C76" s="11"/>
      <c r="D76" s="11"/>
      <c r="E76" s="11"/>
      <c r="F76" s="11"/>
      <c r="G76" s="11"/>
      <c r="H76" s="11"/>
      <c r="I76" s="11"/>
      <c r="J76" s="11"/>
      <c r="K76" s="11"/>
      <c r="L76" s="11"/>
      <c r="M76" s="11"/>
      <c r="N76" s="11"/>
      <c r="O76" s="11"/>
      <c r="P76" s="11"/>
    </row>
    <row r="77" spans="1:16" x14ac:dyDescent="0.35">
      <c r="A77" s="11"/>
      <c r="B77" s="11"/>
      <c r="C77" s="11"/>
      <c r="D77" s="11"/>
      <c r="E77" s="11"/>
      <c r="F77" s="11"/>
      <c r="G77" s="11"/>
      <c r="H77" s="11"/>
      <c r="I77" s="11"/>
      <c r="J77" s="11"/>
      <c r="K77" s="11"/>
      <c r="L77" s="11"/>
      <c r="M77" s="11"/>
      <c r="N77" s="11"/>
      <c r="O77" s="11"/>
      <c r="P77" s="11"/>
    </row>
    <row r="78" spans="1:16" x14ac:dyDescent="0.35">
      <c r="A78" s="11"/>
      <c r="B78" s="11"/>
      <c r="C78" s="11"/>
      <c r="D78" s="11"/>
      <c r="E78" s="11"/>
      <c r="F78" s="11"/>
      <c r="G78" s="11"/>
      <c r="H78" s="11"/>
      <c r="I78" s="11"/>
      <c r="J78" s="11"/>
      <c r="K78" s="11"/>
      <c r="L78" s="11"/>
      <c r="M78" s="11"/>
      <c r="N78" s="11"/>
      <c r="O78" s="11"/>
      <c r="P78" s="11"/>
    </row>
    <row r="79" spans="1:16" x14ac:dyDescent="0.35">
      <c r="A79" s="11"/>
      <c r="B79" s="11"/>
      <c r="C79" s="11"/>
      <c r="D79" s="11"/>
      <c r="E79" s="11"/>
      <c r="F79" s="11"/>
      <c r="G79" s="11"/>
      <c r="H79" s="11"/>
      <c r="I79" s="11"/>
      <c r="J79" s="11"/>
      <c r="K79" s="11"/>
      <c r="L79" s="11"/>
      <c r="M79" s="11"/>
      <c r="N79" s="11"/>
      <c r="O79" s="11"/>
      <c r="P79" s="11"/>
    </row>
    <row r="80" spans="1:16" x14ac:dyDescent="0.35">
      <c r="A80" s="11"/>
      <c r="B80" s="11"/>
      <c r="C80" s="11"/>
      <c r="D80" s="11"/>
      <c r="E80" s="11"/>
      <c r="F80" s="11"/>
      <c r="G80" s="11"/>
      <c r="H80" s="11"/>
      <c r="I80" s="11"/>
      <c r="J80" s="11"/>
      <c r="K80" s="11"/>
      <c r="L80" s="11"/>
      <c r="M80" s="11"/>
      <c r="N80" s="11"/>
      <c r="O80" s="11"/>
      <c r="P80" s="11"/>
    </row>
    <row r="81" spans="1:16" x14ac:dyDescent="0.35">
      <c r="A81" s="11"/>
      <c r="B81" s="11"/>
      <c r="C81" s="11"/>
      <c r="D81" s="11"/>
      <c r="E81" s="11"/>
      <c r="F81" s="11"/>
      <c r="G81" s="11"/>
      <c r="H81" s="11"/>
      <c r="I81" s="11"/>
      <c r="J81" s="11"/>
      <c r="K81" s="11"/>
      <c r="L81" s="11"/>
      <c r="M81" s="11"/>
      <c r="N81" s="11"/>
      <c r="O81" s="11"/>
      <c r="P81" s="11"/>
    </row>
    <row r="82" spans="1:16" x14ac:dyDescent="0.35">
      <c r="A82" s="11"/>
      <c r="B82" s="11"/>
      <c r="C82" s="11"/>
      <c r="D82" s="11"/>
      <c r="E82" s="11"/>
      <c r="F82" s="11"/>
      <c r="G82" s="11"/>
      <c r="H82" s="11"/>
      <c r="I82" s="11"/>
      <c r="J82" s="11"/>
      <c r="K82" s="11"/>
      <c r="L82" s="11"/>
      <c r="M82" s="11"/>
      <c r="N82" s="11"/>
      <c r="O82" s="11"/>
      <c r="P82" s="11"/>
    </row>
    <row r="83" spans="1:16" x14ac:dyDescent="0.35">
      <c r="A83" s="11"/>
      <c r="B83" s="11"/>
      <c r="C83" s="11"/>
      <c r="D83" s="11"/>
      <c r="E83" s="11"/>
      <c r="F83" s="11"/>
      <c r="G83" s="11"/>
      <c r="H83" s="11"/>
      <c r="I83" s="11"/>
      <c r="J83" s="11"/>
      <c r="K83" s="11"/>
      <c r="L83" s="11"/>
      <c r="M83" s="11"/>
      <c r="N83" s="11"/>
      <c r="O83" s="11"/>
      <c r="P83" s="11"/>
    </row>
    <row r="84" spans="1:16" x14ac:dyDescent="0.35">
      <c r="A84" s="11"/>
      <c r="B84" s="11"/>
      <c r="C84" s="11"/>
      <c r="D84" s="11"/>
      <c r="E84" s="11"/>
      <c r="F84" s="11"/>
      <c r="G84" s="11"/>
      <c r="H84" s="11"/>
      <c r="I84" s="11"/>
      <c r="J84" s="11"/>
      <c r="K84" s="11"/>
      <c r="L84" s="11"/>
      <c r="M84" s="11"/>
      <c r="N84" s="11"/>
      <c r="O84" s="11"/>
      <c r="P84" s="11"/>
    </row>
    <row r="85" spans="1:16" x14ac:dyDescent="0.35">
      <c r="A85" s="11"/>
      <c r="B85" s="11"/>
      <c r="C85" s="11"/>
      <c r="D85" s="11"/>
      <c r="E85" s="11"/>
      <c r="F85" s="11"/>
      <c r="G85" s="11"/>
      <c r="H85" s="11"/>
      <c r="I85" s="11"/>
      <c r="J85" s="11"/>
      <c r="K85" s="11"/>
      <c r="L85" s="11"/>
      <c r="M85" s="11"/>
      <c r="N85" s="11"/>
      <c r="O85" s="11"/>
      <c r="P85" s="11"/>
    </row>
    <row r="86" spans="1:16" x14ac:dyDescent="0.35">
      <c r="A86" s="11"/>
      <c r="B86" s="11"/>
      <c r="C86" s="11"/>
      <c r="D86" s="11"/>
      <c r="E86" s="11"/>
      <c r="F86" s="11"/>
      <c r="G86" s="11"/>
      <c r="H86" s="11"/>
      <c r="I86" s="11"/>
      <c r="J86" s="11"/>
      <c r="K86" s="11"/>
      <c r="L86" s="11"/>
      <c r="M86" s="11"/>
      <c r="N86" s="11"/>
      <c r="O86" s="11"/>
      <c r="P86" s="11"/>
    </row>
    <row r="87" spans="1:16" x14ac:dyDescent="0.35">
      <c r="A87" s="11"/>
      <c r="B87" s="11"/>
      <c r="C87" s="11"/>
      <c r="D87" s="11"/>
      <c r="E87" s="11"/>
      <c r="F87" s="11"/>
      <c r="G87" s="11"/>
      <c r="H87" s="11"/>
      <c r="I87" s="11"/>
      <c r="J87" s="11"/>
      <c r="K87" s="11"/>
      <c r="L87" s="11"/>
      <c r="M87" s="11"/>
      <c r="N87" s="11"/>
      <c r="O87" s="11"/>
      <c r="P87" s="11"/>
    </row>
    <row r="88" spans="1:16" x14ac:dyDescent="0.35">
      <c r="A88" s="11"/>
      <c r="B88" s="11"/>
      <c r="C88" s="11"/>
      <c r="D88" s="11"/>
      <c r="E88" s="11"/>
      <c r="F88" s="11"/>
      <c r="G88" s="11"/>
      <c r="H88" s="11"/>
      <c r="I88" s="11"/>
      <c r="J88" s="11"/>
      <c r="K88" s="11"/>
      <c r="L88" s="11"/>
      <c r="M88" s="11"/>
      <c r="N88" s="11"/>
      <c r="O88" s="11"/>
      <c r="P88" s="11"/>
    </row>
    <row r="89" spans="1:16" x14ac:dyDescent="0.35">
      <c r="A89" s="11"/>
      <c r="B89" s="11"/>
      <c r="C89" s="11"/>
      <c r="D89" s="11"/>
      <c r="E89" s="11"/>
      <c r="F89" s="11"/>
      <c r="G89" s="11"/>
      <c r="H89" s="11"/>
      <c r="I89" s="11"/>
      <c r="J89" s="11"/>
      <c r="K89" s="11"/>
      <c r="L89" s="11"/>
      <c r="M89" s="11"/>
      <c r="N89" s="11"/>
      <c r="O89" s="11"/>
      <c r="P89" s="11"/>
    </row>
    <row r="90" spans="1:16" x14ac:dyDescent="0.35">
      <c r="A90" s="11"/>
      <c r="B90" s="11"/>
      <c r="C90" s="11"/>
      <c r="D90" s="11"/>
      <c r="E90" s="11"/>
      <c r="F90" s="11"/>
      <c r="G90" s="11"/>
      <c r="H90" s="11"/>
      <c r="I90" s="11"/>
      <c r="J90" s="11"/>
      <c r="K90" s="11"/>
      <c r="L90" s="11"/>
      <c r="M90" s="11"/>
      <c r="N90" s="11"/>
      <c r="O90" s="11"/>
      <c r="P90" s="11"/>
    </row>
    <row r="91" spans="1:16" x14ac:dyDescent="0.35">
      <c r="A91" s="11"/>
      <c r="B91" s="11"/>
      <c r="C91" s="11"/>
      <c r="D91" s="11"/>
      <c r="E91" s="11"/>
      <c r="F91" s="11"/>
      <c r="G91" s="11"/>
      <c r="H91" s="11"/>
      <c r="I91" s="11"/>
      <c r="J91" s="11"/>
      <c r="K91" s="11"/>
      <c r="L91" s="11"/>
      <c r="M91" s="11"/>
      <c r="N91" s="11"/>
      <c r="O91" s="11"/>
      <c r="P91" s="11"/>
    </row>
    <row r="92" spans="1:16" x14ac:dyDescent="0.35">
      <c r="A92" s="11"/>
      <c r="B92" s="11"/>
      <c r="C92" s="11"/>
      <c r="D92" s="11"/>
      <c r="E92" s="11"/>
      <c r="F92" s="11"/>
      <c r="G92" s="11"/>
      <c r="H92" s="11"/>
      <c r="I92" s="11"/>
      <c r="J92" s="11"/>
      <c r="K92" s="11"/>
      <c r="L92" s="11"/>
      <c r="M92" s="11"/>
      <c r="N92" s="11"/>
      <c r="O92" s="11"/>
      <c r="P92" s="11"/>
    </row>
    <row r="93" spans="1:16" x14ac:dyDescent="0.35">
      <c r="A93" s="11"/>
      <c r="B93" s="11"/>
      <c r="C93" s="11"/>
      <c r="D93" s="11"/>
      <c r="E93" s="11"/>
      <c r="F93" s="11"/>
      <c r="G93" s="11"/>
      <c r="H93" s="11"/>
      <c r="I93" s="11"/>
      <c r="J93" s="11"/>
      <c r="K93" s="11"/>
      <c r="L93" s="11"/>
      <c r="M93" s="11"/>
      <c r="N93" s="11"/>
      <c r="O93" s="11"/>
      <c r="P93" s="11"/>
    </row>
    <row r="94" spans="1:16" x14ac:dyDescent="0.35">
      <c r="A94" s="11"/>
      <c r="B94" s="11"/>
      <c r="C94" s="11"/>
      <c r="D94" s="11"/>
      <c r="E94" s="11"/>
      <c r="F94" s="11"/>
      <c r="G94" s="11"/>
      <c r="H94" s="11"/>
      <c r="I94" s="11"/>
      <c r="J94" s="11"/>
      <c r="K94" s="11"/>
      <c r="L94" s="11"/>
      <c r="M94" s="11"/>
      <c r="N94" s="11"/>
      <c r="O94" s="11"/>
      <c r="P94" s="11"/>
    </row>
    <row r="95" spans="1:16" x14ac:dyDescent="0.35">
      <c r="A95" s="11"/>
      <c r="B95" s="11"/>
      <c r="C95" s="11"/>
      <c r="D95" s="11"/>
      <c r="E95" s="11"/>
      <c r="F95" s="11"/>
      <c r="G95" s="11"/>
      <c r="H95" s="11"/>
      <c r="I95" s="11"/>
      <c r="J95" s="11"/>
      <c r="K95" s="11"/>
      <c r="L95" s="11"/>
      <c r="M95" s="11"/>
      <c r="N95" s="11"/>
      <c r="O95" s="11"/>
      <c r="P95" s="11"/>
    </row>
    <row r="96" spans="1:16" x14ac:dyDescent="0.35">
      <c r="A96" s="11"/>
      <c r="B96" s="11"/>
      <c r="C96" s="11"/>
      <c r="D96" s="11"/>
      <c r="E96" s="11"/>
      <c r="F96" s="11"/>
      <c r="G96" s="11"/>
      <c r="H96" s="11"/>
      <c r="I96" s="11"/>
      <c r="J96" s="11"/>
      <c r="K96" s="11"/>
      <c r="L96" s="11"/>
      <c r="M96" s="11"/>
      <c r="N96" s="11"/>
      <c r="O96" s="11"/>
      <c r="P96" s="11"/>
    </row>
    <row r="97" spans="1:16" x14ac:dyDescent="0.35">
      <c r="A97" s="11"/>
      <c r="B97" s="11"/>
      <c r="C97" s="11"/>
      <c r="D97" s="11"/>
      <c r="E97" s="11"/>
      <c r="F97" s="11"/>
      <c r="G97" s="11"/>
      <c r="H97" s="11"/>
      <c r="I97" s="11"/>
      <c r="J97" s="11"/>
      <c r="K97" s="11"/>
      <c r="L97" s="11"/>
      <c r="M97" s="11"/>
      <c r="N97" s="11"/>
      <c r="O97" s="11"/>
      <c r="P97" s="11"/>
    </row>
    <row r="98" spans="1:16" x14ac:dyDescent="0.35">
      <c r="A98" s="11"/>
      <c r="B98" s="11"/>
      <c r="C98" s="11"/>
      <c r="D98" s="11"/>
      <c r="E98" s="11"/>
      <c r="F98" s="11"/>
      <c r="G98" s="11"/>
      <c r="H98" s="11"/>
      <c r="I98" s="11"/>
      <c r="J98" s="11"/>
      <c r="K98" s="11"/>
      <c r="L98" s="11"/>
      <c r="M98" s="11"/>
      <c r="N98" s="11"/>
      <c r="O98" s="11"/>
      <c r="P98" s="11"/>
    </row>
    <row r="99" spans="1:16" x14ac:dyDescent="0.35">
      <c r="A99" s="11"/>
      <c r="B99" s="11"/>
      <c r="C99" s="11"/>
      <c r="D99" s="11"/>
      <c r="E99" s="11"/>
      <c r="F99" s="11"/>
      <c r="G99" s="11"/>
      <c r="H99" s="11"/>
      <c r="I99" s="11"/>
      <c r="J99" s="11"/>
      <c r="K99" s="11"/>
      <c r="L99" s="11"/>
      <c r="M99" s="11"/>
      <c r="N99" s="11"/>
      <c r="O99" s="11"/>
      <c r="P99" s="11"/>
    </row>
    <row r="100" spans="1:16" x14ac:dyDescent="0.35">
      <c r="A100" s="11"/>
      <c r="B100" s="11"/>
      <c r="C100" s="11"/>
      <c r="D100" s="11"/>
      <c r="E100" s="11"/>
      <c r="F100" s="11"/>
      <c r="G100" s="11"/>
      <c r="H100" s="11"/>
      <c r="I100" s="11"/>
      <c r="J100" s="11"/>
      <c r="K100" s="11"/>
      <c r="L100" s="11"/>
      <c r="M100" s="11"/>
      <c r="N100" s="11"/>
      <c r="O100" s="11"/>
      <c r="P100" s="11"/>
    </row>
    <row r="101" spans="1:16" x14ac:dyDescent="0.35">
      <c r="A101" s="11"/>
      <c r="B101" s="11"/>
      <c r="C101" s="11"/>
      <c r="D101" s="11"/>
      <c r="E101" s="11"/>
      <c r="F101" s="11"/>
      <c r="G101" s="11"/>
      <c r="H101" s="11"/>
      <c r="I101" s="11"/>
      <c r="J101" s="11"/>
      <c r="K101" s="11"/>
      <c r="L101" s="11"/>
      <c r="M101" s="11"/>
      <c r="N101" s="11"/>
      <c r="O101" s="11"/>
      <c r="P101" s="11"/>
    </row>
    <row r="102" spans="1:16" x14ac:dyDescent="0.35">
      <c r="A102" s="11"/>
      <c r="B102" s="11"/>
      <c r="C102" s="11"/>
      <c r="D102" s="11"/>
      <c r="E102" s="11"/>
      <c r="F102" s="11"/>
      <c r="G102" s="11"/>
      <c r="H102" s="11"/>
      <c r="I102" s="11"/>
      <c r="J102" s="11"/>
      <c r="K102" s="11"/>
      <c r="L102" s="11"/>
      <c r="M102" s="11"/>
      <c r="N102" s="11"/>
      <c r="O102" s="11"/>
      <c r="P102" s="11"/>
    </row>
    <row r="103" spans="1:16" x14ac:dyDescent="0.35">
      <c r="A103" s="11"/>
      <c r="B103" s="11"/>
      <c r="C103" s="11"/>
      <c r="D103" s="11"/>
      <c r="E103" s="11"/>
      <c r="F103" s="11"/>
      <c r="G103" s="11"/>
      <c r="H103" s="11"/>
      <c r="I103" s="11"/>
      <c r="J103" s="11"/>
      <c r="K103" s="11"/>
      <c r="L103" s="11"/>
      <c r="M103" s="11"/>
      <c r="N103" s="11"/>
      <c r="O103" s="11"/>
      <c r="P103" s="11"/>
    </row>
    <row r="104" spans="1:16" x14ac:dyDescent="0.35">
      <c r="A104" s="11"/>
      <c r="B104" s="11"/>
      <c r="C104" s="11"/>
      <c r="D104" s="11"/>
      <c r="E104" s="11"/>
      <c r="F104" s="11"/>
      <c r="G104" s="11"/>
      <c r="H104" s="11"/>
      <c r="I104" s="11"/>
      <c r="J104" s="11"/>
      <c r="K104" s="11"/>
      <c r="L104" s="11"/>
      <c r="M104" s="11"/>
      <c r="N104" s="11"/>
      <c r="O104" s="11"/>
      <c r="P104" s="11"/>
    </row>
    <row r="105" spans="1:16" x14ac:dyDescent="0.35">
      <c r="A105" s="11"/>
      <c r="B105" s="11"/>
      <c r="C105" s="11"/>
      <c r="D105" s="11"/>
      <c r="E105" s="11"/>
      <c r="F105" s="11"/>
      <c r="G105" s="11"/>
      <c r="H105" s="11"/>
      <c r="I105" s="11"/>
      <c r="J105" s="11"/>
      <c r="K105" s="11"/>
      <c r="L105" s="11"/>
      <c r="M105" s="11"/>
      <c r="N105" s="11"/>
      <c r="O105" s="11"/>
      <c r="P105" s="11"/>
    </row>
    <row r="106" spans="1:16" x14ac:dyDescent="0.35">
      <c r="A106" s="11"/>
      <c r="B106" s="11"/>
      <c r="C106" s="11"/>
      <c r="D106" s="11"/>
      <c r="E106" s="11"/>
      <c r="F106" s="11"/>
      <c r="G106" s="11"/>
      <c r="H106" s="11"/>
      <c r="I106" s="11"/>
      <c r="J106" s="11"/>
      <c r="K106" s="11"/>
      <c r="L106" s="11"/>
      <c r="M106" s="11"/>
      <c r="N106" s="11"/>
      <c r="O106" s="11"/>
      <c r="P106" s="11"/>
    </row>
    <row r="107" spans="1:16" x14ac:dyDescent="0.35">
      <c r="A107" s="11"/>
      <c r="B107" s="11"/>
      <c r="C107" s="11"/>
      <c r="D107" s="11"/>
      <c r="E107" s="11"/>
      <c r="F107" s="11"/>
      <c r="G107" s="11"/>
      <c r="H107" s="11"/>
      <c r="I107" s="11"/>
      <c r="J107" s="11"/>
      <c r="K107" s="11"/>
      <c r="L107" s="11"/>
      <c r="M107" s="11"/>
      <c r="N107" s="11"/>
      <c r="O107" s="11"/>
      <c r="P107" s="11"/>
    </row>
    <row r="108" spans="1:16" x14ac:dyDescent="0.35">
      <c r="A108" s="11"/>
      <c r="B108" s="11"/>
      <c r="C108" s="11"/>
      <c r="D108" s="11"/>
      <c r="E108" s="11"/>
      <c r="F108" s="11"/>
      <c r="G108" s="11"/>
      <c r="H108" s="11"/>
      <c r="I108" s="11"/>
      <c r="J108" s="11"/>
      <c r="K108" s="11"/>
      <c r="L108" s="11"/>
      <c r="M108" s="11"/>
      <c r="N108" s="11"/>
      <c r="O108" s="11"/>
      <c r="P108" s="11"/>
    </row>
    <row r="109" spans="1:16" x14ac:dyDescent="0.35">
      <c r="A109" s="11"/>
      <c r="B109" s="11"/>
      <c r="C109" s="11"/>
      <c r="D109" s="11"/>
      <c r="E109" s="11"/>
      <c r="F109" s="11"/>
      <c r="G109" s="11"/>
      <c r="H109" s="11"/>
      <c r="I109" s="11"/>
      <c r="J109" s="11"/>
      <c r="K109" s="11"/>
      <c r="L109" s="11"/>
      <c r="M109" s="11"/>
      <c r="N109" s="11"/>
      <c r="O109" s="11"/>
      <c r="P109" s="11"/>
    </row>
    <row r="110" spans="1:16" x14ac:dyDescent="0.35">
      <c r="A110" s="11"/>
      <c r="B110" s="11"/>
      <c r="C110" s="11"/>
      <c r="D110" s="11"/>
      <c r="E110" s="11"/>
      <c r="F110" s="11"/>
      <c r="G110" s="11"/>
      <c r="H110" s="11"/>
      <c r="I110" s="11"/>
      <c r="J110" s="11"/>
      <c r="K110" s="11"/>
      <c r="L110" s="11"/>
      <c r="M110" s="11"/>
      <c r="N110" s="11"/>
      <c r="O110" s="11"/>
      <c r="P110" s="11"/>
    </row>
    <row r="111" spans="1:16" x14ac:dyDescent="0.35">
      <c r="A111" s="11"/>
      <c r="B111" s="11"/>
      <c r="C111" s="11"/>
      <c r="D111" s="11"/>
      <c r="E111" s="11"/>
      <c r="F111" s="11"/>
      <c r="G111" s="11"/>
      <c r="H111" s="11"/>
      <c r="I111" s="11"/>
      <c r="J111" s="11"/>
      <c r="K111" s="11"/>
      <c r="L111" s="11"/>
      <c r="M111" s="11"/>
      <c r="N111" s="11"/>
      <c r="O111" s="11"/>
      <c r="P111" s="11"/>
    </row>
    <row r="112" spans="1:16" x14ac:dyDescent="0.35">
      <c r="A112" s="11"/>
      <c r="B112" s="11"/>
      <c r="C112" s="11"/>
      <c r="D112" s="11"/>
      <c r="E112" s="11"/>
      <c r="F112" s="11"/>
      <c r="G112" s="11"/>
      <c r="H112" s="11"/>
      <c r="I112" s="11"/>
      <c r="J112" s="11"/>
      <c r="K112" s="11"/>
      <c r="L112" s="11"/>
      <c r="M112" s="11"/>
      <c r="N112" s="11"/>
      <c r="O112" s="11"/>
      <c r="P112" s="11"/>
    </row>
    <row r="113" spans="1:16" x14ac:dyDescent="0.35">
      <c r="A113" s="11"/>
      <c r="B113" s="11"/>
      <c r="C113" s="11"/>
      <c r="D113" s="11"/>
      <c r="E113" s="11"/>
      <c r="F113" s="11"/>
      <c r="G113" s="11"/>
      <c r="H113" s="11"/>
      <c r="I113" s="11"/>
      <c r="J113" s="11"/>
      <c r="K113" s="11"/>
      <c r="L113" s="11"/>
      <c r="M113" s="11"/>
      <c r="N113" s="11"/>
      <c r="O113" s="11"/>
      <c r="P113" s="11"/>
    </row>
    <row r="114" spans="1:16" x14ac:dyDescent="0.35">
      <c r="A114" s="11"/>
      <c r="B114" s="11"/>
      <c r="C114" s="11"/>
      <c r="D114" s="11"/>
      <c r="E114" s="11"/>
      <c r="F114" s="11"/>
      <c r="G114" s="11"/>
      <c r="H114" s="11"/>
      <c r="I114" s="11"/>
      <c r="J114" s="11"/>
      <c r="K114" s="11"/>
      <c r="L114" s="11"/>
      <c r="M114" s="11"/>
      <c r="N114" s="11"/>
      <c r="O114" s="11"/>
      <c r="P114" s="11"/>
    </row>
    <row r="115" spans="1:16" x14ac:dyDescent="0.35">
      <c r="A115" s="11"/>
      <c r="B115" s="11"/>
      <c r="C115" s="11"/>
      <c r="D115" s="11"/>
      <c r="E115" s="11"/>
      <c r="F115" s="11"/>
      <c r="G115" s="11"/>
      <c r="H115" s="11"/>
      <c r="I115" s="11"/>
      <c r="J115" s="11"/>
      <c r="K115" s="11"/>
      <c r="L115" s="11"/>
      <c r="M115" s="11"/>
      <c r="N115" s="11"/>
      <c r="O115" s="11"/>
      <c r="P115" s="11"/>
    </row>
    <row r="116" spans="1:16" x14ac:dyDescent="0.35">
      <c r="A116" s="11"/>
      <c r="B116" s="11"/>
      <c r="C116" s="11"/>
      <c r="D116" s="11"/>
      <c r="E116" s="11"/>
      <c r="F116" s="11"/>
      <c r="G116" s="11"/>
      <c r="H116" s="11"/>
      <c r="I116" s="11"/>
      <c r="J116" s="11"/>
      <c r="K116" s="11"/>
      <c r="L116" s="11"/>
      <c r="M116" s="11"/>
      <c r="N116" s="11"/>
      <c r="O116" s="11"/>
      <c r="P116" s="11"/>
    </row>
    <row r="117" spans="1:16" x14ac:dyDescent="0.35">
      <c r="A117" s="11"/>
      <c r="B117" s="11"/>
      <c r="C117" s="11"/>
      <c r="D117" s="11"/>
      <c r="E117" s="11"/>
      <c r="F117" s="11"/>
      <c r="G117" s="11"/>
      <c r="H117" s="11"/>
      <c r="I117" s="11"/>
      <c r="J117" s="11"/>
      <c r="K117" s="11"/>
      <c r="L117" s="11"/>
      <c r="M117" s="11"/>
      <c r="N117" s="11"/>
      <c r="O117" s="11"/>
      <c r="P117" s="11"/>
    </row>
    <row r="118" spans="1:16" x14ac:dyDescent="0.35">
      <c r="A118" s="11"/>
      <c r="B118" s="11"/>
      <c r="C118" s="11"/>
      <c r="D118" s="11"/>
      <c r="E118" s="11"/>
      <c r="F118" s="11"/>
      <c r="G118" s="11"/>
      <c r="H118" s="11"/>
      <c r="I118" s="11"/>
      <c r="J118" s="11"/>
      <c r="K118" s="11"/>
      <c r="L118" s="11"/>
      <c r="M118" s="11"/>
      <c r="N118" s="11"/>
      <c r="O118" s="11"/>
      <c r="P118" s="11"/>
    </row>
    <row r="119" spans="1:16" x14ac:dyDescent="0.35">
      <c r="A119" s="11"/>
      <c r="B119" s="11"/>
      <c r="C119" s="11"/>
      <c r="D119" s="11"/>
      <c r="E119" s="11"/>
      <c r="F119" s="11"/>
      <c r="G119" s="11"/>
      <c r="H119" s="11"/>
      <c r="I119" s="11"/>
      <c r="J119" s="11"/>
      <c r="K119" s="11"/>
      <c r="L119" s="11"/>
      <c r="M119" s="11"/>
      <c r="N119" s="11"/>
      <c r="O119" s="11"/>
      <c r="P119" s="11"/>
    </row>
    <row r="120" spans="1:16" x14ac:dyDescent="0.35">
      <c r="A120" s="11"/>
      <c r="B120" s="11"/>
      <c r="C120" s="11"/>
      <c r="D120" s="11"/>
      <c r="E120" s="11"/>
      <c r="F120" s="11"/>
      <c r="G120" s="11"/>
      <c r="H120" s="11"/>
      <c r="I120" s="11"/>
      <c r="J120" s="11"/>
      <c r="K120" s="11"/>
      <c r="L120" s="11"/>
      <c r="M120" s="11"/>
      <c r="N120" s="11"/>
      <c r="O120" s="11"/>
      <c r="P120" s="11"/>
    </row>
    <row r="121" spans="1:16" x14ac:dyDescent="0.35">
      <c r="A121" s="11"/>
      <c r="B121" s="11"/>
      <c r="C121" s="11"/>
      <c r="D121" s="11"/>
      <c r="E121" s="11"/>
      <c r="F121" s="11"/>
      <c r="G121" s="11"/>
      <c r="H121" s="11"/>
      <c r="I121" s="11"/>
      <c r="J121" s="11"/>
      <c r="K121" s="11"/>
      <c r="L121" s="11"/>
      <c r="M121" s="11"/>
      <c r="N121" s="11"/>
      <c r="O121" s="11"/>
      <c r="P121" s="11"/>
    </row>
    <row r="122" spans="1:16" x14ac:dyDescent="0.35">
      <c r="A122" s="11"/>
      <c r="B122" s="11"/>
      <c r="C122" s="11"/>
      <c r="D122" s="11"/>
      <c r="E122" s="11"/>
      <c r="F122" s="11"/>
      <c r="G122" s="11"/>
      <c r="H122" s="11"/>
      <c r="I122" s="11"/>
      <c r="J122" s="11"/>
      <c r="K122" s="11"/>
      <c r="L122" s="11"/>
      <c r="M122" s="11"/>
      <c r="N122" s="11"/>
      <c r="O122" s="11"/>
      <c r="P122" s="11"/>
    </row>
    <row r="123" spans="1:16" x14ac:dyDescent="0.35">
      <c r="A123" s="11"/>
      <c r="B123" s="11"/>
      <c r="C123" s="11"/>
      <c r="D123" s="11"/>
      <c r="E123" s="11"/>
      <c r="F123" s="11"/>
      <c r="G123" s="11"/>
      <c r="H123" s="11"/>
      <c r="I123" s="11"/>
      <c r="J123" s="11"/>
      <c r="K123" s="11"/>
      <c r="L123" s="11"/>
      <c r="M123" s="11"/>
      <c r="N123" s="11"/>
      <c r="O123" s="11"/>
      <c r="P123" s="11"/>
    </row>
    <row r="124" spans="1:16" x14ac:dyDescent="0.35">
      <c r="A124" s="11"/>
      <c r="B124" s="11"/>
      <c r="C124" s="11"/>
      <c r="D124" s="11"/>
      <c r="E124" s="11"/>
      <c r="F124" s="11"/>
      <c r="G124" s="11"/>
      <c r="H124" s="11"/>
      <c r="I124" s="11"/>
      <c r="J124" s="11"/>
      <c r="K124" s="11"/>
      <c r="L124" s="11"/>
      <c r="M124" s="11"/>
      <c r="N124" s="11"/>
      <c r="O124" s="11"/>
      <c r="P124" s="11"/>
    </row>
    <row r="125" spans="1:16" x14ac:dyDescent="0.35">
      <c r="A125" s="11"/>
      <c r="B125" s="11"/>
      <c r="C125" s="11"/>
      <c r="D125" s="11"/>
      <c r="E125" s="11"/>
      <c r="F125" s="11"/>
      <c r="G125" s="11"/>
      <c r="H125" s="11"/>
      <c r="I125" s="11"/>
      <c r="J125" s="11"/>
      <c r="K125" s="11"/>
      <c r="L125" s="11"/>
      <c r="M125" s="11"/>
      <c r="N125" s="11"/>
      <c r="O125" s="11"/>
      <c r="P125" s="11"/>
    </row>
    <row r="126" spans="1:16" x14ac:dyDescent="0.35">
      <c r="A126" s="11"/>
      <c r="B126" s="11"/>
      <c r="C126" s="11"/>
      <c r="D126" s="11"/>
      <c r="E126" s="11"/>
      <c r="F126" s="11"/>
      <c r="G126" s="11"/>
      <c r="H126" s="11"/>
      <c r="I126" s="11"/>
      <c r="J126" s="11"/>
      <c r="K126" s="11"/>
      <c r="L126" s="11"/>
      <c r="M126" s="11"/>
      <c r="N126" s="11"/>
      <c r="O126" s="11"/>
      <c r="P126" s="11"/>
    </row>
    <row r="127" spans="1:16" x14ac:dyDescent="0.35">
      <c r="A127" s="11"/>
      <c r="B127" s="11"/>
      <c r="C127" s="11"/>
      <c r="D127" s="11"/>
      <c r="E127" s="11"/>
      <c r="F127" s="11"/>
      <c r="G127" s="11"/>
      <c r="H127" s="11"/>
      <c r="I127" s="11"/>
      <c r="J127" s="11"/>
      <c r="K127" s="11"/>
      <c r="L127" s="11"/>
      <c r="M127" s="11"/>
      <c r="N127" s="11"/>
      <c r="O127" s="11"/>
      <c r="P127" s="11"/>
    </row>
    <row r="128" spans="1:16" x14ac:dyDescent="0.35">
      <c r="A128" s="11"/>
      <c r="B128" s="11"/>
      <c r="C128" s="11"/>
      <c r="D128" s="11"/>
      <c r="E128" s="11"/>
      <c r="F128" s="11"/>
      <c r="G128" s="11"/>
      <c r="H128" s="11"/>
      <c r="I128" s="11"/>
      <c r="J128" s="11"/>
      <c r="K128" s="11"/>
      <c r="L128" s="11"/>
      <c r="M128" s="11"/>
      <c r="N128" s="11"/>
      <c r="O128" s="11"/>
      <c r="P128" s="11"/>
    </row>
    <row r="129" spans="1:16" x14ac:dyDescent="0.35">
      <c r="A129" s="11"/>
      <c r="B129" s="11"/>
      <c r="C129" s="11"/>
      <c r="D129" s="11"/>
      <c r="E129" s="11"/>
      <c r="F129" s="11"/>
      <c r="G129" s="11"/>
      <c r="H129" s="11"/>
      <c r="I129" s="11"/>
      <c r="J129" s="11"/>
      <c r="K129" s="11"/>
      <c r="L129" s="11"/>
      <c r="M129" s="11"/>
      <c r="N129" s="11"/>
      <c r="O129" s="11"/>
      <c r="P129" s="11"/>
    </row>
    <row r="130" spans="1:16" x14ac:dyDescent="0.35">
      <c r="A130" s="11"/>
      <c r="B130" s="11"/>
      <c r="C130" s="11"/>
      <c r="D130" s="11"/>
      <c r="E130" s="11"/>
      <c r="F130" s="11"/>
      <c r="G130" s="11"/>
      <c r="H130" s="11"/>
      <c r="I130" s="11"/>
      <c r="J130" s="11"/>
      <c r="K130" s="11"/>
      <c r="L130" s="11"/>
      <c r="M130" s="11"/>
      <c r="N130" s="11"/>
      <c r="O130" s="11"/>
      <c r="P130" s="11"/>
    </row>
    <row r="131" spans="1:16" x14ac:dyDescent="0.35">
      <c r="A131" s="11"/>
      <c r="B131" s="11"/>
      <c r="C131" s="11"/>
      <c r="D131" s="11"/>
      <c r="E131" s="11"/>
      <c r="F131" s="11"/>
      <c r="G131" s="11"/>
      <c r="H131" s="11"/>
      <c r="I131" s="11"/>
      <c r="J131" s="11"/>
      <c r="K131" s="11"/>
      <c r="L131" s="11"/>
      <c r="M131" s="11"/>
      <c r="N131" s="11"/>
      <c r="O131" s="11"/>
      <c r="P131" s="11"/>
    </row>
    <row r="132" spans="1:16" x14ac:dyDescent="0.35">
      <c r="A132" s="11"/>
      <c r="B132" s="11"/>
      <c r="C132" s="11"/>
      <c r="D132" s="11"/>
      <c r="E132" s="11"/>
      <c r="F132" s="11"/>
      <c r="G132" s="11"/>
      <c r="H132" s="11"/>
      <c r="I132" s="11"/>
      <c r="J132" s="11"/>
      <c r="K132" s="11"/>
      <c r="L132" s="11"/>
      <c r="M132" s="11"/>
      <c r="N132" s="11"/>
      <c r="O132" s="11"/>
      <c r="P132" s="11"/>
    </row>
    <row r="133" spans="1:16" x14ac:dyDescent="0.35">
      <c r="A133" s="11"/>
      <c r="B133" s="11"/>
      <c r="C133" s="11"/>
      <c r="D133" s="11"/>
      <c r="E133" s="11"/>
      <c r="F133" s="11"/>
      <c r="G133" s="11"/>
      <c r="H133" s="11"/>
      <c r="I133" s="11"/>
      <c r="J133" s="11"/>
      <c r="K133" s="11"/>
      <c r="L133" s="11"/>
      <c r="M133" s="11"/>
      <c r="N133" s="11"/>
      <c r="O133" s="11"/>
      <c r="P133" s="11"/>
    </row>
    <row r="134" spans="1:16" x14ac:dyDescent="0.35">
      <c r="A134" s="11"/>
      <c r="B134" s="11"/>
      <c r="C134" s="11"/>
      <c r="D134" s="11"/>
      <c r="E134" s="11"/>
      <c r="F134" s="11"/>
      <c r="G134" s="11"/>
      <c r="H134" s="11"/>
      <c r="I134" s="11"/>
      <c r="J134" s="11"/>
      <c r="K134" s="11"/>
      <c r="L134" s="11"/>
      <c r="M134" s="11"/>
      <c r="N134" s="11"/>
      <c r="O134" s="11"/>
      <c r="P134" s="11"/>
    </row>
    <row r="135" spans="1:16" x14ac:dyDescent="0.35">
      <c r="A135" s="11"/>
      <c r="B135" s="11"/>
      <c r="C135" s="11"/>
      <c r="D135" s="11"/>
      <c r="E135" s="11"/>
      <c r="F135" s="11"/>
      <c r="G135" s="11"/>
      <c r="H135" s="11"/>
      <c r="I135" s="11"/>
      <c r="J135" s="11"/>
      <c r="K135" s="11"/>
      <c r="L135" s="11"/>
      <c r="M135" s="11"/>
      <c r="N135" s="11"/>
      <c r="O135" s="11"/>
      <c r="P135" s="11"/>
    </row>
    <row r="136" spans="1:16" x14ac:dyDescent="0.35">
      <c r="A136" s="11"/>
      <c r="B136" s="11"/>
      <c r="C136" s="11"/>
      <c r="D136" s="11"/>
      <c r="E136" s="11"/>
      <c r="F136" s="11"/>
      <c r="G136" s="11"/>
      <c r="H136" s="11"/>
      <c r="I136" s="11"/>
      <c r="J136" s="11"/>
      <c r="K136" s="11"/>
      <c r="L136" s="11"/>
      <c r="M136" s="11"/>
      <c r="N136" s="11"/>
      <c r="O136" s="11"/>
      <c r="P136" s="11"/>
    </row>
    <row r="137" spans="1:16" x14ac:dyDescent="0.35">
      <c r="A137" s="11"/>
      <c r="B137" s="11"/>
      <c r="C137" s="11"/>
      <c r="D137" s="11"/>
      <c r="E137" s="11"/>
      <c r="F137" s="11"/>
      <c r="G137" s="11"/>
      <c r="H137" s="11"/>
      <c r="I137" s="11"/>
      <c r="J137" s="11"/>
      <c r="K137" s="11"/>
      <c r="L137" s="11"/>
      <c r="M137" s="11"/>
      <c r="N137" s="11"/>
      <c r="O137" s="11"/>
      <c r="P137" s="11"/>
    </row>
    <row r="138" spans="1:16" x14ac:dyDescent="0.35">
      <c r="A138" s="11"/>
      <c r="B138" s="11"/>
      <c r="C138" s="11"/>
      <c r="D138" s="11"/>
      <c r="E138" s="11"/>
      <c r="F138" s="11"/>
      <c r="G138" s="11"/>
      <c r="H138" s="11"/>
      <c r="I138" s="11"/>
      <c r="J138" s="11"/>
      <c r="K138" s="11"/>
      <c r="L138" s="11"/>
      <c r="M138" s="11"/>
      <c r="N138" s="11"/>
      <c r="O138" s="11"/>
      <c r="P138" s="11"/>
    </row>
    <row r="139" spans="1:16" x14ac:dyDescent="0.35">
      <c r="A139" s="11"/>
      <c r="B139" s="11"/>
      <c r="C139" s="11"/>
      <c r="D139" s="11"/>
      <c r="E139" s="11"/>
      <c r="F139" s="11"/>
      <c r="G139" s="11"/>
      <c r="H139" s="11"/>
      <c r="I139" s="11"/>
      <c r="J139" s="11"/>
      <c r="K139" s="11"/>
      <c r="L139" s="11"/>
      <c r="M139" s="11"/>
      <c r="N139" s="11"/>
      <c r="O139" s="11"/>
      <c r="P139" s="11"/>
    </row>
    <row r="140" spans="1:16" x14ac:dyDescent="0.35">
      <c r="A140" s="11"/>
      <c r="B140" s="11"/>
      <c r="C140" s="11"/>
      <c r="D140" s="11"/>
      <c r="E140" s="11"/>
      <c r="F140" s="11"/>
      <c r="G140" s="11"/>
      <c r="H140" s="11"/>
      <c r="I140" s="11"/>
      <c r="J140" s="11"/>
      <c r="K140" s="11"/>
      <c r="L140" s="11"/>
      <c r="M140" s="11"/>
      <c r="N140" s="11"/>
      <c r="O140" s="11"/>
      <c r="P140" s="11"/>
    </row>
    <row r="141" spans="1:16" x14ac:dyDescent="0.35">
      <c r="A141" s="11"/>
      <c r="B141" s="11"/>
      <c r="C141" s="11"/>
      <c r="D141" s="11"/>
      <c r="E141" s="11"/>
      <c r="F141" s="11"/>
      <c r="G141" s="11"/>
      <c r="H141" s="11"/>
      <c r="I141" s="11"/>
      <c r="J141" s="11"/>
      <c r="K141" s="11"/>
      <c r="L141" s="11"/>
      <c r="M141" s="11"/>
      <c r="N141" s="11"/>
      <c r="O141" s="11"/>
      <c r="P141" s="11"/>
    </row>
    <row r="142" spans="1:16" x14ac:dyDescent="0.35">
      <c r="A142" s="11"/>
      <c r="B142" s="11"/>
      <c r="C142" s="11"/>
      <c r="D142" s="11"/>
      <c r="E142" s="11"/>
      <c r="F142" s="11"/>
      <c r="G142" s="11"/>
      <c r="H142" s="11"/>
      <c r="I142" s="11"/>
      <c r="J142" s="11"/>
      <c r="K142" s="11"/>
      <c r="L142" s="11"/>
      <c r="M142" s="11"/>
      <c r="N142" s="11"/>
      <c r="O142" s="11"/>
      <c r="P142" s="11"/>
    </row>
    <row r="143" spans="1:16" x14ac:dyDescent="0.35">
      <c r="A143" s="11"/>
      <c r="B143" s="11"/>
      <c r="C143" s="11"/>
      <c r="D143" s="11"/>
      <c r="E143" s="11"/>
      <c r="F143" s="11"/>
      <c r="G143" s="11"/>
      <c r="H143" s="11"/>
      <c r="I143" s="11"/>
      <c r="J143" s="11"/>
      <c r="K143" s="11"/>
      <c r="L143" s="11"/>
      <c r="M143" s="11"/>
      <c r="N143" s="11"/>
      <c r="O143" s="11"/>
      <c r="P143" s="11"/>
    </row>
    <row r="144" spans="1:16" x14ac:dyDescent="0.35">
      <c r="A144" s="11"/>
      <c r="B144" s="11"/>
      <c r="C144" s="11"/>
      <c r="D144" s="11"/>
      <c r="E144" s="11"/>
      <c r="F144" s="11"/>
      <c r="G144" s="11"/>
      <c r="H144" s="11"/>
      <c r="I144" s="11"/>
      <c r="J144" s="11"/>
      <c r="K144" s="11"/>
      <c r="L144" s="11"/>
      <c r="M144" s="11"/>
      <c r="N144" s="11"/>
      <c r="O144" s="11"/>
      <c r="P144" s="11"/>
    </row>
    <row r="145" spans="1:16" x14ac:dyDescent="0.35">
      <c r="A145" s="11"/>
      <c r="B145" s="11"/>
      <c r="C145" s="11"/>
      <c r="D145" s="11"/>
      <c r="E145" s="11"/>
      <c r="F145" s="11"/>
      <c r="G145" s="11"/>
      <c r="H145" s="11"/>
      <c r="I145" s="11"/>
      <c r="J145" s="11"/>
      <c r="K145" s="11"/>
      <c r="L145" s="11"/>
      <c r="M145" s="11"/>
      <c r="N145" s="11"/>
      <c r="O145" s="11"/>
      <c r="P145" s="11"/>
    </row>
    <row r="146" spans="1:16" x14ac:dyDescent="0.35">
      <c r="A146" s="11"/>
      <c r="B146" s="11"/>
      <c r="C146" s="11"/>
      <c r="D146" s="11"/>
      <c r="E146" s="11"/>
      <c r="F146" s="11"/>
      <c r="G146" s="11"/>
      <c r="H146" s="11"/>
      <c r="I146" s="11"/>
      <c r="J146" s="11"/>
      <c r="K146" s="11"/>
      <c r="L146" s="11"/>
      <c r="M146" s="11"/>
      <c r="N146" s="11"/>
      <c r="O146" s="11"/>
      <c r="P146" s="11"/>
    </row>
    <row r="147" spans="1:16" x14ac:dyDescent="0.35">
      <c r="A147" s="11"/>
      <c r="B147" s="11"/>
      <c r="C147" s="11"/>
      <c r="D147" s="11"/>
      <c r="E147" s="11"/>
      <c r="F147" s="11"/>
      <c r="G147" s="11"/>
      <c r="H147" s="11"/>
      <c r="I147" s="11"/>
      <c r="J147" s="11"/>
      <c r="K147" s="11"/>
      <c r="L147" s="11"/>
      <c r="M147" s="11"/>
      <c r="N147" s="11"/>
      <c r="O147" s="11"/>
      <c r="P147" s="11"/>
    </row>
    <row r="148" spans="1:16" x14ac:dyDescent="0.35">
      <c r="A148" s="11"/>
      <c r="B148" s="11"/>
      <c r="C148" s="11"/>
      <c r="D148" s="11"/>
      <c r="E148" s="11"/>
      <c r="F148" s="11"/>
      <c r="G148" s="11"/>
      <c r="H148" s="11"/>
      <c r="I148" s="11"/>
      <c r="J148" s="11"/>
      <c r="K148" s="11"/>
      <c r="L148" s="11"/>
      <c r="M148" s="11"/>
      <c r="N148" s="11"/>
      <c r="O148" s="11"/>
      <c r="P148" s="11"/>
    </row>
    <row r="149" spans="1:16" x14ac:dyDescent="0.35">
      <c r="A149" s="11"/>
      <c r="B149" s="11"/>
      <c r="C149" s="11"/>
      <c r="D149" s="11"/>
      <c r="E149" s="11"/>
      <c r="F149" s="11"/>
      <c r="G149" s="11"/>
      <c r="H149" s="11"/>
      <c r="I149" s="11"/>
      <c r="J149" s="11"/>
      <c r="K149" s="11"/>
      <c r="L149" s="11"/>
      <c r="M149" s="11"/>
      <c r="N149" s="11"/>
      <c r="O149" s="11"/>
      <c r="P149" s="11"/>
    </row>
    <row r="150" spans="1:16" x14ac:dyDescent="0.35">
      <c r="A150" s="11"/>
      <c r="B150" s="11"/>
      <c r="C150" s="11"/>
      <c r="D150" s="11"/>
      <c r="E150" s="11"/>
      <c r="F150" s="11"/>
      <c r="G150" s="11"/>
      <c r="H150" s="11"/>
      <c r="I150" s="11"/>
      <c r="J150" s="11"/>
      <c r="K150" s="11"/>
      <c r="L150" s="11"/>
      <c r="M150" s="11"/>
      <c r="N150" s="11"/>
      <c r="O150" s="11"/>
      <c r="P150" s="11"/>
    </row>
    <row r="151" spans="1:16" x14ac:dyDescent="0.35">
      <c r="A151" s="11"/>
      <c r="B151" s="11"/>
      <c r="C151" s="11"/>
      <c r="D151" s="11"/>
      <c r="E151" s="11"/>
      <c r="F151" s="11"/>
      <c r="G151" s="11"/>
      <c r="H151" s="11"/>
      <c r="I151" s="11"/>
      <c r="J151" s="11"/>
      <c r="K151" s="11"/>
      <c r="L151" s="11"/>
      <c r="M151" s="11"/>
      <c r="N151" s="11"/>
      <c r="O151" s="11"/>
      <c r="P151" s="11"/>
    </row>
    <row r="152" spans="1:16" x14ac:dyDescent="0.35">
      <c r="A152" s="11"/>
      <c r="B152" s="11"/>
      <c r="C152" s="11"/>
      <c r="D152" s="11"/>
      <c r="E152" s="11"/>
      <c r="F152" s="11"/>
      <c r="G152" s="11"/>
      <c r="H152" s="11"/>
      <c r="I152" s="11"/>
      <c r="J152" s="11"/>
      <c r="K152" s="11"/>
      <c r="L152" s="11"/>
      <c r="M152" s="11"/>
      <c r="N152" s="11"/>
      <c r="O152" s="11"/>
      <c r="P152" s="11"/>
    </row>
    <row r="153" spans="1:16" x14ac:dyDescent="0.35">
      <c r="A153" s="11"/>
      <c r="B153" s="11"/>
      <c r="C153" s="11"/>
      <c r="D153" s="11"/>
      <c r="E153" s="11"/>
      <c r="F153" s="11"/>
      <c r="G153" s="11"/>
      <c r="H153" s="11"/>
      <c r="I153" s="11"/>
      <c r="J153" s="11"/>
      <c r="K153" s="11"/>
      <c r="L153" s="11"/>
      <c r="M153" s="11"/>
      <c r="N153" s="11"/>
      <c r="O153" s="11"/>
      <c r="P153" s="11"/>
    </row>
    <row r="154" spans="1:16" x14ac:dyDescent="0.35">
      <c r="A154" s="11"/>
      <c r="B154" s="11"/>
      <c r="C154" s="11"/>
      <c r="D154" s="11"/>
      <c r="E154" s="11"/>
      <c r="F154" s="11"/>
      <c r="G154" s="11"/>
      <c r="H154" s="11"/>
      <c r="I154" s="11"/>
      <c r="J154" s="11"/>
      <c r="K154" s="11"/>
      <c r="L154" s="11"/>
      <c r="M154" s="11"/>
      <c r="N154" s="11"/>
      <c r="O154" s="11"/>
      <c r="P154" s="11"/>
    </row>
    <row r="155" spans="1:16" x14ac:dyDescent="0.35">
      <c r="A155" s="11"/>
      <c r="B155" s="11"/>
      <c r="C155" s="11"/>
      <c r="D155" s="11"/>
      <c r="E155" s="11"/>
      <c r="F155" s="11"/>
      <c r="G155" s="11"/>
      <c r="H155" s="11"/>
      <c r="I155" s="11"/>
      <c r="J155" s="11"/>
      <c r="K155" s="11"/>
      <c r="L155" s="11"/>
      <c r="M155" s="11"/>
      <c r="N155" s="11"/>
      <c r="O155" s="11"/>
      <c r="P155" s="11"/>
    </row>
    <row r="156" spans="1:16" x14ac:dyDescent="0.35">
      <c r="A156" s="11"/>
      <c r="B156" s="11"/>
      <c r="C156" s="11"/>
      <c r="D156" s="11"/>
      <c r="E156" s="11"/>
      <c r="F156" s="11"/>
      <c r="G156" s="11"/>
      <c r="H156" s="11"/>
      <c r="I156" s="11"/>
      <c r="J156" s="11"/>
      <c r="K156" s="11"/>
      <c r="L156" s="11"/>
      <c r="M156" s="11"/>
      <c r="N156" s="11"/>
      <c r="O156" s="11"/>
      <c r="P156" s="11"/>
    </row>
    <row r="157" spans="1:16" x14ac:dyDescent="0.35">
      <c r="A157" s="11"/>
      <c r="B157" s="11"/>
      <c r="C157" s="11"/>
      <c r="D157" s="11"/>
      <c r="E157" s="11"/>
      <c r="F157" s="11"/>
      <c r="G157" s="11"/>
      <c r="H157" s="11"/>
      <c r="I157" s="11"/>
      <c r="J157" s="11"/>
      <c r="K157" s="11"/>
      <c r="L157" s="11"/>
      <c r="M157" s="11"/>
      <c r="N157" s="11"/>
      <c r="O157" s="11"/>
      <c r="P157" s="11"/>
    </row>
    <row r="158" spans="1:16" x14ac:dyDescent="0.35">
      <c r="A158" s="11"/>
      <c r="B158" s="11"/>
      <c r="C158" s="11"/>
      <c r="D158" s="11"/>
      <c r="E158" s="11"/>
      <c r="F158" s="11"/>
      <c r="G158" s="11"/>
      <c r="H158" s="11"/>
      <c r="I158" s="11"/>
      <c r="J158" s="11"/>
      <c r="K158" s="11"/>
      <c r="L158" s="11"/>
      <c r="M158" s="11"/>
      <c r="N158" s="11"/>
      <c r="O158" s="11"/>
      <c r="P158" s="11"/>
    </row>
    <row r="159" spans="1:16" x14ac:dyDescent="0.35">
      <c r="A159" s="11"/>
      <c r="B159" s="11"/>
      <c r="C159" s="11"/>
      <c r="D159" s="11"/>
      <c r="E159" s="11"/>
      <c r="F159" s="11"/>
      <c r="G159" s="11"/>
      <c r="H159" s="11"/>
      <c r="I159" s="11"/>
      <c r="J159" s="11"/>
      <c r="K159" s="11"/>
      <c r="L159" s="11"/>
      <c r="M159" s="11"/>
      <c r="N159" s="11"/>
      <c r="O159" s="11"/>
      <c r="P159" s="11"/>
    </row>
    <row r="160" spans="1:16" x14ac:dyDescent="0.35">
      <c r="A160" s="11"/>
      <c r="B160" s="11"/>
      <c r="C160" s="11"/>
      <c r="D160" s="11"/>
      <c r="E160" s="11"/>
      <c r="F160" s="11"/>
      <c r="G160" s="11"/>
      <c r="H160" s="11"/>
      <c r="I160" s="11"/>
      <c r="J160" s="11"/>
      <c r="K160" s="11"/>
      <c r="L160" s="11"/>
      <c r="M160" s="11"/>
      <c r="N160" s="11"/>
      <c r="O160" s="11"/>
      <c r="P160" s="11"/>
    </row>
  </sheetData>
  <mergeCells count="3">
    <mergeCell ref="J1:K1"/>
    <mergeCell ref="I5:I8"/>
    <mergeCell ref="Q1:S1"/>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REAforêtMBoisement</vt:lpstr>
      <vt:lpstr>REEsubsMBoisement</vt:lpstr>
      <vt:lpstr>REG&amp;Rabais</vt:lpstr>
      <vt:lpstr>Listes choix</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HEUSCHMIDT</dc:creator>
  <cp:lastModifiedBy>Florence HEUSCHMIDT</cp:lastModifiedBy>
  <dcterms:created xsi:type="dcterms:W3CDTF">2019-12-30T13:35:15Z</dcterms:created>
  <dcterms:modified xsi:type="dcterms:W3CDTF">2021-02-08T11:34:55Z</dcterms:modified>
</cp:coreProperties>
</file>