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Desktop/dossier sans titre/"/>
    </mc:Choice>
  </mc:AlternateContent>
  <xr:revisionPtr revIDLastSave="0" documentId="13_ncr:1_{E05E235F-025D-C34C-A38C-CC64CEB07B4F}" xr6:coauthVersionLast="47" xr6:coauthVersionMax="47" xr10:uidLastSave="{00000000-0000-0000-0000-000000000000}"/>
  <bookViews>
    <workbookView xWindow="-4020" yWindow="-28120" windowWidth="20420" windowHeight="2110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6" l="1"/>
  <c r="J13" i="6"/>
  <c r="J14" i="6"/>
  <c r="J15" i="6"/>
  <c r="J16" i="6"/>
  <c r="J12" i="6"/>
  <c r="C153" i="6"/>
  <c r="C154" i="6"/>
  <c r="C155" i="6"/>
  <c r="C152" i="6"/>
  <c r="C101" i="6"/>
  <c r="C102" i="6"/>
  <c r="C103" i="6"/>
  <c r="C104" i="6"/>
  <c r="C105" i="6"/>
  <c r="C106" i="6"/>
  <c r="C107" i="6"/>
  <c r="C108" i="6"/>
  <c r="C109" i="6"/>
  <c r="C110" i="6"/>
  <c r="C111" i="6"/>
  <c r="C112" i="6"/>
  <c r="C113" i="6"/>
  <c r="C114" i="6"/>
  <c r="C100" i="6"/>
  <c r="C140" i="6"/>
  <c r="C139" i="6"/>
  <c r="C138" i="6"/>
  <c r="C137" i="6"/>
  <c r="C136" i="6"/>
  <c r="C135" i="6"/>
  <c r="C134" i="6"/>
  <c r="C133" i="6"/>
  <c r="C132" i="6"/>
  <c r="C131" i="6"/>
  <c r="C130" i="6"/>
  <c r="C129" i="6"/>
  <c r="C128" i="6"/>
  <c r="C127" i="6"/>
  <c r="C126" i="6"/>
  <c r="C91" i="6"/>
  <c r="C92" i="6"/>
  <c r="C93" i="6"/>
  <c r="C49" i="6"/>
  <c r="C50" i="6"/>
  <c r="C51" i="6"/>
  <c r="C52" i="6"/>
  <c r="C53" i="6"/>
  <c r="C54" i="6"/>
  <c r="C55" i="6"/>
  <c r="C48" i="6"/>
  <c r="C90" i="6" l="1"/>
  <c r="C89" i="6"/>
  <c r="C88" i="6"/>
  <c r="C87" i="6"/>
  <c r="C86" i="6"/>
  <c r="C85" i="6"/>
  <c r="C84" i="6"/>
  <c r="C83" i="6"/>
  <c r="C82" i="6"/>
  <c r="C81" i="6"/>
  <c r="C80" i="6"/>
  <c r="C79" i="6"/>
  <c r="C78" i="6"/>
  <c r="C77" i="6"/>
  <c r="C76" i="6"/>
  <c r="C75" i="6"/>
  <c r="C74" i="6"/>
  <c r="C23" i="6" l="1"/>
  <c r="C24" i="6"/>
  <c r="C25" i="6"/>
  <c r="C26" i="6"/>
  <c r="C27" i="6"/>
  <c r="C28" i="6"/>
  <c r="C29" i="6"/>
  <c r="C22" i="6"/>
  <c r="AF205" i="2" l="1"/>
  <c r="O3" i="2" l="1"/>
  <c r="R30" i="6" l="1"/>
  <c r="R31" i="6" s="1"/>
  <c r="R32" i="6" s="1"/>
  <c r="R33" i="6" s="1"/>
  <c r="R34" i="6" s="1"/>
  <c r="R35" i="6" s="1"/>
  <c r="R36" i="6" s="1"/>
  <c r="R37" i="6" s="1"/>
  <c r="R38" i="6" s="1"/>
  <c r="R39" i="6" l="1"/>
  <c r="R40" i="6" s="1"/>
  <c r="R41" i="6" s="1"/>
  <c r="R42" i="6" s="1"/>
  <c r="R43" i="6" s="1"/>
  <c r="R44" i="6" s="1"/>
  <c r="R45" i="6" s="1"/>
  <c r="R46" i="6" s="1"/>
  <c r="R47" i="6" s="1"/>
  <c r="R48" i="6" s="1"/>
  <c r="R49" i="6" s="1"/>
  <c r="R50" i="6" s="1"/>
  <c r="R51" i="6" s="1"/>
  <c r="R52" i="6" s="1"/>
  <c r="R53" i="6" s="1"/>
  <c r="R54" i="6" s="1"/>
  <c r="R55" i="6" s="1"/>
  <c r="R56" i="6" s="1"/>
  <c r="R57" i="6" s="1"/>
  <c r="R58" i="6" s="1"/>
  <c r="R59" i="6" s="1"/>
  <c r="R60" i="6" s="1"/>
  <c r="R61" i="6" s="1"/>
  <c r="R62" i="6" s="1"/>
  <c r="R63" i="6" s="1"/>
  <c r="R64" i="6" s="1"/>
  <c r="R65" i="6" s="1"/>
  <c r="R66" i="6" s="1"/>
  <c r="R67" i="6" s="1"/>
  <c r="R68" i="6" s="1"/>
  <c r="R69" i="6" s="1"/>
  <c r="R70" i="6" s="1"/>
  <c r="R71" i="6" s="1"/>
  <c r="R72" i="6" s="1"/>
  <c r="R73" i="6" s="1"/>
  <c r="R74" i="6" s="1"/>
  <c r="R75" i="6" s="1"/>
  <c r="R76" i="6" s="1"/>
  <c r="R77" i="6" s="1"/>
  <c r="R78" i="6" s="1"/>
  <c r="R79" i="6" s="1"/>
  <c r="R80" i="6" s="1"/>
  <c r="R81" i="6" s="1"/>
  <c r="R82" i="6" s="1"/>
  <c r="R83" i="6" s="1"/>
  <c r="R84" i="6" s="1"/>
  <c r="R85" i="6" s="1"/>
  <c r="R86" i="6" s="1"/>
  <c r="R87" i="6" s="1"/>
  <c r="R88" i="6" s="1"/>
  <c r="R89" i="6" s="1"/>
  <c r="R90" i="6" s="1"/>
  <c r="R91" i="6" s="1"/>
  <c r="R92" i="6" s="1"/>
  <c r="R93" i="6" s="1"/>
  <c r="R94" i="6" s="1"/>
  <c r="R95" i="6" s="1"/>
  <c r="R96" i="6" s="1"/>
  <c r="R97" i="6" s="1"/>
  <c r="R98" i="6" s="1"/>
  <c r="R99" i="6" s="1"/>
  <c r="R100" i="6" s="1"/>
  <c r="R101" i="6" s="1"/>
  <c r="R102" i="6" s="1"/>
  <c r="R103" i="6" s="1"/>
  <c r="R104" i="6" s="1"/>
  <c r="R105" i="6" s="1"/>
  <c r="R106" i="6" s="1"/>
  <c r="R107" i="6" s="1"/>
  <c r="R108" i="6" s="1"/>
  <c r="R109" i="6" s="1"/>
  <c r="R110" i="6" s="1"/>
  <c r="R111" i="6" s="1"/>
  <c r="R112" i="6" s="1"/>
  <c r="F14" i="1" a="1"/>
  <c r="F14" i="1" s="1"/>
  <c r="AD3" i="2" l="1"/>
  <c r="C19" i="7"/>
  <c r="B257" i="6"/>
  <c r="B258" i="6"/>
  <c r="B259" i="6"/>
  <c r="B260" i="6"/>
  <c r="B261" i="6"/>
  <c r="B262" i="6"/>
  <c r="B263" i="6"/>
  <c r="B264" i="6"/>
  <c r="B265" i="6"/>
  <c r="B266" i="6"/>
  <c r="B267" i="6"/>
  <c r="B268" i="6"/>
  <c r="B269" i="6"/>
  <c r="B270" i="6"/>
  <c r="B271" i="6"/>
  <c r="B272" i="6"/>
  <c r="B273" i="6"/>
  <c r="B274" i="6"/>
  <c r="B275" i="6"/>
  <c r="B256" i="6"/>
  <c r="B231" i="6"/>
  <c r="B232" i="6"/>
  <c r="B233" i="6"/>
  <c r="B234" i="6"/>
  <c r="B235" i="6"/>
  <c r="B236" i="6"/>
  <c r="B237" i="6"/>
  <c r="B238" i="6"/>
  <c r="B239" i="6"/>
  <c r="B240" i="6"/>
  <c r="B241" i="6"/>
  <c r="B242" i="6"/>
  <c r="B243" i="6"/>
  <c r="B244" i="6"/>
  <c r="B245" i="6"/>
  <c r="B246" i="6"/>
  <c r="B247" i="6"/>
  <c r="B248" i="6"/>
  <c r="B249" i="6"/>
  <c r="B230" i="6"/>
  <c r="B205" i="6"/>
  <c r="B206" i="6"/>
  <c r="B207" i="6"/>
  <c r="B208" i="6"/>
  <c r="B209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04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67" i="6"/>
  <c r="B168" i="6"/>
  <c r="B169" i="6"/>
  <c r="B170" i="6"/>
  <c r="B171" i="6"/>
  <c r="B152" i="6"/>
  <c r="B127" i="6"/>
  <c r="B128" i="6"/>
  <c r="B129" i="6"/>
  <c r="B130" i="6"/>
  <c r="B131" i="6"/>
  <c r="B132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26" i="6"/>
  <c r="B101" i="6"/>
  <c r="B103" i="6"/>
  <c r="B105" i="6"/>
  <c r="B107" i="6"/>
  <c r="B109" i="6"/>
  <c r="B111" i="6"/>
  <c r="B112" i="6"/>
  <c r="B114" i="6"/>
  <c r="B115" i="6"/>
  <c r="B116" i="6"/>
  <c r="B117" i="6"/>
  <c r="B118" i="6"/>
  <c r="B119" i="6"/>
  <c r="B100" i="6"/>
  <c r="B75" i="6"/>
  <c r="B77" i="6"/>
  <c r="B79" i="6"/>
  <c r="B81" i="6"/>
  <c r="B83" i="6"/>
  <c r="B85" i="6"/>
  <c r="B86" i="6"/>
  <c r="B88" i="6"/>
  <c r="B89" i="6"/>
  <c r="B90" i="6"/>
  <c r="B91" i="6"/>
  <c r="B92" i="6"/>
  <c r="B93" i="6"/>
  <c r="B74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48" i="6"/>
  <c r="B23" i="6"/>
  <c r="B24" i="6"/>
  <c r="B25" i="6"/>
  <c r="B26" i="6"/>
  <c r="B27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F10" i="1" a="1"/>
  <c r="F10" i="1" s="1"/>
  <c r="F9" i="1" a="1"/>
  <c r="F9" i="1" s="1"/>
  <c r="B133" i="6"/>
  <c r="I147" i="1" l="1"/>
  <c r="B113" i="6"/>
  <c r="B110" i="6"/>
  <c r="B108" i="6"/>
  <c r="B106" i="6"/>
  <c r="B104" i="6"/>
  <c r="B102" i="6"/>
  <c r="B87" i="6"/>
  <c r="B84" i="6"/>
  <c r="B82" i="6"/>
  <c r="B80" i="6"/>
  <c r="B78" i="6"/>
  <c r="B76" i="6"/>
  <c r="B28" i="6" l="1"/>
  <c r="K205" i="2"/>
  <c r="B22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S29" i="6" l="1"/>
  <c r="CQ205" i="2"/>
  <c r="BV205" i="2"/>
  <c r="BA205" i="2"/>
  <c r="A6" i="4" l="1"/>
  <c r="A7" i="4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S128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L3" i="2" s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257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56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30" i="6"/>
  <c r="D205" i="6"/>
  <c r="D206" i="6"/>
  <c r="D207" i="6"/>
  <c r="D208" i="6"/>
  <c r="D209" i="6"/>
  <c r="D210" i="6"/>
  <c r="D211" i="6"/>
  <c r="D212" i="6"/>
  <c r="D213" i="6"/>
  <c r="D215" i="6"/>
  <c r="D216" i="6"/>
  <c r="D217" i="6"/>
  <c r="D218" i="6"/>
  <c r="D219" i="6"/>
  <c r="D220" i="6"/>
  <c r="D221" i="6"/>
  <c r="D222" i="6"/>
  <c r="D223" i="6"/>
  <c r="D204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52" i="6"/>
  <c r="D127" i="6"/>
  <c r="D128" i="6"/>
  <c r="D129" i="6"/>
  <c r="D130" i="6"/>
  <c r="D131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26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00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74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48" i="6"/>
  <c r="B44" i="6"/>
  <c r="B18" i="6"/>
  <c r="A8" i="4"/>
  <c r="A9" i="4"/>
  <c r="A10" i="4"/>
  <c r="A11" i="4"/>
  <c r="A12" i="4"/>
  <c r="B174" i="6"/>
  <c r="A13" i="4"/>
  <c r="B200" i="6"/>
  <c r="A14" i="4"/>
  <c r="B226" i="6"/>
  <c r="B252" i="6"/>
  <c r="A15" i="4"/>
  <c r="B148" i="6"/>
  <c r="B122" i="6"/>
  <c r="B96" i="6"/>
  <c r="B70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22" i="6"/>
  <c r="D258" i="6"/>
  <c r="D214" i="6"/>
  <c r="D132" i="6"/>
  <c r="A257" i="6"/>
  <c r="A258" i="6"/>
  <c r="A259" i="6"/>
  <c r="A260" i="6"/>
  <c r="A261" i="6"/>
  <c r="A262" i="6"/>
  <c r="A263" i="6"/>
  <c r="A264" i="6"/>
  <c r="A265" i="6"/>
  <c r="A266" i="6"/>
  <c r="A267" i="6"/>
  <c r="A268" i="6"/>
  <c r="A269" i="6"/>
  <c r="A270" i="6"/>
  <c r="A271" i="6"/>
  <c r="A272" i="6"/>
  <c r="A273" i="6"/>
  <c r="A274" i="6"/>
  <c r="A275" i="6"/>
  <c r="A256" i="6"/>
  <c r="A231" i="6"/>
  <c r="A232" i="6"/>
  <c r="A233" i="6"/>
  <c r="A234" i="6"/>
  <c r="A235" i="6"/>
  <c r="A236" i="6"/>
  <c r="A237" i="6"/>
  <c r="A238" i="6"/>
  <c r="A239" i="6"/>
  <c r="A240" i="6"/>
  <c r="A241" i="6"/>
  <c r="A242" i="6"/>
  <c r="A243" i="6"/>
  <c r="A244" i="6"/>
  <c r="A245" i="6"/>
  <c r="A246" i="6"/>
  <c r="A247" i="6"/>
  <c r="A248" i="6"/>
  <c r="A249" i="6"/>
  <c r="A230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23" i="6"/>
  <c r="A204" i="6"/>
  <c r="A190" i="6"/>
  <c r="A191" i="6"/>
  <c r="A192" i="6"/>
  <c r="A193" i="6"/>
  <c r="A194" i="6"/>
  <c r="A195" i="6"/>
  <c r="A196" i="6"/>
  <c r="A197" i="6"/>
  <c r="A179" i="6"/>
  <c r="A180" i="6"/>
  <c r="A181" i="6"/>
  <c r="A182" i="6"/>
  <c r="A183" i="6"/>
  <c r="A184" i="6"/>
  <c r="A185" i="6"/>
  <c r="A186" i="6"/>
  <c r="A187" i="6"/>
  <c r="A188" i="6"/>
  <c r="A189" i="6"/>
  <c r="A178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52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26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00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74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48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22" i="6"/>
  <c r="J29" i="6" l="1"/>
  <c r="J28" i="6"/>
  <c r="J25" i="6"/>
  <c r="J22" i="6"/>
  <c r="J27" i="6"/>
  <c r="J23" i="6"/>
  <c r="J21" i="6"/>
  <c r="J24" i="6"/>
  <c r="J26" i="6"/>
  <c r="J20" i="6"/>
  <c r="S30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I25" i="6"/>
  <c r="I26" i="6"/>
  <c r="I28" i="6"/>
  <c r="I27" i="6"/>
  <c r="I24" i="6"/>
  <c r="I29" i="6"/>
  <c r="I23" i="6"/>
  <c r="I21" i="6"/>
  <c r="I22" i="6"/>
  <c r="I20" i="6"/>
  <c r="S58" i="6" l="1"/>
  <c r="H14" i="2"/>
  <c r="D15" i="2"/>
  <c r="G15" i="2" s="1"/>
  <c r="S31" i="6"/>
  <c r="I141" i="1"/>
  <c r="I167" i="1"/>
  <c r="S59" i="6" l="1"/>
  <c r="H15" i="2"/>
  <c r="D16" i="2"/>
  <c r="G16" i="2" s="1"/>
  <c r="S32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S60" i="6" l="1"/>
  <c r="H16" i="2"/>
  <c r="D17" i="2"/>
  <c r="G17" i="2" s="1"/>
  <c r="S33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GZ8" i="2" l="1"/>
  <c r="GE5" i="2"/>
  <c r="GE13" i="2"/>
  <c r="GE21" i="2"/>
  <c r="GE29" i="2"/>
  <c r="GE37" i="2"/>
  <c r="GE45" i="2"/>
  <c r="GE53" i="2"/>
  <c r="GE61" i="2"/>
  <c r="GE69" i="2"/>
  <c r="GE77" i="2"/>
  <c r="GE85" i="2"/>
  <c r="GE93" i="2"/>
  <c r="GE101" i="2"/>
  <c r="GE109" i="2"/>
  <c r="GE117" i="2"/>
  <c r="GE125" i="2"/>
  <c r="GE133" i="2"/>
  <c r="GE141" i="2"/>
  <c r="GE149" i="2"/>
  <c r="GE157" i="2"/>
  <c r="GE165" i="2"/>
  <c r="GE173" i="2"/>
  <c r="GE181" i="2"/>
  <c r="GE189" i="2"/>
  <c r="GE197" i="2"/>
  <c r="GE6" i="2"/>
  <c r="GE14" i="2"/>
  <c r="GE22" i="2"/>
  <c r="GE30" i="2"/>
  <c r="GE38" i="2"/>
  <c r="GE46" i="2"/>
  <c r="GE54" i="2"/>
  <c r="GE62" i="2"/>
  <c r="GE70" i="2"/>
  <c r="GE78" i="2"/>
  <c r="GE86" i="2"/>
  <c r="GE94" i="2"/>
  <c r="GE102" i="2"/>
  <c r="GE110" i="2"/>
  <c r="GE118" i="2"/>
  <c r="GE126" i="2"/>
  <c r="GE134" i="2"/>
  <c r="GE142" i="2"/>
  <c r="GE150" i="2"/>
  <c r="GE158" i="2"/>
  <c r="GE166" i="2"/>
  <c r="GE174" i="2"/>
  <c r="GE182" i="2"/>
  <c r="GE190" i="2"/>
  <c r="GE198" i="2"/>
  <c r="GE7" i="2"/>
  <c r="GE15" i="2"/>
  <c r="GE23" i="2"/>
  <c r="GE31" i="2"/>
  <c r="GE39" i="2"/>
  <c r="GE47" i="2"/>
  <c r="GE55" i="2"/>
  <c r="GE63" i="2"/>
  <c r="GE71" i="2"/>
  <c r="GE79" i="2"/>
  <c r="GE87" i="2"/>
  <c r="GE95" i="2"/>
  <c r="GE103" i="2"/>
  <c r="GE111" i="2"/>
  <c r="GE119" i="2"/>
  <c r="GE127" i="2"/>
  <c r="GE135" i="2"/>
  <c r="GE143" i="2"/>
  <c r="GE151" i="2"/>
  <c r="GE159" i="2"/>
  <c r="GE167" i="2"/>
  <c r="GE175" i="2"/>
  <c r="GE183" i="2"/>
  <c r="GE191" i="2"/>
  <c r="GE199" i="2"/>
  <c r="GE8" i="2"/>
  <c r="GE16" i="2"/>
  <c r="GE24" i="2"/>
  <c r="GE32" i="2"/>
  <c r="GE40" i="2"/>
  <c r="GE48" i="2"/>
  <c r="GE56" i="2"/>
  <c r="GE64" i="2"/>
  <c r="GE72" i="2"/>
  <c r="GE80" i="2"/>
  <c r="GE88" i="2"/>
  <c r="GE96" i="2"/>
  <c r="GE104" i="2"/>
  <c r="GE112" i="2"/>
  <c r="GE120" i="2"/>
  <c r="GE128" i="2"/>
  <c r="GE136" i="2"/>
  <c r="GE144" i="2"/>
  <c r="GE152" i="2"/>
  <c r="GE160" i="2"/>
  <c r="GE168" i="2"/>
  <c r="GE176" i="2"/>
  <c r="GE184" i="2"/>
  <c r="GE192" i="2"/>
  <c r="GE200" i="2"/>
  <c r="GE11" i="2"/>
  <c r="GE19" i="2"/>
  <c r="GE27" i="2"/>
  <c r="GE35" i="2"/>
  <c r="GE43" i="2"/>
  <c r="GE51" i="2"/>
  <c r="GE59" i="2"/>
  <c r="GE67" i="2"/>
  <c r="GE75" i="2"/>
  <c r="GE83" i="2"/>
  <c r="GE91" i="2"/>
  <c r="GE99" i="2"/>
  <c r="GE107" i="2"/>
  <c r="GE115" i="2"/>
  <c r="GE123" i="2"/>
  <c r="GE131" i="2"/>
  <c r="GE139" i="2"/>
  <c r="GE147" i="2"/>
  <c r="GE155" i="2"/>
  <c r="GE163" i="2"/>
  <c r="GE171" i="2"/>
  <c r="GE179" i="2"/>
  <c r="GE187" i="2"/>
  <c r="GE195" i="2"/>
  <c r="GE203" i="2"/>
  <c r="GE9" i="2"/>
  <c r="GE28" i="2"/>
  <c r="GE50" i="2"/>
  <c r="GE73" i="2"/>
  <c r="GE92" i="2"/>
  <c r="GE114" i="2"/>
  <c r="GE137" i="2"/>
  <c r="GE156" i="2"/>
  <c r="GE178" i="2"/>
  <c r="GE201" i="2"/>
  <c r="GE10" i="2"/>
  <c r="GE33" i="2"/>
  <c r="GE52" i="2"/>
  <c r="GE74" i="2"/>
  <c r="GE97" i="2"/>
  <c r="GE116" i="2"/>
  <c r="GE138" i="2"/>
  <c r="GE161" i="2"/>
  <c r="GE180" i="2"/>
  <c r="GE202" i="2"/>
  <c r="GE12" i="2"/>
  <c r="GE34" i="2"/>
  <c r="GE57" i="2"/>
  <c r="GE76" i="2"/>
  <c r="GE98" i="2"/>
  <c r="GE121" i="2"/>
  <c r="GE140" i="2"/>
  <c r="GE162" i="2"/>
  <c r="GE185" i="2"/>
  <c r="GE17" i="2"/>
  <c r="GE36" i="2"/>
  <c r="GE58" i="2"/>
  <c r="GE81" i="2"/>
  <c r="GE100" i="2"/>
  <c r="GE122" i="2"/>
  <c r="GE145" i="2"/>
  <c r="GE164" i="2"/>
  <c r="GE186" i="2"/>
  <c r="GE18" i="2"/>
  <c r="GE41" i="2"/>
  <c r="GE60" i="2"/>
  <c r="GE82" i="2"/>
  <c r="GE105" i="2"/>
  <c r="GE124" i="2"/>
  <c r="GE146" i="2"/>
  <c r="GE169" i="2"/>
  <c r="GE188" i="2"/>
  <c r="GE20" i="2"/>
  <c r="GE68" i="2"/>
  <c r="GE130" i="2"/>
  <c r="GE193" i="2"/>
  <c r="GE25" i="2"/>
  <c r="GE84" i="2"/>
  <c r="GE132" i="2"/>
  <c r="GE194" i="2"/>
  <c r="GE26" i="2"/>
  <c r="GE89" i="2"/>
  <c r="GE148" i="2"/>
  <c r="GE196" i="2"/>
  <c r="GE42" i="2"/>
  <c r="GE90" i="2"/>
  <c r="GE153" i="2"/>
  <c r="GE44" i="2"/>
  <c r="GE106" i="2"/>
  <c r="GE154" i="2"/>
  <c r="GE65" i="2"/>
  <c r="GE113" i="2"/>
  <c r="GE172" i="2"/>
  <c r="GE4" i="2"/>
  <c r="GE49" i="2"/>
  <c r="GE66" i="2"/>
  <c r="GE108" i="2"/>
  <c r="GE129" i="2"/>
  <c r="GE170" i="2"/>
  <c r="GE177" i="2"/>
  <c r="GZ4" i="2"/>
  <c r="GZ12" i="2"/>
  <c r="GZ20" i="2"/>
  <c r="GZ28" i="2"/>
  <c r="GZ36" i="2"/>
  <c r="GZ44" i="2"/>
  <c r="GZ52" i="2"/>
  <c r="GZ60" i="2"/>
  <c r="GZ68" i="2"/>
  <c r="GZ76" i="2"/>
  <c r="GZ84" i="2"/>
  <c r="GZ92" i="2"/>
  <c r="GZ100" i="2"/>
  <c r="GZ108" i="2"/>
  <c r="GZ116" i="2"/>
  <c r="GZ124" i="2"/>
  <c r="GZ132" i="2"/>
  <c r="GZ140" i="2"/>
  <c r="GZ148" i="2"/>
  <c r="GZ156" i="2"/>
  <c r="GZ164" i="2"/>
  <c r="GZ172" i="2"/>
  <c r="GZ180" i="2"/>
  <c r="GZ188" i="2"/>
  <c r="GZ196" i="2"/>
  <c r="GZ5" i="2"/>
  <c r="GZ13" i="2"/>
  <c r="GZ21" i="2"/>
  <c r="GZ29" i="2"/>
  <c r="GZ37" i="2"/>
  <c r="GZ45" i="2"/>
  <c r="GZ53" i="2"/>
  <c r="GZ61" i="2"/>
  <c r="GZ69" i="2"/>
  <c r="GZ77" i="2"/>
  <c r="GZ85" i="2"/>
  <c r="GZ93" i="2"/>
  <c r="GZ101" i="2"/>
  <c r="GZ109" i="2"/>
  <c r="GZ117" i="2"/>
  <c r="GZ125" i="2"/>
  <c r="GZ133" i="2"/>
  <c r="GZ141" i="2"/>
  <c r="GZ149" i="2"/>
  <c r="GZ157" i="2"/>
  <c r="GZ165" i="2"/>
  <c r="GZ173" i="2"/>
  <c r="GZ181" i="2"/>
  <c r="GZ189" i="2"/>
  <c r="GZ197" i="2"/>
  <c r="GZ6" i="2"/>
  <c r="GZ14" i="2"/>
  <c r="GZ22" i="2"/>
  <c r="GZ30" i="2"/>
  <c r="GZ38" i="2"/>
  <c r="GZ46" i="2"/>
  <c r="GZ54" i="2"/>
  <c r="GZ62" i="2"/>
  <c r="GZ70" i="2"/>
  <c r="GZ78" i="2"/>
  <c r="GZ86" i="2"/>
  <c r="GZ94" i="2"/>
  <c r="GZ102" i="2"/>
  <c r="GZ110" i="2"/>
  <c r="GZ118" i="2"/>
  <c r="GZ126" i="2"/>
  <c r="GZ134" i="2"/>
  <c r="GZ142" i="2"/>
  <c r="GZ150" i="2"/>
  <c r="GZ158" i="2"/>
  <c r="GZ166" i="2"/>
  <c r="GZ174" i="2"/>
  <c r="GZ182" i="2"/>
  <c r="GZ190" i="2"/>
  <c r="GZ198" i="2"/>
  <c r="GZ7" i="2"/>
  <c r="GZ15" i="2"/>
  <c r="GZ23" i="2"/>
  <c r="GZ31" i="2"/>
  <c r="GZ39" i="2"/>
  <c r="GZ47" i="2"/>
  <c r="GZ55" i="2"/>
  <c r="GZ63" i="2"/>
  <c r="GZ71" i="2"/>
  <c r="GZ79" i="2"/>
  <c r="GZ87" i="2"/>
  <c r="GZ95" i="2"/>
  <c r="GZ103" i="2"/>
  <c r="GZ111" i="2"/>
  <c r="GZ119" i="2"/>
  <c r="GZ127" i="2"/>
  <c r="GZ135" i="2"/>
  <c r="GZ143" i="2"/>
  <c r="GZ151" i="2"/>
  <c r="GZ159" i="2"/>
  <c r="GZ167" i="2"/>
  <c r="GZ175" i="2"/>
  <c r="GZ183" i="2"/>
  <c r="GZ191" i="2"/>
  <c r="GZ199" i="2"/>
  <c r="GZ16" i="2"/>
  <c r="GZ24" i="2"/>
  <c r="GZ32" i="2"/>
  <c r="GZ40" i="2"/>
  <c r="GZ48" i="2"/>
  <c r="GZ56" i="2"/>
  <c r="GZ64" i="2"/>
  <c r="GZ72" i="2"/>
  <c r="GZ80" i="2"/>
  <c r="GZ88" i="2"/>
  <c r="GZ96" i="2"/>
  <c r="GZ104" i="2"/>
  <c r="GZ112" i="2"/>
  <c r="GZ120" i="2"/>
  <c r="GZ128" i="2"/>
  <c r="GZ136" i="2"/>
  <c r="GZ144" i="2"/>
  <c r="GZ152" i="2"/>
  <c r="GZ160" i="2"/>
  <c r="GZ168" i="2"/>
  <c r="GZ176" i="2"/>
  <c r="GZ184" i="2"/>
  <c r="GZ192" i="2"/>
  <c r="GZ200" i="2"/>
  <c r="GZ9" i="2"/>
  <c r="GZ17" i="2"/>
  <c r="GZ25" i="2"/>
  <c r="GZ33" i="2"/>
  <c r="GZ41" i="2"/>
  <c r="GZ49" i="2"/>
  <c r="GZ57" i="2"/>
  <c r="GZ65" i="2"/>
  <c r="GZ73" i="2"/>
  <c r="GZ81" i="2"/>
  <c r="GZ89" i="2"/>
  <c r="GZ97" i="2"/>
  <c r="GZ105" i="2"/>
  <c r="GZ113" i="2"/>
  <c r="GZ121" i="2"/>
  <c r="GZ129" i="2"/>
  <c r="GZ137" i="2"/>
  <c r="GZ145" i="2"/>
  <c r="GZ153" i="2"/>
  <c r="GZ161" i="2"/>
  <c r="GZ169" i="2"/>
  <c r="GZ177" i="2"/>
  <c r="GZ185" i="2"/>
  <c r="GZ193" i="2"/>
  <c r="GZ201" i="2"/>
  <c r="GZ10" i="2"/>
  <c r="GZ18" i="2"/>
  <c r="GZ26" i="2"/>
  <c r="GZ34" i="2"/>
  <c r="GZ42" i="2"/>
  <c r="GZ50" i="2"/>
  <c r="GZ58" i="2"/>
  <c r="GZ66" i="2"/>
  <c r="GZ74" i="2"/>
  <c r="GZ82" i="2"/>
  <c r="GZ90" i="2"/>
  <c r="GZ98" i="2"/>
  <c r="GZ106" i="2"/>
  <c r="GZ114" i="2"/>
  <c r="GZ122" i="2"/>
  <c r="GZ130" i="2"/>
  <c r="GZ138" i="2"/>
  <c r="GZ146" i="2"/>
  <c r="GZ154" i="2"/>
  <c r="GZ162" i="2"/>
  <c r="GZ170" i="2"/>
  <c r="GZ178" i="2"/>
  <c r="GZ186" i="2"/>
  <c r="GZ194" i="2"/>
  <c r="GZ202" i="2"/>
  <c r="GZ67" i="2"/>
  <c r="GZ131" i="2"/>
  <c r="GZ195" i="2"/>
  <c r="GZ11" i="2"/>
  <c r="GZ75" i="2"/>
  <c r="GZ139" i="2"/>
  <c r="GZ203" i="2"/>
  <c r="GZ19" i="2"/>
  <c r="GZ83" i="2"/>
  <c r="GZ147" i="2"/>
  <c r="GZ27" i="2"/>
  <c r="GZ91" i="2"/>
  <c r="GZ155" i="2"/>
  <c r="GZ51" i="2"/>
  <c r="GZ115" i="2"/>
  <c r="GZ179" i="2"/>
  <c r="GZ171" i="2"/>
  <c r="GZ35" i="2"/>
  <c r="GZ187" i="2"/>
  <c r="GZ43" i="2"/>
  <c r="GZ59" i="2"/>
  <c r="GZ99" i="2"/>
  <c r="GZ107" i="2"/>
  <c r="GZ123" i="2"/>
  <c r="GZ163" i="2"/>
  <c r="S61" i="6"/>
  <c r="H17" i="2"/>
  <c r="D18" i="2"/>
  <c r="G18" i="2" s="1"/>
  <c r="S34" i="6"/>
  <c r="D12" i="1"/>
  <c r="D13" i="1"/>
  <c r="D14" i="1"/>
  <c r="K25" i="6" s="1"/>
  <c r="L25" i="6" s="1"/>
  <c r="D15" i="1"/>
  <c r="K26" i="6" s="1"/>
  <c r="L26" i="6" s="1"/>
  <c r="D16" i="1"/>
  <c r="K27" i="6" s="1"/>
  <c r="L27" i="6" s="1"/>
  <c r="D17" i="1"/>
  <c r="K28" i="6" s="1"/>
  <c r="L28" i="6" s="1"/>
  <c r="D18" i="1"/>
  <c r="S62" i="6" l="1"/>
  <c r="H18" i="2"/>
  <c r="D19" i="2"/>
  <c r="G19" i="2" s="1"/>
  <c r="S35" i="6"/>
  <c r="B13" i="4"/>
  <c r="B15" i="4"/>
  <c r="K29" i="6"/>
  <c r="L29" i="6" s="1"/>
  <c r="B6" i="4"/>
  <c r="K20" i="6"/>
  <c r="B8" i="4"/>
  <c r="K22" i="6"/>
  <c r="L22" i="6" s="1"/>
  <c r="B12" i="4"/>
  <c r="B7" i="4"/>
  <c r="K21" i="6"/>
  <c r="L21" i="6" s="1"/>
  <c r="B11" i="4"/>
  <c r="B10" i="4"/>
  <c r="K24" i="6"/>
  <c r="L24" i="6" s="1"/>
  <c r="B9" i="4"/>
  <c r="K23" i="6"/>
  <c r="L23" i="6" s="1"/>
  <c r="D19" i="1"/>
  <c r="B14" i="4"/>
  <c r="L20" i="6" l="1"/>
  <c r="S63" i="6"/>
  <c r="H19" i="2"/>
  <c r="D20" i="2"/>
  <c r="G20" i="2" s="1"/>
  <c r="S36" i="6"/>
  <c r="J33" i="6" l="1"/>
  <c r="S64" i="6"/>
  <c r="H20" i="2"/>
  <c r="D21" i="2"/>
  <c r="G21" i="2" s="1"/>
  <c r="S37" i="6"/>
  <c r="S65" i="6" l="1"/>
  <c r="H21" i="2"/>
  <c r="D22" i="2"/>
  <c r="G22" i="2" s="1"/>
  <c r="S38" i="6"/>
  <c r="S66" i="6" l="1"/>
  <c r="H22" i="2"/>
  <c r="D23" i="2"/>
  <c r="G23" i="2" s="1"/>
  <c r="S39" i="6"/>
  <c r="S67" i="6" l="1"/>
  <c r="H23" i="2"/>
  <c r="D24" i="2"/>
  <c r="G24" i="2" s="1"/>
  <c r="S40" i="6"/>
  <c r="S68" i="6" l="1"/>
  <c r="H24" i="2"/>
  <c r="D25" i="2"/>
  <c r="G25" i="2" s="1"/>
  <c r="S41" i="6"/>
  <c r="S69" i="6" l="1"/>
  <c r="H25" i="2"/>
  <c r="D26" i="2"/>
  <c r="G26" i="2" s="1"/>
  <c r="S42" i="6"/>
  <c r="S70" i="6" l="1"/>
  <c r="H26" i="2"/>
  <c r="D27" i="2"/>
  <c r="G27" i="2" s="1"/>
  <c r="S43" i="6"/>
  <c r="S71" i="6" l="1"/>
  <c r="H27" i="2"/>
  <c r="D28" i="2"/>
  <c r="G28" i="2" s="1"/>
  <c r="S44" i="6"/>
  <c r="S72" i="6" l="1"/>
  <c r="H28" i="2"/>
  <c r="D29" i="2"/>
  <c r="G29" i="2" s="1"/>
  <c r="S45" i="6"/>
  <c r="S73" i="6" l="1"/>
  <c r="H29" i="2"/>
  <c r="D30" i="2"/>
  <c r="G30" i="2" s="1"/>
  <c r="S46" i="6"/>
  <c r="S74" i="6" l="1"/>
  <c r="H30" i="2"/>
  <c r="D31" i="2"/>
  <c r="G31" i="2" s="1"/>
  <c r="S47" i="6"/>
  <c r="S75" i="6" l="1"/>
  <c r="H31" i="2"/>
  <c r="D32" i="2"/>
  <c r="G32" i="2" s="1"/>
  <c r="S48" i="6"/>
  <c r="S76" i="6" l="1"/>
  <c r="H32" i="2"/>
  <c r="D33" i="2"/>
  <c r="G33" i="2" s="1"/>
  <c r="S49" i="6"/>
  <c r="S77" i="6" l="1"/>
  <c r="H33" i="2"/>
  <c r="D34" i="2"/>
  <c r="G34" i="2" s="1"/>
  <c r="S50" i="6"/>
  <c r="S78" i="6" l="1"/>
  <c r="H34" i="2"/>
  <c r="D35" i="2"/>
  <c r="G35" i="2" s="1"/>
  <c r="S51" i="6"/>
  <c r="S79" i="6" l="1"/>
  <c r="H35" i="2"/>
  <c r="D36" i="2"/>
  <c r="G36" i="2" s="1"/>
  <c r="S52" i="6"/>
  <c r="S80" i="6" l="1"/>
  <c r="H36" i="2"/>
  <c r="D37" i="2"/>
  <c r="G37" i="2" s="1"/>
  <c r="S53" i="6"/>
  <c r="Y3" i="2"/>
  <c r="AC3" i="2"/>
  <c r="S81" i="6" l="1"/>
  <c r="H37" i="2"/>
  <c r="D38" i="2"/>
  <c r="G38" i="2" s="1"/>
  <c r="S54" i="6"/>
  <c r="V3" i="2"/>
  <c r="U3" i="2"/>
  <c r="S82" i="6" l="1"/>
  <c r="H38" i="2"/>
  <c r="D39" i="2"/>
  <c r="G39" i="2" s="1"/>
  <c r="S55" i="6"/>
  <c r="I39" i="1"/>
  <c r="I38" i="1"/>
  <c r="S84" i="6" l="1"/>
  <c r="S83" i="6"/>
  <c r="H39" i="2"/>
  <c r="D40" i="2"/>
  <c r="G40" i="2" s="1"/>
  <c r="S57" i="6"/>
  <c r="S56" i="6"/>
  <c r="H40" i="2" l="1"/>
  <c r="D41" i="2"/>
  <c r="G41" i="2" s="1"/>
  <c r="P28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EX4" i="2" s="1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DG4" i="2" l="1"/>
  <c r="GL4" i="2"/>
  <c r="FQ4" i="2"/>
  <c r="GN4" i="2"/>
  <c r="HI4" i="2"/>
  <c r="EV4" i="2"/>
  <c r="FR4" i="2"/>
  <c r="DF4" i="2"/>
  <c r="GM4" i="2"/>
  <c r="EW4" i="2"/>
  <c r="HH4" i="2"/>
  <c r="FS4" i="2"/>
  <c r="HG4" i="2"/>
  <c r="EC4" i="2"/>
  <c r="CM4" i="2"/>
  <c r="BR4" i="2"/>
  <c r="BQ4" i="2"/>
  <c r="DH4" i="2"/>
  <c r="EA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HG5" i="2" s="1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GL5" i="2" l="1"/>
  <c r="GM5" i="2"/>
  <c r="FQ5" i="2"/>
  <c r="FR5" i="2"/>
  <c r="EV5" i="2"/>
  <c r="HH5" i="2"/>
  <c r="EW5" i="2"/>
  <c r="FS5" i="2"/>
  <c r="HI5" i="2"/>
  <c r="GN5" i="2"/>
  <c r="DH5" i="2"/>
  <c r="DF5" i="2"/>
  <c r="EA5" i="2"/>
  <c r="EC5" i="2"/>
  <c r="EB5" i="2"/>
  <c r="DG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L6" i="2" s="1"/>
  <c r="GJ6" i="2"/>
  <c r="GM6" i="2" s="1"/>
  <c r="ET6" i="2"/>
  <c r="EW6" i="2" s="1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G6" i="2" s="1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EX6" i="2" s="1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I6" i="2" l="1"/>
  <c r="EV6" i="2"/>
  <c r="FR6" i="2"/>
  <c r="FQ6" i="2"/>
  <c r="FS6" i="2"/>
  <c r="HH6" i="2"/>
  <c r="HH7" i="2" s="1"/>
  <c r="GN6" i="2"/>
  <c r="GN7" i="2" s="1"/>
  <c r="EC6" i="2"/>
  <c r="EB6" i="2"/>
  <c r="DH6" i="2"/>
  <c r="DF6" i="2"/>
  <c r="EA6" i="2"/>
  <c r="DG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GL7" i="2" s="1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GM7" i="2"/>
  <c r="EX7" i="2"/>
  <c r="FS7" i="2"/>
  <c r="FQ7" i="2"/>
  <c r="FR7" i="2"/>
  <c r="HG7" i="2"/>
  <c r="EW7" i="2"/>
  <c r="EV7" i="2"/>
  <c r="EA7" i="2"/>
  <c r="DH7" i="2"/>
  <c r="EB7" i="2"/>
  <c r="EC7" i="2"/>
  <c r="DF7" i="2"/>
  <c r="DG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EV8" i="2" s="1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GN8" i="2" l="1"/>
  <c r="GL8" i="2"/>
  <c r="HI8" i="2"/>
  <c r="FR8" i="2"/>
  <c r="EW8" i="2"/>
  <c r="GM8" i="2"/>
  <c r="FQ8" i="2"/>
  <c r="HG8" i="2"/>
  <c r="FS8" i="2"/>
  <c r="HH8" i="2"/>
  <c r="EB8" i="2"/>
  <c r="DH8" i="2"/>
  <c r="EC8" i="2"/>
  <c r="EA8" i="2"/>
  <c r="DF8" i="2"/>
  <c r="DG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R9" i="2" s="1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N9" i="2" s="1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GM9" i="2" l="1"/>
  <c r="HI9" i="2"/>
  <c r="EX9" i="2"/>
  <c r="EW9" i="2"/>
  <c r="FQ9" i="2"/>
  <c r="HG9" i="2"/>
  <c r="HH9" i="2"/>
  <c r="EV9" i="2"/>
  <c r="GL9" i="2"/>
  <c r="FS9" i="2"/>
  <c r="DH9" i="2"/>
  <c r="EC9" i="2"/>
  <c r="EA9" i="2"/>
  <c r="EB9" i="2"/>
  <c r="DF9" i="2"/>
  <c r="DG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L10" i="2" s="1"/>
  <c r="GJ10" i="2"/>
  <c r="GM10" i="2" s="1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R10" i="2" s="1"/>
  <c r="FP10" i="2"/>
  <c r="FB10" i="2"/>
  <c r="DZ10" i="2"/>
  <c r="DL10" i="2"/>
  <c r="DE10" i="2"/>
  <c r="EQ10" i="2"/>
  <c r="EH10" i="2"/>
  <c r="CJ10" i="2"/>
  <c r="FX10" i="2"/>
  <c r="ER10" i="2"/>
  <c r="EX10" i="2" s="1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GN10" i="2"/>
  <c r="FQ10" i="2"/>
  <c r="EW10" i="2"/>
  <c r="HH10" i="2"/>
  <c r="EV10" i="2"/>
  <c r="HG10" i="2"/>
  <c r="FS10" i="2"/>
  <c r="DH10" i="2"/>
  <c r="EA10" i="2"/>
  <c r="EB10" i="2"/>
  <c r="EC10" i="2"/>
  <c r="DF10" i="2"/>
  <c r="DG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I11" i="2" s="1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EX11" i="2" s="1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GN11" i="2" l="1"/>
  <c r="FR11" i="2"/>
  <c r="EV11" i="2"/>
  <c r="FS11" i="2"/>
  <c r="GL11" i="2"/>
  <c r="HH11" i="2"/>
  <c r="HG11" i="2"/>
  <c r="GM11" i="2"/>
  <c r="FQ11" i="2"/>
  <c r="EW11" i="2"/>
  <c r="AU11" i="2"/>
  <c r="EC11" i="2"/>
  <c r="EB11" i="2"/>
  <c r="EA11" i="2"/>
  <c r="DH11" i="2"/>
  <c r="DF11" i="2"/>
  <c r="DG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EX12" i="2" s="1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GN12" i="2" l="1"/>
  <c r="FQ12" i="2"/>
  <c r="EW12" i="2"/>
  <c r="HI12" i="2"/>
  <c r="GL12" i="2"/>
  <c r="EV12" i="2"/>
  <c r="GM12" i="2"/>
  <c r="FR12" i="2"/>
  <c r="FS12" i="2"/>
  <c r="HH12" i="2"/>
  <c r="HG12" i="2"/>
  <c r="DH12" i="2"/>
  <c r="AW12" i="2"/>
  <c r="EB12" i="2"/>
  <c r="EC12" i="2"/>
  <c r="EA12" i="2"/>
  <c r="AU12" i="2"/>
  <c r="DF12" i="2"/>
  <c r="DG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HI13" i="2" s="1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X13" i="2" l="1"/>
  <c r="GN13" i="2"/>
  <c r="FQ13" i="2"/>
  <c r="FR13" i="2"/>
  <c r="GL13" i="2"/>
  <c r="GM13" i="2"/>
  <c r="EV13" i="2"/>
  <c r="HH13" i="2"/>
  <c r="FS13" i="2"/>
  <c r="EW13" i="2"/>
  <c r="HG13" i="2"/>
  <c r="DH13" i="2"/>
  <c r="AU13" i="2"/>
  <c r="DG13" i="2"/>
  <c r="DF13" i="2"/>
  <c r="EC13" i="2"/>
  <c r="EA13" i="2"/>
  <c r="EB13" i="2"/>
  <c r="CM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I14" i="2" s="1"/>
  <c r="HF14" i="2"/>
  <c r="GS14" i="2"/>
  <c r="GR14" i="2"/>
  <c r="GH14" i="2"/>
  <c r="GN14" i="2" s="1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FR14" i="2"/>
  <c r="GL14" i="2"/>
  <c r="EW14" i="2"/>
  <c r="HH14" i="2"/>
  <c r="EV14" i="2"/>
  <c r="HG14" i="2"/>
  <c r="GM14" i="2"/>
  <c r="FS14" i="2"/>
  <c r="FQ14" i="2"/>
  <c r="AW14" i="2"/>
  <c r="DH14" i="2"/>
  <c r="EC14" i="2"/>
  <c r="EB14" i="2"/>
  <c r="EA14" i="2"/>
  <c r="CM14" i="2"/>
  <c r="DG14" i="2"/>
  <c r="DF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FQ15" i="2" s="1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I15" i="2" s="1"/>
  <c r="HF15" i="2"/>
  <c r="GK15" i="2"/>
  <c r="GS15" i="2"/>
  <c r="GH15" i="2"/>
  <c r="GN15" i="2" s="1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EX15" i="2" s="1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G15" i="2" l="1"/>
  <c r="EV15" i="2"/>
  <c r="FR15" i="2"/>
  <c r="HH15" i="2"/>
  <c r="GL15" i="2"/>
  <c r="GM15" i="2"/>
  <c r="FS15" i="2"/>
  <c r="EW15" i="2"/>
  <c r="CM15" i="2"/>
  <c r="EC15" i="2"/>
  <c r="EA15" i="2"/>
  <c r="EB15" i="2"/>
  <c r="DH15" i="2"/>
  <c r="DG15" i="2"/>
  <c r="DF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GM16" i="2" s="1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HI16" i="2" s="1"/>
  <c r="GR16" i="2"/>
  <c r="GH16" i="2"/>
  <c r="GN16" i="2" s="1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GL16" i="2" l="1"/>
  <c r="EX16" i="2"/>
  <c r="FR16" i="2"/>
  <c r="EW16" i="2"/>
  <c r="FQ16" i="2"/>
  <c r="HG16" i="2"/>
  <c r="FS16" i="2"/>
  <c r="EV16" i="2"/>
  <c r="EC16" i="2"/>
  <c r="EA16" i="2"/>
  <c r="EB16" i="2"/>
  <c r="DG16" i="2"/>
  <c r="DH16" i="2"/>
  <c r="DF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HI17" i="2" s="1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EX17" i="2" s="1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FQ17" i="2" l="1"/>
  <c r="FR17" i="2"/>
  <c r="GN17" i="2"/>
  <c r="HG17" i="2"/>
  <c r="FS17" i="2"/>
  <c r="GM17" i="2"/>
  <c r="EW17" i="2"/>
  <c r="HH17" i="2"/>
  <c r="EV17" i="2"/>
  <c r="GL17" i="2"/>
  <c r="DG17" i="2"/>
  <c r="EC17" i="2"/>
  <c r="EA17" i="2"/>
  <c r="EB17" i="2"/>
  <c r="DH17" i="2"/>
  <c r="DF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GN18" i="2" s="1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GM18" i="2" l="1"/>
  <c r="EV18" i="2"/>
  <c r="EX18" i="2"/>
  <c r="HI18" i="2"/>
  <c r="HG18" i="2"/>
  <c r="FQ18" i="2"/>
  <c r="FS18" i="2"/>
  <c r="GL18" i="2"/>
  <c r="FR18" i="2"/>
  <c r="HH18" i="2"/>
  <c r="EC18" i="2"/>
  <c r="DG18" i="2"/>
  <c r="EB18" i="2"/>
  <c r="EA18" i="2"/>
  <c r="CM18" i="2"/>
  <c r="DH18" i="2"/>
  <c r="DF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FR19" i="2" s="1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GN19" i="2" s="1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Q19" i="2"/>
  <c r="EX19" i="2"/>
  <c r="EW19" i="2"/>
  <c r="EV19" i="2"/>
  <c r="FS19" i="2"/>
  <c r="GL19" i="2"/>
  <c r="HH19" i="2"/>
  <c r="HG19" i="2"/>
  <c r="GM19" i="2"/>
  <c r="EC19" i="2"/>
  <c r="EB19" i="2"/>
  <c r="DG19" i="2"/>
  <c r="EA19" i="2"/>
  <c r="DH19" i="2"/>
  <c r="DF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HI20" i="2" s="1"/>
  <c r="GR20" i="2"/>
  <c r="GH20" i="2"/>
  <c r="GN20" i="2" s="1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GL20" i="2" l="1"/>
  <c r="HH20" i="2"/>
  <c r="FR20" i="2"/>
  <c r="EX20" i="2"/>
  <c r="HG20" i="2"/>
  <c r="AV20" i="2"/>
  <c r="EV20" i="2"/>
  <c r="GM20" i="2"/>
  <c r="FS20" i="2"/>
  <c r="EW20" i="2"/>
  <c r="EW21" i="2" s="1"/>
  <c r="FQ20" i="2"/>
  <c r="DG20" i="2"/>
  <c r="EC20" i="2"/>
  <c r="EA20" i="2"/>
  <c r="EB20" i="2"/>
  <c r="AW20" i="2"/>
  <c r="CM20" i="2"/>
  <c r="DH20" i="2"/>
  <c r="DF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R21" i="2" s="1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GN21" i="2" s="1"/>
  <c r="HC21" i="2"/>
  <c r="HG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Q21" i="2"/>
  <c r="GM21" i="2"/>
  <c r="FS21" i="2"/>
  <c r="HH21" i="2"/>
  <c r="GL21" i="2"/>
  <c r="HI21" i="2"/>
  <c r="EC21" i="2"/>
  <c r="DG21" i="2"/>
  <c r="EA21" i="2"/>
  <c r="EB21" i="2"/>
  <c r="DH21" i="2"/>
  <c r="DF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GN22" i="2" l="1"/>
  <c r="EX22" i="2"/>
  <c r="HG22" i="2"/>
  <c r="EW22" i="2"/>
  <c r="HI22" i="2"/>
  <c r="GM22" i="2"/>
  <c r="FR22" i="2"/>
  <c r="GL22" i="2"/>
  <c r="FS22" i="2"/>
  <c r="EV22" i="2"/>
  <c r="FQ22" i="2"/>
  <c r="EC22" i="2"/>
  <c r="EA22" i="2"/>
  <c r="EB22" i="2"/>
  <c r="DH22" i="2"/>
  <c r="DG22" i="2"/>
  <c r="DF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GN23" i="2" s="1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H23" i="2" l="1"/>
  <c r="HG23" i="2"/>
  <c r="GM23" i="2"/>
  <c r="EW23" i="2"/>
  <c r="FS23" i="2"/>
  <c r="EV23" i="2"/>
  <c r="GL23" i="2"/>
  <c r="HI23" i="2"/>
  <c r="FQ23" i="2"/>
  <c r="FR23" i="2"/>
  <c r="DH23" i="2"/>
  <c r="DF23" i="2"/>
  <c r="DG23" i="2"/>
  <c r="EC23" i="2"/>
  <c r="EA23" i="2"/>
  <c r="EB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GI24" i="2"/>
  <c r="DY24" i="2"/>
  <c r="ES24" i="2"/>
  <c r="EV24" i="2" s="1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N24" i="2" s="1"/>
  <c r="GK24" i="2"/>
  <c r="GS24" i="2"/>
  <c r="FP24" i="2"/>
  <c r="GG24" i="2"/>
  <c r="FX24" i="2"/>
  <c r="FL24" i="2"/>
  <c r="FC24" i="2"/>
  <c r="FB24" i="2"/>
  <c r="ER24" i="2"/>
  <c r="EX24" i="2" s="1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Q24" i="2"/>
  <c r="HI24" i="2"/>
  <c r="FS24" i="2"/>
  <c r="GL24" i="2"/>
  <c r="FR24" i="2"/>
  <c r="GM24" i="2"/>
  <c r="CM24" i="2"/>
  <c r="DH24" i="2"/>
  <c r="EC24" i="2"/>
  <c r="EA24" i="2"/>
  <c r="EB24" i="2"/>
  <c r="DF24" i="2"/>
  <c r="DG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HG25" i="2" s="1"/>
  <c r="ES25" i="2"/>
  <c r="EV25" i="2" s="1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H25" i="2" l="1"/>
  <c r="EX25" i="2"/>
  <c r="GL25" i="2"/>
  <c r="GN25" i="2"/>
  <c r="FQ25" i="2"/>
  <c r="EW25" i="2"/>
  <c r="FS25" i="2"/>
  <c r="HI25" i="2"/>
  <c r="FR25" i="2"/>
  <c r="GM25" i="2"/>
  <c r="EC25" i="2"/>
  <c r="CM25" i="2"/>
  <c r="EB25" i="2"/>
  <c r="EA25" i="2"/>
  <c r="DH25" i="2"/>
  <c r="DG25" i="2"/>
  <c r="DF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H26" i="2" s="1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R26" i="2" l="1"/>
  <c r="GN26" i="2"/>
  <c r="FQ26" i="2"/>
  <c r="GM26" i="2"/>
  <c r="EX26" i="2"/>
  <c r="EW26" i="2"/>
  <c r="HI26" i="2"/>
  <c r="FS26" i="2"/>
  <c r="GL26" i="2"/>
  <c r="EV26" i="2"/>
  <c r="HG26" i="2"/>
  <c r="EB26" i="2"/>
  <c r="CM26" i="2"/>
  <c r="EA26" i="2"/>
  <c r="EC26" i="2"/>
  <c r="DG26" i="2"/>
  <c r="DH26" i="2"/>
  <c r="DF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HH27" i="2" s="1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GN27" i="2" s="1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GL27" i="2" l="1"/>
  <c r="GM27" i="2"/>
  <c r="FQ27" i="2"/>
  <c r="EW27" i="2"/>
  <c r="EV27" i="2"/>
  <c r="FS27" i="2"/>
  <c r="FR27" i="2"/>
  <c r="HI27" i="2"/>
  <c r="HG27" i="2"/>
  <c r="EC27" i="2"/>
  <c r="CM27" i="2"/>
  <c r="EA27" i="2"/>
  <c r="EB27" i="2"/>
  <c r="AW27" i="2"/>
  <c r="DG27" i="2"/>
  <c r="DH27" i="2"/>
  <c r="DF27" i="2"/>
  <c r="AV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EX28" i="2"/>
  <c r="GN28" i="2"/>
  <c r="FS28" i="2"/>
  <c r="FQ28" i="2"/>
  <c r="FR28" i="2"/>
  <c r="GL28" i="2"/>
  <c r="EW28" i="2"/>
  <c r="HH28" i="2"/>
  <c r="HG28" i="2"/>
  <c r="GM28" i="2"/>
  <c r="EC28" i="2"/>
  <c r="EB28" i="2"/>
  <c r="DG28" i="2"/>
  <c r="CM28" i="2"/>
  <c r="DF28" i="2"/>
  <c r="EA28" i="2"/>
  <c r="DH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GM29" i="2" s="1"/>
  <c r="HD29" i="2"/>
  <c r="GI29" i="2"/>
  <c r="FO29" i="2"/>
  <c r="FN29" i="2"/>
  <c r="DY29" i="2"/>
  <c r="ET29" i="2"/>
  <c r="EW29" i="2" s="1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N29" i="2" s="1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GL29" i="2" l="1"/>
  <c r="HG29" i="2"/>
  <c r="EX29" i="2"/>
  <c r="EV29" i="2"/>
  <c r="HH29" i="2"/>
  <c r="FS29" i="2"/>
  <c r="FR29" i="2"/>
  <c r="FQ29" i="2"/>
  <c r="EC29" i="2"/>
  <c r="CM29" i="2"/>
  <c r="EA29" i="2"/>
  <c r="EB29" i="2"/>
  <c r="DH29" i="2"/>
  <c r="DG29" i="2"/>
  <c r="DF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EW30" i="2" s="1"/>
  <c r="FO30" i="2"/>
  <c r="FR30" i="2" s="1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GN30" i="2" s="1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EX30" i="2" s="1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GM30" i="2"/>
  <c r="GL30" i="2"/>
  <c r="EV30" i="2"/>
  <c r="HG30" i="2"/>
  <c r="FQ30" i="2"/>
  <c r="FS30" i="2"/>
  <c r="HH30" i="2"/>
  <c r="CM30" i="2"/>
  <c r="EA30" i="2"/>
  <c r="EB30" i="2"/>
  <c r="EC30" i="2"/>
  <c r="DH30" i="2"/>
  <c r="DG30" i="2"/>
  <c r="DF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GN31" i="2" l="1"/>
  <c r="EX31" i="2"/>
  <c r="FQ31" i="2"/>
  <c r="HI31" i="2"/>
  <c r="HH31" i="2"/>
  <c r="GM31" i="2"/>
  <c r="FR31" i="2"/>
  <c r="FS31" i="2"/>
  <c r="EW31" i="2"/>
  <c r="EV31" i="2"/>
  <c r="GL31" i="2"/>
  <c r="EB31" i="2"/>
  <c r="EC31" i="2"/>
  <c r="EA31" i="2"/>
  <c r="CM31" i="2"/>
  <c r="DH31" i="2"/>
  <c r="DF31" i="2"/>
  <c r="DG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GM32" i="2" s="1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HI32" i="2" s="1"/>
  <c r="GR32" i="2"/>
  <c r="GK32" i="2"/>
  <c r="HF32" i="2"/>
  <c r="GS32" i="2"/>
  <c r="FP32" i="2"/>
  <c r="GG32" i="2"/>
  <c r="FX32" i="2"/>
  <c r="GH32" i="2"/>
  <c r="GN32" i="2" s="1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HH32" i="2"/>
  <c r="FQ32" i="2"/>
  <c r="FR32" i="2"/>
  <c r="EW32" i="2"/>
  <c r="HG32" i="2"/>
  <c r="FS32" i="2"/>
  <c r="EV32" i="2"/>
  <c r="GL32" i="2"/>
  <c r="CM32" i="2"/>
  <c r="EC32" i="2"/>
  <c r="EB32" i="2"/>
  <c r="EA32" i="2"/>
  <c r="DH32" i="2"/>
  <c r="DF32" i="2"/>
  <c r="DG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HG33" i="2"/>
  <c r="GM33" i="2"/>
  <c r="GL33" i="2"/>
  <c r="FQ33" i="2"/>
  <c r="FS33" i="2"/>
  <c r="FR33" i="2"/>
  <c r="EW33" i="2"/>
  <c r="EX33" i="2"/>
  <c r="HI33" i="2"/>
  <c r="EV33" i="2"/>
  <c r="GN33" i="2"/>
  <c r="EB33" i="2"/>
  <c r="EA33" i="2"/>
  <c r="EC33" i="2"/>
  <c r="DF33" i="2"/>
  <c r="DG33" i="2"/>
  <c r="DH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L34" i="2" s="1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G34" i="2" s="1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FR34" i="2" l="1"/>
  <c r="DH34" i="2"/>
  <c r="EV34" i="2"/>
  <c r="HI34" i="2"/>
  <c r="FQ34" i="2"/>
  <c r="EX34" i="2"/>
  <c r="EW34" i="2"/>
  <c r="GM34" i="2"/>
  <c r="FS34" i="2"/>
  <c r="HH34" i="2"/>
  <c r="GN34" i="2"/>
  <c r="CM34" i="2"/>
  <c r="EB34" i="2"/>
  <c r="EA34" i="2"/>
  <c r="EC34" i="2"/>
  <c r="DF34" i="2"/>
  <c r="DG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V35" i="2" s="1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G35" i="2" s="1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HH35" i="2" l="1"/>
  <c r="FS35" i="2"/>
  <c r="GM35" i="2"/>
  <c r="EX35" i="2"/>
  <c r="FQ35" i="2"/>
  <c r="EW35" i="2"/>
  <c r="HI35" i="2"/>
  <c r="GN35" i="2"/>
  <c r="DH35" i="2"/>
  <c r="FR35" i="2"/>
  <c r="GL35" i="2"/>
  <c r="EB35" i="2"/>
  <c r="EA35" i="2"/>
  <c r="CM35" i="2"/>
  <c r="EC35" i="2"/>
  <c r="DG35" i="2"/>
  <c r="DF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HG36" i="2" s="1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GN36" i="2" l="1"/>
  <c r="GL36" i="2"/>
  <c r="HI36" i="2"/>
  <c r="EV36" i="2"/>
  <c r="EX36" i="2"/>
  <c r="FR36" i="2"/>
  <c r="EW36" i="2"/>
  <c r="GM36" i="2"/>
  <c r="FS36" i="2"/>
  <c r="FQ36" i="2"/>
  <c r="HH36" i="2"/>
  <c r="EA36" i="2"/>
  <c r="DH36" i="2"/>
  <c r="EB36" i="2"/>
  <c r="EC36" i="2"/>
  <c r="DF36" i="2"/>
  <c r="DG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FQ37" i="2"/>
  <c r="FR37" i="2"/>
  <c r="GL37" i="2"/>
  <c r="EX37" i="2"/>
  <c r="EV37" i="2"/>
  <c r="HH37" i="2"/>
  <c r="HI37" i="2"/>
  <c r="GM37" i="2"/>
  <c r="EW37" i="2"/>
  <c r="FS37" i="2"/>
  <c r="GN37" i="2"/>
  <c r="DH37" i="2"/>
  <c r="EB37" i="2"/>
  <c r="EA37" i="2"/>
  <c r="EC37" i="2"/>
  <c r="DG37" i="2"/>
  <c r="DF37" i="2"/>
  <c r="AV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HG38" i="2"/>
  <c r="HI38" i="2"/>
  <c r="FQ38" i="2"/>
  <c r="FR38" i="2"/>
  <c r="EW38" i="2"/>
  <c r="EX38" i="2"/>
  <c r="GM38" i="2"/>
  <c r="GN38" i="2"/>
  <c r="GL38" i="2"/>
  <c r="FS38" i="2"/>
  <c r="HH38" i="2"/>
  <c r="EB38" i="2"/>
  <c r="EA38" i="2"/>
  <c r="EC38" i="2"/>
  <c r="CM38" i="2"/>
  <c r="DH38" i="2"/>
  <c r="DG38" i="2"/>
  <c r="DF38" i="2"/>
  <c r="BR38" i="2"/>
  <c r="AV38" i="2"/>
  <c r="AU38" i="2"/>
  <c r="AW38" i="2"/>
  <c r="AW39" i="2" s="1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R39" i="2" s="1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W39" i="2" l="1"/>
  <c r="EV39" i="2"/>
  <c r="FQ39" i="2"/>
  <c r="EX39" i="2"/>
  <c r="GL39" i="2"/>
  <c r="HH39" i="2"/>
  <c r="FS39" i="2"/>
  <c r="HI39" i="2"/>
  <c r="HG39" i="2"/>
  <c r="GM39" i="2"/>
  <c r="GN39" i="2"/>
  <c r="CM39" i="2"/>
  <c r="EB39" i="2"/>
  <c r="EA39" i="2"/>
  <c r="EC39" i="2"/>
  <c r="DH39" i="2"/>
  <c r="DF39" i="2"/>
  <c r="DG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V40" i="2" l="1"/>
  <c r="HI40" i="2"/>
  <c r="GL40" i="2"/>
  <c r="FS40" i="2"/>
  <c r="FR40" i="2"/>
  <c r="EW40" i="2"/>
  <c r="EX40" i="2"/>
  <c r="GM40" i="2"/>
  <c r="FQ40" i="2"/>
  <c r="HG40" i="2"/>
  <c r="GN40" i="2"/>
  <c r="CM40" i="2"/>
  <c r="EA40" i="2"/>
  <c r="EB40" i="2"/>
  <c r="EC40" i="2"/>
  <c r="DH40" i="2"/>
  <c r="DF40" i="2"/>
  <c r="DG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GL41" i="2" s="1"/>
  <c r="X41" i="2"/>
  <c r="AR41" i="2"/>
  <c r="BN41" i="2"/>
  <c r="DC41" i="2"/>
  <c r="W41" i="2"/>
  <c r="ET41" i="2"/>
  <c r="EW41" i="2" s="1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GM41" i="2" l="1"/>
  <c r="HH41" i="2"/>
  <c r="FQ41" i="2"/>
  <c r="EX41" i="2"/>
  <c r="FR41" i="2"/>
  <c r="FS41" i="2"/>
  <c r="GN41" i="2"/>
  <c r="EV41" i="2"/>
  <c r="HI41" i="2"/>
  <c r="CM41" i="2"/>
  <c r="AW41" i="2"/>
  <c r="EA41" i="2"/>
  <c r="EB41" i="2"/>
  <c r="EC41" i="2"/>
  <c r="DH41" i="2"/>
  <c r="DG41" i="2"/>
  <c r="DF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L42" i="2" s="1"/>
  <c r="GJ42" i="2"/>
  <c r="GM42" i="2" s="1"/>
  <c r="ET42" i="2"/>
  <c r="EW42" i="2" s="1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FQ42" i="2" l="1"/>
  <c r="HG42" i="2"/>
  <c r="HI42" i="2"/>
  <c r="FR42" i="2"/>
  <c r="GN42" i="2"/>
  <c r="FS42" i="2"/>
  <c r="EX42" i="2"/>
  <c r="HH42" i="2"/>
  <c r="CM42" i="2"/>
  <c r="EA42" i="2"/>
  <c r="EB42" i="2"/>
  <c r="EC42" i="2"/>
  <c r="DH42" i="2"/>
  <c r="DF42" i="2"/>
  <c r="DG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Q43" i="2" l="1"/>
  <c r="EW43" i="2"/>
  <c r="GM43" i="2"/>
  <c r="EV43" i="2"/>
  <c r="EX43" i="2"/>
  <c r="FR43" i="2"/>
  <c r="FS43" i="2"/>
  <c r="GL43" i="2"/>
  <c r="GN43" i="2"/>
  <c r="HH43" i="2"/>
  <c r="HG43" i="2"/>
  <c r="HI43" i="2"/>
  <c r="EA43" i="2"/>
  <c r="EB43" i="2"/>
  <c r="CM43" i="2"/>
  <c r="EC43" i="2"/>
  <c r="AW43" i="2"/>
  <c r="DH43" i="2"/>
  <c r="DF43" i="2"/>
  <c r="DG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EV44" i="2" s="1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GN44" i="2"/>
  <c r="AU44" i="2"/>
  <c r="FS44" i="2"/>
  <c r="EX44" i="2"/>
  <c r="GL44" i="2"/>
  <c r="FQ44" i="2"/>
  <c r="FR44" i="2"/>
  <c r="HI44" i="2"/>
  <c r="GM44" i="2"/>
  <c r="HH44" i="2"/>
  <c r="HG44" i="2"/>
  <c r="CM44" i="2"/>
  <c r="DH44" i="2"/>
  <c r="EB44" i="2"/>
  <c r="EA44" i="2"/>
  <c r="EC44" i="2"/>
  <c r="DG44" i="2"/>
  <c r="DF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G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V45" i="2" l="1"/>
  <c r="FQ45" i="2"/>
  <c r="HI45" i="2"/>
  <c r="FR45" i="2"/>
  <c r="GL45" i="2"/>
  <c r="EX45" i="2"/>
  <c r="GM45" i="2"/>
  <c r="HH45" i="2"/>
  <c r="FS45" i="2"/>
  <c r="EW45" i="2"/>
  <c r="GN45" i="2"/>
  <c r="CM45" i="2"/>
  <c r="DH45" i="2"/>
  <c r="EB45" i="2"/>
  <c r="EA45" i="2"/>
  <c r="EC45" i="2"/>
  <c r="DF45" i="2"/>
  <c r="DG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FQ46" i="2" s="1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GL46" i="2" l="1"/>
  <c r="HH46" i="2"/>
  <c r="FS46" i="2"/>
  <c r="EV46" i="2"/>
  <c r="HG46" i="2"/>
  <c r="EX46" i="2"/>
  <c r="FR46" i="2"/>
  <c r="EW46" i="2"/>
  <c r="GM46" i="2"/>
  <c r="GN46" i="2"/>
  <c r="HI46" i="2"/>
  <c r="CM46" i="2"/>
  <c r="EB46" i="2"/>
  <c r="EA46" i="2"/>
  <c r="EC46" i="2"/>
  <c r="DH46" i="2"/>
  <c r="DF46" i="2"/>
  <c r="DG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HH47" i="2" s="1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R47" i="2" l="1"/>
  <c r="HG47" i="2"/>
  <c r="GM47" i="2"/>
  <c r="GL47" i="2"/>
  <c r="EX47" i="2"/>
  <c r="FQ47" i="2"/>
  <c r="HI47" i="2"/>
  <c r="FS47" i="2"/>
  <c r="EW47" i="2"/>
  <c r="GN47" i="2"/>
  <c r="EV47" i="2"/>
  <c r="CM47" i="2"/>
  <c r="EA47" i="2"/>
  <c r="EB47" i="2"/>
  <c r="EC47" i="2"/>
  <c r="DH47" i="2"/>
  <c r="DF47" i="2"/>
  <c r="DG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FR48" i="2" s="1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GN48" i="2" l="1"/>
  <c r="GL48" i="2"/>
  <c r="GM48" i="2"/>
  <c r="FS48" i="2"/>
  <c r="HI48" i="2"/>
  <c r="EW48" i="2"/>
  <c r="FQ48" i="2"/>
  <c r="HG48" i="2"/>
  <c r="EX48" i="2"/>
  <c r="EV48" i="2"/>
  <c r="CM48" i="2"/>
  <c r="EA48" i="2"/>
  <c r="EB48" i="2"/>
  <c r="EC48" i="2"/>
  <c r="DH48" i="2"/>
  <c r="DG48" i="2"/>
  <c r="DF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EW49" i="2" s="1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H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G49" i="2" l="1"/>
  <c r="GM49" i="2"/>
  <c r="EV49" i="2"/>
  <c r="HI49" i="2"/>
  <c r="FS49" i="2"/>
  <c r="GL49" i="2"/>
  <c r="FQ49" i="2"/>
  <c r="FR49" i="2"/>
  <c r="EX49" i="2"/>
  <c r="GN49" i="2"/>
  <c r="CM49" i="2"/>
  <c r="DH49" i="2"/>
  <c r="EB49" i="2"/>
  <c r="EC49" i="2"/>
  <c r="EA49" i="2"/>
  <c r="DG49" i="2"/>
  <c r="DF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L50" i="2" s="1"/>
  <c r="GJ50" i="2"/>
  <c r="GM50" i="2" s="1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V50" i="2" l="1"/>
  <c r="FR50" i="2"/>
  <c r="HG50" i="2"/>
  <c r="GN50" i="2"/>
  <c r="EX50" i="2"/>
  <c r="FQ50" i="2"/>
  <c r="EW50" i="2"/>
  <c r="FS50" i="2"/>
  <c r="HI50" i="2"/>
  <c r="HH50" i="2"/>
  <c r="DH50" i="2"/>
  <c r="EA50" i="2"/>
  <c r="EB50" i="2"/>
  <c r="EC50" i="2"/>
  <c r="DG50" i="2"/>
  <c r="DF50" i="2"/>
  <c r="CM50" i="2"/>
  <c r="AV50" i="2"/>
  <c r="AU50" i="2"/>
  <c r="AW50" i="2"/>
  <c r="AW51" i="2" s="1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GM51" i="2" s="1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G51" i="2" l="1"/>
  <c r="GL51" i="2"/>
  <c r="HH51" i="2"/>
  <c r="FQ51" i="2"/>
  <c r="EV51" i="2"/>
  <c r="HI51" i="2"/>
  <c r="FR51" i="2"/>
  <c r="FS51" i="2"/>
  <c r="EX51" i="2"/>
  <c r="GN51" i="2"/>
  <c r="EW51" i="2"/>
  <c r="DH51" i="2"/>
  <c r="EB51" i="2"/>
  <c r="EA51" i="2"/>
  <c r="EC51" i="2"/>
  <c r="DF51" i="2"/>
  <c r="DG51" i="2"/>
  <c r="CM51" i="2"/>
  <c r="BR51" i="2"/>
  <c r="AV51" i="2"/>
  <c r="AU51" i="2"/>
  <c r="AU52" i="2" s="1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FR52" i="2" s="1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H52" i="2"/>
  <c r="GM52" i="2"/>
  <c r="DH52" i="2"/>
  <c r="EW52" i="2"/>
  <c r="FQ52" i="2"/>
  <c r="HG52" i="2"/>
  <c r="GN52" i="2"/>
  <c r="GL52" i="2"/>
  <c r="EX52" i="2"/>
  <c r="FS52" i="2"/>
  <c r="HI52" i="2"/>
  <c r="EB52" i="2"/>
  <c r="EA52" i="2"/>
  <c r="EC52" i="2"/>
  <c r="DF52" i="2"/>
  <c r="DG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Q53" i="2" s="1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GM53" i="2" s="1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FR53" i="2"/>
  <c r="GN53" i="2"/>
  <c r="GL53" i="2"/>
  <c r="EV53" i="2"/>
  <c r="HH53" i="2"/>
  <c r="HI53" i="2"/>
  <c r="EW53" i="2"/>
  <c r="FS53" i="2"/>
  <c r="EX53" i="2"/>
  <c r="EB53" i="2"/>
  <c r="EC53" i="2"/>
  <c r="EA53" i="2"/>
  <c r="AW53" i="2"/>
  <c r="DH53" i="2"/>
  <c r="DG53" i="2"/>
  <c r="DF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HH54" i="2" s="1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GM54" i="2" l="1"/>
  <c r="FR54" i="2"/>
  <c r="HG54" i="2"/>
  <c r="EW54" i="2"/>
  <c r="FS54" i="2"/>
  <c r="HI54" i="2"/>
  <c r="GL54" i="2"/>
  <c r="EV54" i="2"/>
  <c r="FQ54" i="2"/>
  <c r="GN54" i="2"/>
  <c r="EX54" i="2"/>
  <c r="EA54" i="2"/>
  <c r="EB54" i="2"/>
  <c r="EC54" i="2"/>
  <c r="DH54" i="2"/>
  <c r="DF54" i="2"/>
  <c r="DG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L55" i="2" s="1"/>
  <c r="GJ55" i="2"/>
  <c r="GM55" i="2" s="1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V55" i="2" l="1"/>
  <c r="HG55" i="2"/>
  <c r="HH55" i="2"/>
  <c r="EX55" i="2"/>
  <c r="GN55" i="2"/>
  <c r="HI55" i="2"/>
  <c r="FS55" i="2"/>
  <c r="FQ55" i="2"/>
  <c r="FR55" i="2"/>
  <c r="EW55" i="2"/>
  <c r="EB55" i="2"/>
  <c r="EA55" i="2"/>
  <c r="EC55" i="2"/>
  <c r="DH55" i="2"/>
  <c r="DG55" i="2"/>
  <c r="DF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HH56" i="2" s="1"/>
  <c r="ES56" i="2"/>
  <c r="DX56" i="2"/>
  <c r="FN56" i="2"/>
  <c r="FQ56" i="2" s="1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R56" i="2" l="1"/>
  <c r="HG56" i="2"/>
  <c r="EV56" i="2"/>
  <c r="GL56" i="2"/>
  <c r="GM56" i="2"/>
  <c r="EW56" i="2"/>
  <c r="FS56" i="2"/>
  <c r="HI56" i="2"/>
  <c r="GN56" i="2"/>
  <c r="EX56" i="2"/>
  <c r="EB56" i="2"/>
  <c r="EA56" i="2"/>
  <c r="EC56" i="2"/>
  <c r="DH56" i="2"/>
  <c r="DF56" i="2"/>
  <c r="DG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GL57" i="2" s="1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V57" i="2"/>
  <c r="HH57" i="2"/>
  <c r="FQ57" i="2"/>
  <c r="EX57" i="2"/>
  <c r="FR57" i="2"/>
  <c r="GN57" i="2"/>
  <c r="GM57" i="2"/>
  <c r="HI57" i="2"/>
  <c r="FS57" i="2"/>
  <c r="EW57" i="2"/>
  <c r="EA57" i="2"/>
  <c r="EC57" i="2"/>
  <c r="EB57" i="2"/>
  <c r="DH57" i="2"/>
  <c r="DF57" i="2"/>
  <c r="DG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GL58" i="2" s="1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HG58" i="2" l="1"/>
  <c r="FQ58" i="2"/>
  <c r="FR58" i="2"/>
  <c r="FS58" i="2"/>
  <c r="HI58" i="2"/>
  <c r="EW58" i="2"/>
  <c r="GM58" i="2"/>
  <c r="GN58" i="2"/>
  <c r="EV58" i="2"/>
  <c r="HH58" i="2"/>
  <c r="HH59" i="2" s="1"/>
  <c r="EX58" i="2"/>
  <c r="EB58" i="2"/>
  <c r="EA58" i="2"/>
  <c r="EC58" i="2"/>
  <c r="DH58" i="2"/>
  <c r="DF58" i="2"/>
  <c r="DG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EW59" i="2" s="1"/>
  <c r="FN59" i="2"/>
  <c r="FQ59" i="2" s="1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GM59" i="2" l="1"/>
  <c r="GL59" i="2"/>
  <c r="HG59" i="2"/>
  <c r="GN59" i="2"/>
  <c r="HI59" i="2"/>
  <c r="EV59" i="2"/>
  <c r="FS59" i="2"/>
  <c r="FR59" i="2"/>
  <c r="EX59" i="2"/>
  <c r="DH59" i="2"/>
  <c r="EB59" i="2"/>
  <c r="EA59" i="2"/>
  <c r="EC59" i="2"/>
  <c r="DG59" i="2"/>
  <c r="DF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H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X60" i="2"/>
  <c r="FQ60" i="2"/>
  <c r="GL60" i="2"/>
  <c r="FR60" i="2"/>
  <c r="FS60" i="2"/>
  <c r="EW60" i="2"/>
  <c r="HI60" i="2"/>
  <c r="GN60" i="2"/>
  <c r="GM60" i="2"/>
  <c r="DH60" i="2"/>
  <c r="EA60" i="2"/>
  <c r="EB60" i="2"/>
  <c r="EC60" i="2"/>
  <c r="DG60" i="2"/>
  <c r="DF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HH61" i="2" s="1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FQ61" i="2" l="1"/>
  <c r="GL61" i="2"/>
  <c r="GN61" i="2"/>
  <c r="HG61" i="2"/>
  <c r="HI61" i="2"/>
  <c r="GM61" i="2"/>
  <c r="EV61" i="2"/>
  <c r="FS61" i="2"/>
  <c r="FR61" i="2"/>
  <c r="EX61" i="2"/>
  <c r="EA61" i="2"/>
  <c r="DH61" i="2"/>
  <c r="EB61" i="2"/>
  <c r="EC61" i="2"/>
  <c r="DF61" i="2"/>
  <c r="DG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FQ62" i="2" s="1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GM62" i="2" s="1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G62" i="2" l="1"/>
  <c r="FR62" i="2"/>
  <c r="GL62" i="2"/>
  <c r="FS62" i="2"/>
  <c r="EV62" i="2"/>
  <c r="HI62" i="2"/>
  <c r="GN62" i="2"/>
  <c r="EW62" i="2"/>
  <c r="EX62" i="2"/>
  <c r="EB62" i="2"/>
  <c r="EC62" i="2"/>
  <c r="EA62" i="2"/>
  <c r="DH62" i="2"/>
  <c r="DF62" i="2"/>
  <c r="DG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FQ63" i="2" l="1"/>
  <c r="EV63" i="2"/>
  <c r="EX63" i="2"/>
  <c r="FR63" i="2"/>
  <c r="GM63" i="2"/>
  <c r="GL63" i="2"/>
  <c r="GN63" i="2"/>
  <c r="HH63" i="2"/>
  <c r="HI63" i="2"/>
  <c r="HG63" i="2"/>
  <c r="FS63" i="2"/>
  <c r="EW63" i="2"/>
  <c r="EC63" i="2"/>
  <c r="EA63" i="2"/>
  <c r="EB63" i="2"/>
  <c r="DH63" i="2"/>
  <c r="DG63" i="2"/>
  <c r="DF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EV64" i="2" s="1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FQ64" i="2" s="1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GN64" i="2"/>
  <c r="GL64" i="2"/>
  <c r="GM64" i="2"/>
  <c r="FR64" i="2"/>
  <c r="EW64" i="2"/>
  <c r="HH64" i="2"/>
  <c r="HG64" i="2"/>
  <c r="FS64" i="2"/>
  <c r="EX64" i="2"/>
  <c r="EC64" i="2"/>
  <c r="EA64" i="2"/>
  <c r="EB64" i="2"/>
  <c r="DH64" i="2"/>
  <c r="DG64" i="2"/>
  <c r="DF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GM65" i="2" s="1"/>
  <c r="FO65" i="2"/>
  <c r="FR65" i="2" s="1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FQ65" i="2" l="1"/>
  <c r="GL65" i="2"/>
  <c r="HG65" i="2"/>
  <c r="HH65" i="2"/>
  <c r="EW65" i="2"/>
  <c r="EX65" i="2"/>
  <c r="GN65" i="2"/>
  <c r="EV65" i="2"/>
  <c r="FS65" i="2"/>
  <c r="HI65" i="2"/>
  <c r="EC65" i="2"/>
  <c r="DH65" i="2"/>
  <c r="EB65" i="2"/>
  <c r="EA65" i="2"/>
  <c r="DG65" i="2"/>
  <c r="DF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Q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V66" i="2"/>
  <c r="HI66" i="2"/>
  <c r="HG66" i="2"/>
  <c r="FS66" i="2"/>
  <c r="FR66" i="2"/>
  <c r="EW66" i="2"/>
  <c r="GN66" i="2"/>
  <c r="GM66" i="2"/>
  <c r="EX66" i="2"/>
  <c r="GL66" i="2"/>
  <c r="EA66" i="2"/>
  <c r="EB66" i="2"/>
  <c r="DH66" i="2"/>
  <c r="EC66" i="2"/>
  <c r="DG66" i="2"/>
  <c r="DF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FQ67" i="2" s="1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G67" i="2" l="1"/>
  <c r="EV67" i="2"/>
  <c r="FR67" i="2"/>
  <c r="GN67" i="2"/>
  <c r="GL67" i="2"/>
  <c r="FS67" i="2"/>
  <c r="HI67" i="2"/>
  <c r="GM67" i="2"/>
  <c r="EW67" i="2"/>
  <c r="EX67" i="2"/>
  <c r="EA67" i="2"/>
  <c r="DH67" i="2"/>
  <c r="EC67" i="2"/>
  <c r="EB67" i="2"/>
  <c r="DG67" i="2"/>
  <c r="DF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GM68" i="2" l="1"/>
  <c r="FQ68" i="2"/>
  <c r="HG68" i="2"/>
  <c r="GL68" i="2"/>
  <c r="HI68" i="2"/>
  <c r="FS68" i="2"/>
  <c r="EV68" i="2"/>
  <c r="GN68" i="2"/>
  <c r="FR68" i="2"/>
  <c r="EW68" i="2"/>
  <c r="HH68" i="2"/>
  <c r="EX68" i="2"/>
  <c r="EC68" i="2"/>
  <c r="EB68" i="2"/>
  <c r="DH68" i="2"/>
  <c r="EA68" i="2"/>
  <c r="DG68" i="2"/>
  <c r="DF68" i="2"/>
  <c r="AU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GM69" i="2" s="1"/>
  <c r="HD69" i="2"/>
  <c r="GI69" i="2"/>
  <c r="FO69" i="2"/>
  <c r="FN69" i="2"/>
  <c r="ET69" i="2"/>
  <c r="EW69" i="2" s="1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V69" i="2" l="1"/>
  <c r="HH69" i="2"/>
  <c r="GN69" i="2"/>
  <c r="FQ69" i="2"/>
  <c r="FR69" i="2"/>
  <c r="FS69" i="2"/>
  <c r="HI69" i="2"/>
  <c r="GL69" i="2"/>
  <c r="HG69" i="2"/>
  <c r="EX69" i="2"/>
  <c r="EA69" i="2"/>
  <c r="EC69" i="2"/>
  <c r="EB69" i="2"/>
  <c r="DH69" i="2"/>
  <c r="DG69" i="2"/>
  <c r="DF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HH70" i="2" s="1"/>
  <c r="GI70" i="2"/>
  <c r="GJ70" i="2"/>
  <c r="ET70" i="2"/>
  <c r="FO70" i="2"/>
  <c r="FN70" i="2"/>
  <c r="ES70" i="2"/>
  <c r="EV70" i="2" s="1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FQ70" i="2" l="1"/>
  <c r="HG70" i="2"/>
  <c r="EW70" i="2"/>
  <c r="GM70" i="2"/>
  <c r="GL70" i="2"/>
  <c r="HI70" i="2"/>
  <c r="FS70" i="2"/>
  <c r="GN70" i="2"/>
  <c r="FR70" i="2"/>
  <c r="EX70" i="2"/>
  <c r="EC70" i="2"/>
  <c r="EA70" i="2"/>
  <c r="EB70" i="2"/>
  <c r="DH70" i="2"/>
  <c r="DF70" i="2"/>
  <c r="DG70" i="2"/>
  <c r="AU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V71" i="2" s="1"/>
  <c r="ET71" i="2"/>
  <c r="FO71" i="2"/>
  <c r="FR71" i="2" s="1"/>
  <c r="FN71" i="2"/>
  <c r="FQ71" i="2" s="1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GM71" i="2"/>
  <c r="GL71" i="2"/>
  <c r="EX71" i="2"/>
  <c r="HH71" i="2"/>
  <c r="HG71" i="2"/>
  <c r="GN71" i="2"/>
  <c r="FS71" i="2"/>
  <c r="HI71" i="2"/>
  <c r="EC71" i="2"/>
  <c r="EB71" i="2"/>
  <c r="EA71" i="2"/>
  <c r="DH71" i="2"/>
  <c r="DF71" i="2"/>
  <c r="DG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FR72" i="2" s="1"/>
  <c r="HE72" i="2"/>
  <c r="HH72" i="2" s="1"/>
  <c r="GJ72" i="2"/>
  <c r="GI72" i="2"/>
  <c r="ES72" i="2"/>
  <c r="DX72" i="2"/>
  <c r="FN72" i="2"/>
  <c r="ET72" i="2"/>
  <c r="EW72" i="2" s="1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V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FQ72" i="2" l="1"/>
  <c r="GM72" i="2"/>
  <c r="HG72" i="2"/>
  <c r="HI72" i="2"/>
  <c r="GL72" i="2"/>
  <c r="FS72" i="2"/>
  <c r="GN72" i="2"/>
  <c r="EX72" i="2"/>
  <c r="EC72" i="2"/>
  <c r="EB72" i="2"/>
  <c r="EA72" i="2"/>
  <c r="DH72" i="2"/>
  <c r="DF72" i="2"/>
  <c r="DG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GL73" i="2" s="1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EV73" i="2" s="1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FQ73" i="2" l="1"/>
  <c r="FR73" i="2"/>
  <c r="EX73" i="2"/>
  <c r="HG73" i="2"/>
  <c r="GN73" i="2"/>
  <c r="GM73" i="2"/>
  <c r="FS73" i="2"/>
  <c r="HH73" i="2"/>
  <c r="EW73" i="2"/>
  <c r="HI73" i="2"/>
  <c r="EB73" i="2"/>
  <c r="EC73" i="2"/>
  <c r="EA73" i="2"/>
  <c r="DH73" i="2"/>
  <c r="DF73" i="2"/>
  <c r="DG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L74" i="2" s="1"/>
  <c r="GJ74" i="2"/>
  <c r="GM74" i="2" s="1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EV74" i="2" s="1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Q74" i="2" l="1"/>
  <c r="FR74" i="2"/>
  <c r="FS74" i="2"/>
  <c r="GN74" i="2"/>
  <c r="EX74" i="2"/>
  <c r="HH74" i="2"/>
  <c r="HI74" i="2"/>
  <c r="HG74" i="2"/>
  <c r="DH74" i="2"/>
  <c r="EA74" i="2"/>
  <c r="EC74" i="2"/>
  <c r="EB74" i="2"/>
  <c r="DF74" i="2"/>
  <c r="DG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GL75" i="2" s="1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EV75" i="2" s="1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HH75" i="2"/>
  <c r="FQ75" i="2"/>
  <c r="GM75" i="2"/>
  <c r="EW75" i="2"/>
  <c r="DH75" i="2"/>
  <c r="HI75" i="2"/>
  <c r="FR75" i="2"/>
  <c r="EX75" i="2"/>
  <c r="GN75" i="2"/>
  <c r="FS75" i="2"/>
  <c r="EA75" i="2"/>
  <c r="EB75" i="2"/>
  <c r="EC75" i="2"/>
  <c r="DF75" i="2"/>
  <c r="DG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EV76" i="2" s="1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EW76" i="2" l="1"/>
  <c r="GL76" i="2"/>
  <c r="HG76" i="2"/>
  <c r="GN76" i="2"/>
  <c r="FQ76" i="2"/>
  <c r="FR76" i="2"/>
  <c r="EX76" i="2"/>
  <c r="GM76" i="2"/>
  <c r="HH76" i="2"/>
  <c r="HI76" i="2"/>
  <c r="FS76" i="2"/>
  <c r="EB76" i="2"/>
  <c r="EA76" i="2"/>
  <c r="DH76" i="2"/>
  <c r="EC76" i="2"/>
  <c r="DG76" i="2"/>
  <c r="DF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HH77" i="2" s="1"/>
  <c r="GJ77" i="2"/>
  <c r="GM77" i="2" s="1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V77" i="2" l="1"/>
  <c r="HG77" i="2"/>
  <c r="FS77" i="2"/>
  <c r="FQ77" i="2"/>
  <c r="HI77" i="2"/>
  <c r="EW77" i="2"/>
  <c r="FR77" i="2"/>
  <c r="GL77" i="2"/>
  <c r="EX77" i="2"/>
  <c r="GN77" i="2"/>
  <c r="EB77" i="2"/>
  <c r="EA77" i="2"/>
  <c r="EC77" i="2"/>
  <c r="DH77" i="2"/>
  <c r="DG77" i="2"/>
  <c r="DF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GM78" i="2" l="1"/>
  <c r="HH78" i="2"/>
  <c r="EX78" i="2"/>
  <c r="HG78" i="2"/>
  <c r="EV78" i="2"/>
  <c r="FQ78" i="2"/>
  <c r="HI78" i="2"/>
  <c r="FR78" i="2"/>
  <c r="EW78" i="2"/>
  <c r="FS78" i="2"/>
  <c r="GL78" i="2"/>
  <c r="GN78" i="2"/>
  <c r="EC78" i="2"/>
  <c r="EB78" i="2"/>
  <c r="EA78" i="2"/>
  <c r="DH78" i="2"/>
  <c r="DF78" i="2"/>
  <c r="DG78" i="2"/>
  <c r="AU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FO79" i="2"/>
  <c r="FR79" i="2" s="1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GL79" i="2"/>
  <c r="FS79" i="2"/>
  <c r="HI79" i="2"/>
  <c r="FQ79" i="2"/>
  <c r="EW79" i="2"/>
  <c r="EV79" i="2"/>
  <c r="GN79" i="2"/>
  <c r="GM79" i="2"/>
  <c r="EX79" i="2"/>
  <c r="EC79" i="2"/>
  <c r="EA79" i="2"/>
  <c r="EB79" i="2"/>
  <c r="DH79" i="2"/>
  <c r="DF79" i="2"/>
  <c r="DG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EV80" i="2" s="1"/>
  <c r="DX80" i="2"/>
  <c r="FN80" i="2"/>
  <c r="FQ80" i="2" s="1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W80" i="2"/>
  <c r="GL80" i="2"/>
  <c r="GM80" i="2"/>
  <c r="GN80" i="2"/>
  <c r="FR80" i="2"/>
  <c r="HI80" i="2"/>
  <c r="FS80" i="2"/>
  <c r="EX80" i="2"/>
  <c r="EC80" i="2"/>
  <c r="EA80" i="2"/>
  <c r="EB80" i="2"/>
  <c r="DH80" i="2"/>
  <c r="DG80" i="2"/>
  <c r="DF80" i="2"/>
  <c r="AU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GM81" i="2" s="1"/>
  <c r="FO81" i="2"/>
  <c r="FR81" i="2" s="1"/>
  <c r="FN81" i="2"/>
  <c r="FQ81" i="2" s="1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H81" i="2" l="1"/>
  <c r="GL81" i="2"/>
  <c r="EV81" i="2"/>
  <c r="HG81" i="2"/>
  <c r="EX81" i="2"/>
  <c r="FS81" i="2"/>
  <c r="EW81" i="2"/>
  <c r="HI81" i="2"/>
  <c r="GN81" i="2"/>
  <c r="EC81" i="2"/>
  <c r="EB81" i="2"/>
  <c r="EA81" i="2"/>
  <c r="AW81" i="2"/>
  <c r="DH81" i="2"/>
  <c r="DG81" i="2"/>
  <c r="DF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EW82" i="2" s="1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R82" i="2" s="1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GM82" i="2" l="1"/>
  <c r="GL82" i="2"/>
  <c r="HG82" i="2"/>
  <c r="GN82" i="2"/>
  <c r="HI82" i="2"/>
  <c r="FQ82" i="2"/>
  <c r="FS82" i="2"/>
  <c r="EV82" i="2"/>
  <c r="EX82" i="2"/>
  <c r="HH82" i="2"/>
  <c r="EC82" i="2"/>
  <c r="EB82" i="2"/>
  <c r="EA82" i="2"/>
  <c r="DH82" i="2"/>
  <c r="DG82" i="2"/>
  <c r="DF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FR83" i="2" s="1"/>
  <c r="ES83" i="2"/>
  <c r="EV83" i="2" s="1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FQ83" i="2" l="1"/>
  <c r="GM83" i="2"/>
  <c r="GL83" i="2"/>
  <c r="HH83" i="2"/>
  <c r="EX83" i="2"/>
  <c r="HG83" i="2"/>
  <c r="FS83" i="2"/>
  <c r="EW83" i="2"/>
  <c r="HI83" i="2"/>
  <c r="GN83" i="2"/>
  <c r="EC83" i="2"/>
  <c r="EA83" i="2"/>
  <c r="EB83" i="2"/>
  <c r="DH83" i="2"/>
  <c r="DF83" i="2"/>
  <c r="DG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EW84" i="2" s="1"/>
  <c r="DC84" i="2"/>
  <c r="CH84" i="2"/>
  <c r="BN84" i="2"/>
  <c r="AS84" i="2"/>
  <c r="AR84" i="2"/>
  <c r="FN84" i="2"/>
  <c r="FQ84" i="2" s="1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R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GL84" i="2" l="1"/>
  <c r="HG84" i="2"/>
  <c r="GM84" i="2"/>
  <c r="HI84" i="2"/>
  <c r="FS84" i="2"/>
  <c r="EX84" i="2"/>
  <c r="HH84" i="2"/>
  <c r="EV84" i="2"/>
  <c r="GN84" i="2"/>
  <c r="EB84" i="2"/>
  <c r="EA84" i="2"/>
  <c r="EC84" i="2"/>
  <c r="DH84" i="2"/>
  <c r="DF84" i="2"/>
  <c r="DG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GM85" i="2" s="1"/>
  <c r="HD85" i="2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R85" i="2" l="1"/>
  <c r="GN85" i="2"/>
  <c r="GL85" i="2"/>
  <c r="FQ85" i="2"/>
  <c r="HG85" i="2"/>
  <c r="EX85" i="2"/>
  <c r="HH85" i="2"/>
  <c r="FS85" i="2"/>
  <c r="HI85" i="2"/>
  <c r="DH85" i="2"/>
  <c r="EA85" i="2"/>
  <c r="EC85" i="2"/>
  <c r="EB85" i="2"/>
  <c r="DF85" i="2"/>
  <c r="DG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Q86" i="2" s="1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R86" i="2" l="1"/>
  <c r="HH86" i="2"/>
  <c r="HG86" i="2"/>
  <c r="FS86" i="2"/>
  <c r="EW86" i="2"/>
  <c r="EX86" i="2"/>
  <c r="GM86" i="2"/>
  <c r="GL86" i="2"/>
  <c r="GN86" i="2"/>
  <c r="EV86" i="2"/>
  <c r="HI86" i="2"/>
  <c r="EC86" i="2"/>
  <c r="DH86" i="2"/>
  <c r="EB86" i="2"/>
  <c r="EA86" i="2"/>
  <c r="DF86" i="2"/>
  <c r="DG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L87" i="2" s="1"/>
  <c r="GJ87" i="2"/>
  <c r="GM87" i="2" s="1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FR87" i="2" l="1"/>
  <c r="HG87" i="2"/>
  <c r="HH87" i="2"/>
  <c r="HI87" i="2"/>
  <c r="EW87" i="2"/>
  <c r="DH87" i="2"/>
  <c r="EV87" i="2"/>
  <c r="GN87" i="2"/>
  <c r="EX87" i="2"/>
  <c r="FQ87" i="2"/>
  <c r="FS87" i="2"/>
  <c r="EA87" i="2"/>
  <c r="EC87" i="2"/>
  <c r="EB87" i="2"/>
  <c r="DG87" i="2"/>
  <c r="DF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Q88" i="2"/>
  <c r="HH88" i="2"/>
  <c r="HG88" i="2"/>
  <c r="EW88" i="2"/>
  <c r="FS88" i="2"/>
  <c r="EV88" i="2"/>
  <c r="EX88" i="2"/>
  <c r="GL88" i="2"/>
  <c r="GN88" i="2"/>
  <c r="GM88" i="2"/>
  <c r="FR88" i="2"/>
  <c r="EA88" i="2"/>
  <c r="EB88" i="2"/>
  <c r="DH88" i="2"/>
  <c r="EC88" i="2"/>
  <c r="DG88" i="2"/>
  <c r="DF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FQ89" i="2" s="1"/>
  <c r="GI89" i="2"/>
  <c r="DD89" i="2"/>
  <c r="HD89" i="2"/>
  <c r="HG89" i="2" s="1"/>
  <c r="ES89" i="2"/>
  <c r="EV89" i="2" s="1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FS89" i="2"/>
  <c r="EW89" i="2"/>
  <c r="FR89" i="2"/>
  <c r="GM89" i="2"/>
  <c r="GN89" i="2"/>
  <c r="HH89" i="2"/>
  <c r="EX89" i="2"/>
  <c r="GL89" i="2"/>
  <c r="DH89" i="2"/>
  <c r="EC89" i="2"/>
  <c r="EA89" i="2"/>
  <c r="EB89" i="2"/>
  <c r="DF89" i="2"/>
  <c r="DG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Q90" i="2" s="1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H90" i="2" l="1"/>
  <c r="FS90" i="2"/>
  <c r="HI90" i="2"/>
  <c r="HG90" i="2"/>
  <c r="EW90" i="2"/>
  <c r="EX90" i="2"/>
  <c r="GM90" i="2"/>
  <c r="GL90" i="2"/>
  <c r="GN90" i="2"/>
  <c r="EV90" i="2"/>
  <c r="FR90" i="2"/>
  <c r="EC90" i="2"/>
  <c r="DH90" i="2"/>
  <c r="EA90" i="2"/>
  <c r="EB90" i="2"/>
  <c r="DF90" i="2"/>
  <c r="DG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I91" i="2" s="1"/>
  <c r="HF91" i="2"/>
  <c r="GK91" i="2"/>
  <c r="HB91" i="2"/>
  <c r="GS91" i="2"/>
  <c r="GG91" i="2"/>
  <c r="FX91" i="2"/>
  <c r="GH91" i="2"/>
  <c r="FL91" i="2"/>
  <c r="FC91" i="2"/>
  <c r="GR91" i="2"/>
  <c r="FW91" i="2"/>
  <c r="FM91" i="2"/>
  <c r="FS91" i="2" s="1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GM91" i="2" l="1"/>
  <c r="HH91" i="2"/>
  <c r="FQ91" i="2"/>
  <c r="HG91" i="2"/>
  <c r="GN91" i="2"/>
  <c r="EW91" i="2"/>
  <c r="EX91" i="2"/>
  <c r="EV91" i="2"/>
  <c r="FR91" i="2"/>
  <c r="GL91" i="2"/>
  <c r="DH91" i="2"/>
  <c r="EC91" i="2"/>
  <c r="EA91" i="2"/>
  <c r="EB91" i="2"/>
  <c r="DG91" i="2"/>
  <c r="DF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V92" i="2" s="1"/>
  <c r="DV92" i="2"/>
  <c r="DM92" i="2"/>
  <c r="DA92" i="2"/>
  <c r="EU92" i="2"/>
  <c r="EG92" i="2"/>
  <c r="DW92" i="2"/>
  <c r="DB92" i="2"/>
  <c r="FM92" i="2"/>
  <c r="FS92" i="2" s="1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EX92" i="2"/>
  <c r="GN92" i="2"/>
  <c r="GM92" i="2"/>
  <c r="GL92" i="2"/>
  <c r="FQ92" i="2"/>
  <c r="FR92" i="2"/>
  <c r="DH92" i="2"/>
  <c r="EW92" i="2"/>
  <c r="HH92" i="2"/>
  <c r="HG92" i="2"/>
  <c r="EB92" i="2"/>
  <c r="EC92" i="2"/>
  <c r="EA92" i="2"/>
  <c r="DF92" i="2"/>
  <c r="DG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EV93" i="2" s="1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GL93" i="2" l="1"/>
  <c r="FS93" i="2"/>
  <c r="FQ93" i="2"/>
  <c r="AW93" i="2"/>
  <c r="EW93" i="2"/>
  <c r="FR93" i="2"/>
  <c r="HG93" i="2"/>
  <c r="GN93" i="2"/>
  <c r="GM93" i="2"/>
  <c r="EX93" i="2"/>
  <c r="HH93" i="2"/>
  <c r="EB93" i="2"/>
  <c r="EC93" i="2"/>
  <c r="EA93" i="2"/>
  <c r="DH93" i="2"/>
  <c r="DG93" i="2"/>
  <c r="DF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HH94" i="2" s="1"/>
  <c r="GI94" i="2"/>
  <c r="GJ94" i="2"/>
  <c r="ET94" i="2"/>
  <c r="FO94" i="2"/>
  <c r="FN94" i="2"/>
  <c r="ES94" i="2"/>
  <c r="EV94" i="2" s="1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FS94" i="2" s="1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FQ94" i="2" l="1"/>
  <c r="HI94" i="2"/>
  <c r="HG94" i="2"/>
  <c r="GM94" i="2"/>
  <c r="EX94" i="2"/>
  <c r="GL94" i="2"/>
  <c r="GN94" i="2"/>
  <c r="FR94" i="2"/>
  <c r="EW94" i="2"/>
  <c r="EC94" i="2"/>
  <c r="EB94" i="2"/>
  <c r="EA94" i="2"/>
  <c r="DH94" i="2"/>
  <c r="DF94" i="2"/>
  <c r="DG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HH95" i="2" s="1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S95" i="2" s="1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GL95" i="2" l="1"/>
  <c r="HI95" i="2"/>
  <c r="HG95" i="2"/>
  <c r="FQ95" i="2"/>
  <c r="EW95" i="2"/>
  <c r="FR95" i="2"/>
  <c r="EV95" i="2"/>
  <c r="GN95" i="2"/>
  <c r="GM95" i="2"/>
  <c r="EX95" i="2"/>
  <c r="DH95" i="2"/>
  <c r="EB95" i="2"/>
  <c r="EC95" i="2"/>
  <c r="EA95" i="2"/>
  <c r="DF95" i="2"/>
  <c r="DG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HI96" i="2" s="1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HG96" i="2" l="1"/>
  <c r="FS96" i="2"/>
  <c r="GM96" i="2"/>
  <c r="FR96" i="2"/>
  <c r="HH96" i="2"/>
  <c r="GL96" i="2"/>
  <c r="GN96" i="2"/>
  <c r="EW96" i="2"/>
  <c r="EV96" i="2"/>
  <c r="EX96" i="2"/>
  <c r="EB96" i="2"/>
  <c r="DH96" i="2"/>
  <c r="EA96" i="2"/>
  <c r="EC96" i="2"/>
  <c r="DF96" i="2"/>
  <c r="DG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HI97" i="2" s="1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FS97" i="2" l="1"/>
  <c r="GL97" i="2"/>
  <c r="EW97" i="2"/>
  <c r="FQ97" i="2"/>
  <c r="FR97" i="2"/>
  <c r="GM97" i="2"/>
  <c r="EX97" i="2"/>
  <c r="HG97" i="2"/>
  <c r="HH97" i="2"/>
  <c r="GN97" i="2"/>
  <c r="EV97" i="2"/>
  <c r="AW97" i="2"/>
  <c r="EC97" i="2"/>
  <c r="EB97" i="2"/>
  <c r="EA97" i="2"/>
  <c r="DH97" i="2"/>
  <c r="DG97" i="2"/>
  <c r="DF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GM98" i="2" l="1"/>
  <c r="EV98" i="2"/>
  <c r="EW98" i="2"/>
  <c r="GL98" i="2"/>
  <c r="FR98" i="2"/>
  <c r="HH98" i="2"/>
  <c r="GN98" i="2"/>
  <c r="HG98" i="2"/>
  <c r="EX98" i="2"/>
  <c r="FQ98" i="2"/>
  <c r="EB98" i="2"/>
  <c r="EC98" i="2"/>
  <c r="EA98" i="2"/>
  <c r="DH98" i="2"/>
  <c r="DG98" i="2"/>
  <c r="DF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FR99" i="2" s="1"/>
  <c r="ES99" i="2"/>
  <c r="EV99" i="2" s="1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I99" i="2" s="1"/>
  <c r="HF99" i="2"/>
  <c r="GK99" i="2"/>
  <c r="HB99" i="2"/>
  <c r="GS99" i="2"/>
  <c r="GR99" i="2"/>
  <c r="GG99" i="2"/>
  <c r="FX99" i="2"/>
  <c r="GH99" i="2"/>
  <c r="FL99" i="2"/>
  <c r="FC99" i="2"/>
  <c r="FW99" i="2"/>
  <c r="FM99" i="2"/>
  <c r="FS99" i="2" s="1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EW99" i="2" s="1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GN99" i="2"/>
  <c r="HH99" i="2"/>
  <c r="GL99" i="2"/>
  <c r="HG99" i="2"/>
  <c r="FQ99" i="2"/>
  <c r="GM99" i="2"/>
  <c r="EC99" i="2"/>
  <c r="DH99" i="2"/>
  <c r="EA99" i="2"/>
  <c r="EB99" i="2"/>
  <c r="DG99" i="2"/>
  <c r="DF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GL100" i="2" s="1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W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FS100" i="2"/>
  <c r="HI100" i="2"/>
  <c r="FQ100" i="2"/>
  <c r="HH100" i="2"/>
  <c r="HG100" i="2"/>
  <c r="GN100" i="2"/>
  <c r="EX100" i="2"/>
  <c r="GM100" i="2"/>
  <c r="FR100" i="2"/>
  <c r="DH100" i="2"/>
  <c r="EA100" i="2"/>
  <c r="EC100" i="2"/>
  <c r="EB100" i="2"/>
  <c r="DG100" i="2"/>
  <c r="DF100" i="2"/>
  <c r="AU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W101" i="2" l="1"/>
  <c r="FS101" i="2"/>
  <c r="FQ101" i="2"/>
  <c r="FR101" i="2"/>
  <c r="EX101" i="2"/>
  <c r="GN101" i="2"/>
  <c r="GL101" i="2"/>
  <c r="HG101" i="2"/>
  <c r="GM101" i="2"/>
  <c r="HH101" i="2"/>
  <c r="EV101" i="2"/>
  <c r="DH101" i="2"/>
  <c r="EC101" i="2"/>
  <c r="EB101" i="2"/>
  <c r="EA101" i="2"/>
  <c r="AW101" i="2"/>
  <c r="DF101" i="2"/>
  <c r="DG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GM102" i="2" s="1"/>
  <c r="ET102" i="2"/>
  <c r="FO102" i="2"/>
  <c r="FR102" i="2" s="1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EW102" i="2" s="1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FS102" i="2" l="1"/>
  <c r="HI102" i="2"/>
  <c r="GN102" i="2"/>
  <c r="GL102" i="2"/>
  <c r="HH102" i="2"/>
  <c r="EX102" i="2"/>
  <c r="HG102" i="2"/>
  <c r="DH102" i="2"/>
  <c r="EV102" i="2"/>
  <c r="GF3" i="2"/>
  <c r="FK3" i="2"/>
  <c r="EP3" i="2"/>
  <c r="HA3" i="2"/>
  <c r="FQ102" i="2"/>
  <c r="EC102" i="2"/>
  <c r="EA102" i="2"/>
  <c r="EB102" i="2"/>
  <c r="AU102" i="2"/>
  <c r="DF102" i="2"/>
  <c r="DG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R103" i="2" s="1"/>
  <c r="FN103" i="2"/>
  <c r="FQ103" i="2" s="1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DH103" i="2" l="1"/>
  <c r="HI103" i="2"/>
  <c r="EW103" i="2"/>
  <c r="EV103" i="2"/>
  <c r="FS103" i="2"/>
  <c r="GM103" i="2"/>
  <c r="EX103" i="2"/>
  <c r="GL103" i="2"/>
  <c r="HH103" i="2"/>
  <c r="HG103" i="2"/>
  <c r="GN103" i="2"/>
  <c r="EA103" i="2"/>
  <c r="AW103" i="2"/>
  <c r="EB103" i="2"/>
  <c r="EC103" i="2"/>
  <c r="DF103" i="2"/>
  <c r="DG103" i="2"/>
  <c r="BR103" i="2"/>
  <c r="CM103" i="2"/>
  <c r="BQ103" i="2"/>
  <c r="BP103" i="2"/>
  <c r="AV103" i="2"/>
  <c r="AU103" i="2"/>
  <c r="AU104" i="2" s="1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GL104" i="2" s="1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I104" i="2" s="1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FS104" i="2" s="1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GM104" i="2"/>
  <c r="FR104" i="2"/>
  <c r="FQ104" i="2"/>
  <c r="GN104" i="2"/>
  <c r="HH104" i="2"/>
  <c r="DH104" i="2"/>
  <c r="HG104" i="2"/>
  <c r="EX104" i="2"/>
  <c r="EV104" i="2"/>
  <c r="EB104" i="2"/>
  <c r="EA104" i="2"/>
  <c r="EC104" i="2"/>
  <c r="DG104" i="2"/>
  <c r="DF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HI105" i="2" s="1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W105" i="2" l="1"/>
  <c r="FS105" i="2"/>
  <c r="FQ105" i="2"/>
  <c r="FR105" i="2"/>
  <c r="HG105" i="2"/>
  <c r="EX105" i="2"/>
  <c r="GM105" i="2"/>
  <c r="HH105" i="2"/>
  <c r="GN105" i="2"/>
  <c r="GL105" i="2"/>
  <c r="EV105" i="2"/>
  <c r="EB105" i="2"/>
  <c r="EA105" i="2"/>
  <c r="EC105" i="2"/>
  <c r="DH105" i="2"/>
  <c r="DG105" i="2"/>
  <c r="DF105" i="2"/>
  <c r="CM105" i="2"/>
  <c r="BP105" i="2"/>
  <c r="AV105" i="2"/>
  <c r="AW105" i="2"/>
  <c r="AU105" i="2"/>
  <c r="AU106" i="2" s="1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FS106" i="2" l="1"/>
  <c r="HI106" i="2"/>
  <c r="HG106" i="2"/>
  <c r="GM106" i="2"/>
  <c r="EW106" i="2"/>
  <c r="HH106" i="2"/>
  <c r="GN106" i="2"/>
  <c r="EX106" i="2"/>
  <c r="FQ106" i="2"/>
  <c r="FR106" i="2"/>
  <c r="EV106" i="2"/>
  <c r="GL106" i="2"/>
  <c r="EC106" i="2"/>
  <c r="EA106" i="2"/>
  <c r="EB106" i="2"/>
  <c r="DH106" i="2"/>
  <c r="DF106" i="2"/>
  <c r="DG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HH107" i="2" s="1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FS107" i="2" l="1"/>
  <c r="HI107" i="2"/>
  <c r="HG107" i="2"/>
  <c r="GM107" i="2"/>
  <c r="FQ107" i="2"/>
  <c r="EV107" i="2"/>
  <c r="FR107" i="2"/>
  <c r="GL107" i="2"/>
  <c r="EX107" i="2"/>
  <c r="GN107" i="2"/>
  <c r="EW107" i="2"/>
  <c r="EA107" i="2"/>
  <c r="EB107" i="2"/>
  <c r="EC107" i="2"/>
  <c r="DH107" i="2"/>
  <c r="DG107" i="2"/>
  <c r="DF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HI108" i="2"/>
  <c r="FS108" i="2"/>
  <c r="GM108" i="2"/>
  <c r="GL108" i="2"/>
  <c r="EX108" i="2"/>
  <c r="EV108" i="2"/>
  <c r="FR108" i="2"/>
  <c r="HH108" i="2"/>
  <c r="FQ108" i="2"/>
  <c r="HG108" i="2"/>
  <c r="GN108" i="2"/>
  <c r="EB108" i="2"/>
  <c r="EC108" i="2"/>
  <c r="EA108" i="2"/>
  <c r="DH108" i="2"/>
  <c r="DG108" i="2"/>
  <c r="DF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FQ109" i="2" s="1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HI109" i="2" s="1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FS109" i="2" l="1"/>
  <c r="HG109" i="2"/>
  <c r="EW109" i="2"/>
  <c r="FR109" i="2"/>
  <c r="GM109" i="2"/>
  <c r="EX109" i="2"/>
  <c r="GL109" i="2"/>
  <c r="HH109" i="2"/>
  <c r="EV109" i="2"/>
  <c r="GN109" i="2"/>
  <c r="EC109" i="2"/>
  <c r="EA109" i="2"/>
  <c r="EB109" i="2"/>
  <c r="DH109" i="2"/>
  <c r="DG109" i="2"/>
  <c r="DF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GM110" i="2" s="1"/>
  <c r="ET110" i="2"/>
  <c r="EW110" i="2" s="1"/>
  <c r="FO110" i="2"/>
  <c r="FN110" i="2"/>
  <c r="ES110" i="2"/>
  <c r="EV110" i="2" s="1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FS110" i="2"/>
  <c r="FQ110" i="2"/>
  <c r="EX110" i="2"/>
  <c r="FR110" i="2"/>
  <c r="GL110" i="2"/>
  <c r="HG110" i="2"/>
  <c r="HH110" i="2"/>
  <c r="GN110" i="2"/>
  <c r="EC110" i="2"/>
  <c r="EA110" i="2"/>
  <c r="EB110" i="2"/>
  <c r="DH110" i="2"/>
  <c r="DF110" i="2"/>
  <c r="DG110" i="2"/>
  <c r="AU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S111" i="2" s="1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EW111" i="2" l="1"/>
  <c r="EV111" i="2"/>
  <c r="HI111" i="2"/>
  <c r="HH111" i="2"/>
  <c r="FR111" i="2"/>
  <c r="HG111" i="2"/>
  <c r="FQ111" i="2"/>
  <c r="EX111" i="2"/>
  <c r="GM111" i="2"/>
  <c r="GL111" i="2"/>
  <c r="GN111" i="2"/>
  <c r="EC111" i="2"/>
  <c r="EA111" i="2"/>
  <c r="EB111" i="2"/>
  <c r="AW111" i="2"/>
  <c r="DH111" i="2"/>
  <c r="DG111" i="2"/>
  <c r="DF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V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G112" i="2" l="1"/>
  <c r="FS112" i="2"/>
  <c r="HH112" i="2"/>
  <c r="EW112" i="2"/>
  <c r="GM112" i="2"/>
  <c r="FR112" i="2"/>
  <c r="EX112" i="2"/>
  <c r="FQ112" i="2"/>
  <c r="GL112" i="2"/>
  <c r="GN112" i="2"/>
  <c r="EC112" i="2"/>
  <c r="EA112" i="2"/>
  <c r="EB112" i="2"/>
  <c r="DH112" i="2"/>
  <c r="DG112" i="2"/>
  <c r="DF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GL113" i="2" s="1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GN113" i="2" l="1"/>
  <c r="EV113" i="2"/>
  <c r="FS113" i="2"/>
  <c r="FQ113" i="2"/>
  <c r="FR113" i="2"/>
  <c r="GM113" i="2"/>
  <c r="EX113" i="2"/>
  <c r="HG113" i="2"/>
  <c r="HH113" i="2"/>
  <c r="AW113" i="2"/>
  <c r="EW113" i="2"/>
  <c r="EC113" i="2"/>
  <c r="EA113" i="2"/>
  <c r="EB113" i="2"/>
  <c r="DH113" i="2"/>
  <c r="DG113" i="2"/>
  <c r="DF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FR114" i="2" s="1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I114" i="2" l="1"/>
  <c r="HG114" i="2"/>
  <c r="FS114" i="2"/>
  <c r="GN114" i="2"/>
  <c r="EX114" i="2"/>
  <c r="HH114" i="2"/>
  <c r="FQ114" i="2"/>
  <c r="GM114" i="2"/>
  <c r="GL114" i="2"/>
  <c r="EC114" i="2"/>
  <c r="AU114" i="2"/>
  <c r="EA114" i="2"/>
  <c r="EB114" i="2"/>
  <c r="DH114" i="2"/>
  <c r="DG114" i="2"/>
  <c r="DF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FR115" i="2" s="1"/>
  <c r="ES115" i="2"/>
  <c r="EV115" i="2" s="1"/>
  <c r="ET115" i="2"/>
  <c r="DY115" i="2"/>
  <c r="GJ115" i="2"/>
  <c r="GM115" i="2" s="1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FQ115" i="2"/>
  <c r="HI115" i="2"/>
  <c r="GN115" i="2"/>
  <c r="EW115" i="2"/>
  <c r="EX115" i="2"/>
  <c r="GL115" i="2"/>
  <c r="HH115" i="2"/>
  <c r="HG115" i="2"/>
  <c r="EC115" i="2"/>
  <c r="EA115" i="2"/>
  <c r="EB115" i="2"/>
  <c r="AW115" i="2"/>
  <c r="DH115" i="2"/>
  <c r="DG115" i="2"/>
  <c r="DF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HI116" i="2" s="1"/>
  <c r="GR116" i="2"/>
  <c r="GK116" i="2"/>
  <c r="HB116" i="2"/>
  <c r="GS116" i="2"/>
  <c r="FP116" i="2"/>
  <c r="GG116" i="2"/>
  <c r="FX116" i="2"/>
  <c r="HF116" i="2"/>
  <c r="GH116" i="2"/>
  <c r="GN116" i="2" s="1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FS116" i="2" l="1"/>
  <c r="HH116" i="2"/>
  <c r="FR116" i="2"/>
  <c r="GL116" i="2"/>
  <c r="EW116" i="2"/>
  <c r="HG116" i="2"/>
  <c r="EX116" i="2"/>
  <c r="EV116" i="2"/>
  <c r="GM116" i="2"/>
  <c r="FQ116" i="2"/>
  <c r="EC116" i="2"/>
  <c r="EA116" i="2"/>
  <c r="EB116" i="2"/>
  <c r="DH116" i="2"/>
  <c r="DG116" i="2"/>
  <c r="DF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W117" i="2" s="1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GN117" i="2" s="1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FS117" i="2" l="1"/>
  <c r="FQ117" i="2"/>
  <c r="EX117" i="2"/>
  <c r="FR117" i="2"/>
  <c r="GL117" i="2"/>
  <c r="HG117" i="2"/>
  <c r="GM117" i="2"/>
  <c r="HH117" i="2"/>
  <c r="EV117" i="2"/>
  <c r="EC117" i="2"/>
  <c r="EB117" i="2"/>
  <c r="EA117" i="2"/>
  <c r="DH117" i="2"/>
  <c r="DF117" i="2"/>
  <c r="DG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EW118" i="2" s="1"/>
  <c r="FO118" i="2"/>
  <c r="FN118" i="2"/>
  <c r="ES118" i="2"/>
  <c r="EV118" i="2" s="1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GN118" i="2" s="1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G118" i="2" l="1"/>
  <c r="FS118" i="2"/>
  <c r="HI118" i="2"/>
  <c r="FR118" i="2"/>
  <c r="GM118" i="2"/>
  <c r="EX118" i="2"/>
  <c r="FQ118" i="2"/>
  <c r="GL118" i="2"/>
  <c r="HH118" i="2"/>
  <c r="EC118" i="2"/>
  <c r="EB118" i="2"/>
  <c r="EA118" i="2"/>
  <c r="DH118" i="2"/>
  <c r="DF118" i="2"/>
  <c r="DG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HH119" i="2" s="1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GN119" i="2" s="1"/>
  <c r="FL119" i="2"/>
  <c r="FC119" i="2"/>
  <c r="FW119" i="2"/>
  <c r="FM119" i="2"/>
  <c r="FS119" i="2" s="1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Q119" i="2" l="1"/>
  <c r="GM119" i="2"/>
  <c r="GL119" i="2"/>
  <c r="HI119" i="2"/>
  <c r="HG119" i="2"/>
  <c r="EX119" i="2"/>
  <c r="FR119" i="2"/>
  <c r="EW119" i="2"/>
  <c r="EV119" i="2"/>
  <c r="DH119" i="2"/>
  <c r="EC119" i="2"/>
  <c r="EA119" i="2"/>
  <c r="EB119" i="2"/>
  <c r="DG119" i="2"/>
  <c r="DF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M120" i="2" s="1"/>
  <c r="GI120" i="2"/>
  <c r="GL120" i="2" s="1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FS120" i="2" s="1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GN120" i="2" l="1"/>
  <c r="EW120" i="2"/>
  <c r="AU120" i="2"/>
  <c r="FQ120" i="2"/>
  <c r="HI120" i="2"/>
  <c r="HG120" i="2"/>
  <c r="EV120" i="2"/>
  <c r="HH120" i="2"/>
  <c r="EX120" i="2"/>
  <c r="EC120" i="2"/>
  <c r="EB120" i="2"/>
  <c r="EA120" i="2"/>
  <c r="DH120" i="2"/>
  <c r="DG120" i="2"/>
  <c r="DF120" i="2"/>
  <c r="CM120" i="2"/>
  <c r="AV120" i="2"/>
  <c r="AW120" i="2"/>
  <c r="AW121" i="2" s="1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GL121" i="2" s="1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GN121" i="2" s="1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S121" i="2" l="1"/>
  <c r="FQ121" i="2"/>
  <c r="GM121" i="2"/>
  <c r="EX121" i="2"/>
  <c r="HG121" i="2"/>
  <c r="FR121" i="2"/>
  <c r="EW121" i="2"/>
  <c r="EV121" i="2"/>
  <c r="HH121" i="2"/>
  <c r="EC121" i="2"/>
  <c r="EA121" i="2"/>
  <c r="EB121" i="2"/>
  <c r="DH121" i="2"/>
  <c r="DF121" i="2"/>
  <c r="DG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L122" i="2" s="1"/>
  <c r="GJ122" i="2"/>
  <c r="ET122" i="2"/>
  <c r="FN122" i="2"/>
  <c r="FO122" i="2"/>
  <c r="DY122" i="2"/>
  <c r="DD122" i="2"/>
  <c r="BN122" i="2"/>
  <c r="ES122" i="2"/>
  <c r="EV122" i="2" s="1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GN122" i="2" s="1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G122" i="2" l="1"/>
  <c r="FR122" i="2"/>
  <c r="FQ122" i="2"/>
  <c r="EW122" i="2"/>
  <c r="EX122" i="2"/>
  <c r="GM122" i="2"/>
  <c r="AU122" i="2"/>
  <c r="HH122" i="2"/>
  <c r="EC122" i="2"/>
  <c r="EB122" i="2"/>
  <c r="EA122" i="2"/>
  <c r="DH122" i="2"/>
  <c r="DG122" i="2"/>
  <c r="DF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FR123" i="2" s="1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FS123" i="2" s="1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I123" i="2" l="1"/>
  <c r="EW123" i="2"/>
  <c r="GN123" i="2"/>
  <c r="EV123" i="2"/>
  <c r="GL123" i="2"/>
  <c r="GM123" i="2"/>
  <c r="EX123" i="2"/>
  <c r="HH123" i="2"/>
  <c r="FQ123" i="2"/>
  <c r="HG123" i="2"/>
  <c r="EC123" i="2"/>
  <c r="EA123" i="2"/>
  <c r="EB123" i="2"/>
  <c r="DH123" i="2"/>
  <c r="DG123" i="2"/>
  <c r="DF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FQ124" i="2" s="1"/>
  <c r="DY124" i="2"/>
  <c r="DC124" i="2"/>
  <c r="DD124" i="2"/>
  <c r="CH124" i="2"/>
  <c r="BN124" i="2"/>
  <c r="AS124" i="2"/>
  <c r="AR124" i="2"/>
  <c r="ET124" i="2"/>
  <c r="W124" i="2"/>
  <c r="X124" i="2"/>
  <c r="HC124" i="2"/>
  <c r="HI124" i="2" s="1"/>
  <c r="GR124" i="2"/>
  <c r="HF124" i="2"/>
  <c r="GK124" i="2"/>
  <c r="HB124" i="2"/>
  <c r="GS124" i="2"/>
  <c r="FP124" i="2"/>
  <c r="GG124" i="2"/>
  <c r="FX124" i="2"/>
  <c r="GH124" i="2"/>
  <c r="GN124" i="2" s="1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G124" i="2"/>
  <c r="HH124" i="2"/>
  <c r="EX124" i="2"/>
  <c r="GM124" i="2"/>
  <c r="EV124" i="2"/>
  <c r="GL124" i="2"/>
  <c r="FR124" i="2"/>
  <c r="EA124" i="2"/>
  <c r="EC124" i="2"/>
  <c r="EB124" i="2"/>
  <c r="DH124" i="2"/>
  <c r="DF124" i="2"/>
  <c r="DG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GN125" i="2" s="1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GM125" i="2" l="1"/>
  <c r="HH125" i="2"/>
  <c r="GL125" i="2"/>
  <c r="FS125" i="2"/>
  <c r="EV125" i="2"/>
  <c r="EW125" i="2"/>
  <c r="FQ125" i="2"/>
  <c r="EX125" i="2"/>
  <c r="FR125" i="2"/>
  <c r="HG125" i="2"/>
  <c r="EC125" i="2"/>
  <c r="EB125" i="2"/>
  <c r="EA125" i="2"/>
  <c r="DH125" i="2"/>
  <c r="DG125" i="2"/>
  <c r="DF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HH126" i="2" s="1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GN126" i="2" s="1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HG126" i="2"/>
  <c r="EV126" i="2"/>
  <c r="FQ126" i="2"/>
  <c r="FR126" i="2"/>
  <c r="EX126" i="2"/>
  <c r="EW126" i="2"/>
  <c r="GM126" i="2"/>
  <c r="GL126" i="2"/>
  <c r="EB126" i="2"/>
  <c r="EA126" i="2"/>
  <c r="EC126" i="2"/>
  <c r="DH126" i="2"/>
  <c r="DG126" i="2"/>
  <c r="DF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FQ127" i="2" s="1"/>
  <c r="DY127" i="2"/>
  <c r="DC127" i="2"/>
  <c r="DX127" i="2"/>
  <c r="DD127" i="2"/>
  <c r="BN127" i="2"/>
  <c r="FO127" i="2"/>
  <c r="FR127" i="2" s="1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GN127" i="2" s="1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W127" i="2"/>
  <c r="EX127" i="2"/>
  <c r="GL127" i="2"/>
  <c r="HH127" i="2"/>
  <c r="HG127" i="2"/>
  <c r="GM127" i="2"/>
  <c r="EC127" i="2"/>
  <c r="EA127" i="2"/>
  <c r="EB127" i="2"/>
  <c r="DH127" i="2"/>
  <c r="DG127" i="2"/>
  <c r="DF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EV128" i="2" s="1"/>
  <c r="DX128" i="2"/>
  <c r="FN128" i="2"/>
  <c r="ET128" i="2"/>
  <c r="EW128" i="2" s="1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HI128" i="2" s="1"/>
  <c r="GR128" i="2"/>
  <c r="GK128" i="2"/>
  <c r="HF128" i="2"/>
  <c r="HB128" i="2"/>
  <c r="GS128" i="2"/>
  <c r="FP128" i="2"/>
  <c r="GG128" i="2"/>
  <c r="FX128" i="2"/>
  <c r="GH128" i="2"/>
  <c r="GN128" i="2" s="1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HH128" i="2"/>
  <c r="HG128" i="2"/>
  <c r="FQ128" i="2"/>
  <c r="EX128" i="2"/>
  <c r="GL128" i="2"/>
  <c r="GM128" i="2"/>
  <c r="FR128" i="2"/>
  <c r="DH128" i="2"/>
  <c r="EB128" i="2"/>
  <c r="EA128" i="2"/>
  <c r="EC128" i="2"/>
  <c r="DF128" i="2"/>
  <c r="DG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GL129" i="2" s="1"/>
  <c r="ET129" i="2"/>
  <c r="EW129" i="2" s="1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FS129" i="2" s="1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FQ129" i="2"/>
  <c r="GN129" i="2"/>
  <c r="HG129" i="2"/>
  <c r="HH129" i="2"/>
  <c r="EX129" i="2"/>
  <c r="FR129" i="2"/>
  <c r="GM129" i="2"/>
  <c r="EC129" i="2"/>
  <c r="DH129" i="2"/>
  <c r="EB129" i="2"/>
  <c r="EA129" i="2"/>
  <c r="DF129" i="2"/>
  <c r="DG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EV130" i="2" s="1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GN130" i="2" l="1"/>
  <c r="FS130" i="2"/>
  <c r="FQ130" i="2"/>
  <c r="GM130" i="2"/>
  <c r="GL130" i="2"/>
  <c r="HH130" i="2"/>
  <c r="FR130" i="2"/>
  <c r="HG130" i="2"/>
  <c r="EX130" i="2"/>
  <c r="EB130" i="2"/>
  <c r="EA130" i="2"/>
  <c r="DH130" i="2"/>
  <c r="EC130" i="2"/>
  <c r="DF130" i="2"/>
  <c r="DG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HG131" i="2" s="1"/>
  <c r="GI131" i="2"/>
  <c r="GL131" i="2" s="1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FS131" i="2" s="1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GN131" i="2" l="1"/>
  <c r="GM131" i="2"/>
  <c r="HI131" i="2"/>
  <c r="HH131" i="2"/>
  <c r="FR131" i="2"/>
  <c r="FQ131" i="2"/>
  <c r="EW131" i="2"/>
  <c r="EX131" i="2"/>
  <c r="EV131" i="2"/>
  <c r="EB131" i="2"/>
  <c r="EA131" i="2"/>
  <c r="DH131" i="2"/>
  <c r="EC131" i="2"/>
  <c r="DF131" i="2"/>
  <c r="DG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HH132" i="2" s="1"/>
  <c r="FO132" i="2"/>
  <c r="GJ132" i="2"/>
  <c r="GM132" i="2" s="1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HI132" i="2" s="1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GN132" i="2" l="1"/>
  <c r="HG132" i="2"/>
  <c r="GL132" i="2"/>
  <c r="EX132" i="2"/>
  <c r="EV132" i="2"/>
  <c r="FR132" i="2"/>
  <c r="FQ132" i="2"/>
  <c r="EW132" i="2"/>
  <c r="EC132" i="2"/>
  <c r="EB132" i="2"/>
  <c r="EA132" i="2"/>
  <c r="DH132" i="2"/>
  <c r="DF132" i="2"/>
  <c r="DG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HI133" i="2" s="1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GN133" i="2" s="1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FQ133" i="2" l="1"/>
  <c r="FS133" i="2"/>
  <c r="GL133" i="2"/>
  <c r="HH133" i="2"/>
  <c r="HG133" i="2"/>
  <c r="GM133" i="2"/>
  <c r="EX133" i="2"/>
  <c r="FR133" i="2"/>
  <c r="DH133" i="2"/>
  <c r="EC133" i="2"/>
  <c r="EA133" i="2"/>
  <c r="EB133" i="2"/>
  <c r="DF133" i="2"/>
  <c r="DG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HH134" i="2" s="1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GN134" i="2" s="1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FS134" i="2"/>
  <c r="HI134" i="2"/>
  <c r="HG134" i="2"/>
  <c r="FQ134" i="2"/>
  <c r="FR134" i="2"/>
  <c r="EW134" i="2"/>
  <c r="EX134" i="2"/>
  <c r="GM134" i="2"/>
  <c r="GL134" i="2"/>
  <c r="EC134" i="2"/>
  <c r="EB134" i="2"/>
  <c r="EA134" i="2"/>
  <c r="DH134" i="2"/>
  <c r="DG134" i="2"/>
  <c r="DF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GN135" i="2" s="1"/>
  <c r="FL135" i="2"/>
  <c r="FC135" i="2"/>
  <c r="FW135" i="2"/>
  <c r="FM135" i="2"/>
  <c r="FS135" i="2" s="1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HH135" i="2"/>
  <c r="FQ135" i="2"/>
  <c r="EX135" i="2"/>
  <c r="FR135" i="2"/>
  <c r="EW135" i="2"/>
  <c r="HG135" i="2"/>
  <c r="EV135" i="2"/>
  <c r="GM135" i="2"/>
  <c r="GL135" i="2"/>
  <c r="EC135" i="2"/>
  <c r="EA135" i="2"/>
  <c r="EB135" i="2"/>
  <c r="DH135" i="2"/>
  <c r="DG135" i="2"/>
  <c r="DF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GN136" i="2" l="1"/>
  <c r="HI136" i="2"/>
  <c r="EV136" i="2"/>
  <c r="FR136" i="2"/>
  <c r="FQ136" i="2"/>
  <c r="EX136" i="2"/>
  <c r="GL136" i="2"/>
  <c r="HH136" i="2"/>
  <c r="HG136" i="2"/>
  <c r="GM136" i="2"/>
  <c r="EW136" i="2"/>
  <c r="EC136" i="2"/>
  <c r="EB136" i="2"/>
  <c r="EA136" i="2"/>
  <c r="DH136" i="2"/>
  <c r="DF136" i="2"/>
  <c r="DG136" i="2"/>
  <c r="AU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HI137" i="2" s="1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GN137" i="2" l="1"/>
  <c r="FQ137" i="2"/>
  <c r="FS137" i="2"/>
  <c r="FR137" i="2"/>
  <c r="GL137" i="2"/>
  <c r="EX137" i="2"/>
  <c r="HG137" i="2"/>
  <c r="GM137" i="2"/>
  <c r="HH137" i="2"/>
  <c r="EW137" i="2"/>
  <c r="EV137" i="2"/>
  <c r="EC137" i="2"/>
  <c r="EA137" i="2"/>
  <c r="EB137" i="2"/>
  <c r="DH137" i="2"/>
  <c r="DF137" i="2"/>
  <c r="DG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EW138" i="2" s="1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GN138" i="2" s="1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GM138" i="2" l="1"/>
  <c r="FS138" i="2"/>
  <c r="HI138" i="2"/>
  <c r="EV138" i="2"/>
  <c r="FR138" i="2"/>
  <c r="GL138" i="2"/>
  <c r="EX138" i="2"/>
  <c r="HH138" i="2"/>
  <c r="FQ138" i="2"/>
  <c r="HG138" i="2"/>
  <c r="EC138" i="2"/>
  <c r="EB138" i="2"/>
  <c r="EA138" i="2"/>
  <c r="DH138" i="2"/>
  <c r="DG138" i="2"/>
  <c r="DF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GL139" i="2" s="1"/>
  <c r="FO139" i="2"/>
  <c r="ES139" i="2"/>
  <c r="GJ139" i="2"/>
  <c r="GM139" i="2" s="1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I139" i="2" s="1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Q139" i="2" l="1"/>
  <c r="FS139" i="2"/>
  <c r="HH139" i="2"/>
  <c r="GN139" i="2"/>
  <c r="HG139" i="2"/>
  <c r="EX139" i="2"/>
  <c r="EV139" i="2"/>
  <c r="FR139" i="2"/>
  <c r="EA139" i="2"/>
  <c r="EB139" i="2"/>
  <c r="EC139" i="2"/>
  <c r="DH139" i="2"/>
  <c r="DG139" i="2"/>
  <c r="DF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FQ140" i="2" s="1"/>
  <c r="DY140" i="2"/>
  <c r="DC140" i="2"/>
  <c r="ET140" i="2"/>
  <c r="DD140" i="2"/>
  <c r="CH140" i="2"/>
  <c r="BN140" i="2"/>
  <c r="AR140" i="2"/>
  <c r="AS140" i="2"/>
  <c r="W140" i="2"/>
  <c r="X140" i="2"/>
  <c r="HC140" i="2"/>
  <c r="HI140" i="2" s="1"/>
  <c r="GR140" i="2"/>
  <c r="HF140" i="2"/>
  <c r="GK140" i="2"/>
  <c r="HB140" i="2"/>
  <c r="GS140" i="2"/>
  <c r="FP140" i="2"/>
  <c r="GG140" i="2"/>
  <c r="FX140" i="2"/>
  <c r="GH140" i="2"/>
  <c r="GN140" i="2" s="1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GM140" i="2" l="1"/>
  <c r="HG140" i="2"/>
  <c r="GL140" i="2"/>
  <c r="EX140" i="2"/>
  <c r="EW140" i="2"/>
  <c r="EV140" i="2"/>
  <c r="FR140" i="2"/>
  <c r="EC140" i="2"/>
  <c r="EA140" i="2"/>
  <c r="EB140" i="2"/>
  <c r="DH140" i="2"/>
  <c r="DG140" i="2"/>
  <c r="DF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GM141" i="2" s="1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GN141" i="2" l="1"/>
  <c r="FS141" i="2"/>
  <c r="HI141" i="2"/>
  <c r="GL141" i="2"/>
  <c r="FQ141" i="2"/>
  <c r="EV141" i="2"/>
  <c r="EW141" i="2"/>
  <c r="FR141" i="2"/>
  <c r="EX141" i="2"/>
  <c r="HH141" i="2"/>
  <c r="EC141" i="2"/>
  <c r="EB141" i="2"/>
  <c r="EA141" i="2"/>
  <c r="DH141" i="2"/>
  <c r="DF141" i="2"/>
  <c r="DG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EV142" i="2" s="1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GN142" i="2" s="1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GM142" i="2" l="1"/>
  <c r="HI142" i="2"/>
  <c r="GL142" i="2"/>
  <c r="FS142" i="2"/>
  <c r="FR142" i="2"/>
  <c r="FQ142" i="2"/>
  <c r="HH142" i="2"/>
  <c r="HG142" i="2"/>
  <c r="EX142" i="2"/>
  <c r="EC142" i="2"/>
  <c r="EA142" i="2"/>
  <c r="EB142" i="2"/>
  <c r="DH142" i="2"/>
  <c r="DG142" i="2"/>
  <c r="DF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HG143" i="2" s="1"/>
  <c r="GJ143" i="2"/>
  <c r="GI143" i="2"/>
  <c r="ES143" i="2"/>
  <c r="ET143" i="2"/>
  <c r="EW143" i="2" s="1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GN143" i="2" s="1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R143" i="2" l="1"/>
  <c r="HI143" i="2"/>
  <c r="HH143" i="2"/>
  <c r="GM143" i="2"/>
  <c r="EX143" i="2"/>
  <c r="FQ143" i="2"/>
  <c r="EV143" i="2"/>
  <c r="GL143" i="2"/>
  <c r="EC143" i="2"/>
  <c r="EB143" i="2"/>
  <c r="EA143" i="2"/>
  <c r="DH143" i="2"/>
  <c r="DG143" i="2"/>
  <c r="DF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FR144" i="2" s="1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HI144" i="2" s="1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GN144" i="2" l="1"/>
  <c r="FS144" i="2"/>
  <c r="GL144" i="2"/>
  <c r="GM144" i="2"/>
  <c r="EW144" i="2"/>
  <c r="HG144" i="2"/>
  <c r="FQ144" i="2"/>
  <c r="HH144" i="2"/>
  <c r="EV144" i="2"/>
  <c r="EX144" i="2"/>
  <c r="EC144" i="2"/>
  <c r="EB144" i="2"/>
  <c r="EA144" i="2"/>
  <c r="DH144" i="2"/>
  <c r="DG144" i="2"/>
  <c r="DF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FS145" i="2" s="1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GN145" i="2" s="1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I145" i="2"/>
  <c r="HG145" i="2"/>
  <c r="FQ145" i="2"/>
  <c r="GM145" i="2"/>
  <c r="EW145" i="2"/>
  <c r="EV145" i="2"/>
  <c r="GL145" i="2"/>
  <c r="EX145" i="2"/>
  <c r="EC145" i="2"/>
  <c r="EA145" i="2"/>
  <c r="EB145" i="2"/>
  <c r="DH145" i="2"/>
  <c r="DG145" i="2"/>
  <c r="DF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M146" i="2" s="1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GN146" i="2" s="1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W146" i="2"/>
  <c r="HI146" i="2"/>
  <c r="GL146" i="2"/>
  <c r="HG146" i="2"/>
  <c r="EV146" i="2"/>
  <c r="HH146" i="2"/>
  <c r="FQ146" i="2"/>
  <c r="EX146" i="2"/>
  <c r="EC146" i="2"/>
  <c r="EB146" i="2"/>
  <c r="EA146" i="2"/>
  <c r="DH146" i="2"/>
  <c r="DF146" i="2"/>
  <c r="DG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FR147" i="2" s="1"/>
  <c r="ES147" i="2"/>
  <c r="EV147" i="2" s="1"/>
  <c r="ET147" i="2"/>
  <c r="DY147" i="2"/>
  <c r="DX147" i="2"/>
  <c r="DC147" i="2"/>
  <c r="DD147" i="2"/>
  <c r="BN147" i="2"/>
  <c r="FN147" i="2"/>
  <c r="FQ147" i="2" s="1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GN147" i="2" s="1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W147" i="2"/>
  <c r="FS147" i="2"/>
  <c r="GL147" i="2"/>
  <c r="HG147" i="2"/>
  <c r="GM147" i="2"/>
  <c r="HH147" i="2"/>
  <c r="EX147" i="2"/>
  <c r="EB147" i="2"/>
  <c r="EC147" i="2"/>
  <c r="EA147" i="2"/>
  <c r="DH147" i="2"/>
  <c r="DG147" i="2"/>
  <c r="DF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G148" i="2" l="1"/>
  <c r="EV148" i="2"/>
  <c r="FS148" i="2"/>
  <c r="HI148" i="2"/>
  <c r="GN148" i="2"/>
  <c r="GM148" i="2"/>
  <c r="GL148" i="2"/>
  <c r="EW148" i="2"/>
  <c r="FR148" i="2"/>
  <c r="EX148" i="2"/>
  <c r="FQ148" i="2"/>
  <c r="HH148" i="2"/>
  <c r="EC148" i="2"/>
  <c r="EB148" i="2"/>
  <c r="EA148" i="2"/>
  <c r="DH148" i="2"/>
  <c r="DG148" i="2"/>
  <c r="DF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GL149" i="2" s="1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GN149" i="2" s="1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I149" i="2" l="1"/>
  <c r="FQ149" i="2"/>
  <c r="FS149" i="2"/>
  <c r="FR149" i="2"/>
  <c r="HH149" i="2"/>
  <c r="EX149" i="2"/>
  <c r="EV149" i="2"/>
  <c r="EW149" i="2"/>
  <c r="HG149" i="2"/>
  <c r="GM149" i="2"/>
  <c r="EC149" i="2"/>
  <c r="EB149" i="2"/>
  <c r="EA149" i="2"/>
  <c r="DH149" i="2"/>
  <c r="DG149" i="2"/>
  <c r="DF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GN150" i="2" s="1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G150" i="2"/>
  <c r="HI150" i="2"/>
  <c r="FR150" i="2"/>
  <c r="GL150" i="2"/>
  <c r="FQ150" i="2"/>
  <c r="EW150" i="2"/>
  <c r="EX150" i="2"/>
  <c r="EV150" i="2"/>
  <c r="GM150" i="2"/>
  <c r="EC150" i="2"/>
  <c r="EA150" i="2"/>
  <c r="EB150" i="2"/>
  <c r="DH150" i="2"/>
  <c r="DG150" i="2"/>
  <c r="DF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FR151" i="2" s="1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GN151" i="2" s="1"/>
  <c r="FL151" i="2"/>
  <c r="FC151" i="2"/>
  <c r="FW151" i="2"/>
  <c r="FM151" i="2"/>
  <c r="FS151" i="2" s="1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Q18" i="6"/>
  <c r="Q20" i="6" s="1"/>
  <c r="EW151" i="2" l="1"/>
  <c r="HI151" i="2"/>
  <c r="FQ151" i="2"/>
  <c r="GL151" i="2"/>
  <c r="HH151" i="2"/>
  <c r="EX151" i="2"/>
  <c r="EV151" i="2"/>
  <c r="HG151" i="2"/>
  <c r="GM151" i="2"/>
  <c r="EC151" i="2"/>
  <c r="EA151" i="2"/>
  <c r="EB151" i="2"/>
  <c r="AW151" i="2"/>
  <c r="DH151" i="2"/>
  <c r="DG151" i="2"/>
  <c r="DF151" i="2"/>
  <c r="BQ151" i="2"/>
  <c r="BR151" i="2"/>
  <c r="CM151" i="2"/>
  <c r="AV151" i="2"/>
  <c r="AU151" i="2"/>
  <c r="BP151" i="2"/>
  <c r="CK151" i="2"/>
  <c r="CL151" i="2"/>
  <c r="J34" i="6"/>
  <c r="J35" i="6" s="1"/>
  <c r="J3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M152" i="2" s="1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FS152" i="2" s="1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HG152" i="2"/>
  <c r="GN152" i="2"/>
  <c r="FR152" i="2"/>
  <c r="HH152" i="2"/>
  <c r="GL152" i="2"/>
  <c r="EX152" i="2"/>
  <c r="FQ152" i="2"/>
  <c r="EW152" i="2"/>
  <c r="EV152" i="2"/>
  <c r="EC152" i="2"/>
  <c r="EB152" i="2"/>
  <c r="EA152" i="2"/>
  <c r="DH152" i="2"/>
  <c r="DG152" i="2"/>
  <c r="DF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H153" i="2" s="1"/>
  <c r="HD153" i="2"/>
  <c r="HG153" i="2" s="1"/>
  <c r="GJ153" i="2"/>
  <c r="FN153" i="2"/>
  <c r="FO153" i="2"/>
  <c r="ES153" i="2"/>
  <c r="DX153" i="2"/>
  <c r="CH153" i="2"/>
  <c r="CI153" i="2"/>
  <c r="BM153" i="2"/>
  <c r="GI153" i="2"/>
  <c r="GL153" i="2" s="1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S153" i="2" s="1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GN153" i="2"/>
  <c r="EX153" i="2"/>
  <c r="EV153" i="2"/>
  <c r="GM153" i="2"/>
  <c r="EW153" i="2"/>
  <c r="FR153" i="2"/>
  <c r="FQ153" i="2"/>
  <c r="EA153" i="2"/>
  <c r="EB153" i="2"/>
  <c r="EC153" i="2"/>
  <c r="DH153" i="2"/>
  <c r="DG153" i="2"/>
  <c r="DF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FS154" i="2" s="1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A154" i="2" s="1"/>
  <c r="AB153" i="2"/>
  <c r="AX150" i="2"/>
  <c r="Z153" i="2"/>
  <c r="Z154" i="2" s="1"/>
  <c r="AC152" i="2"/>
  <c r="GN154" i="2" l="1"/>
  <c r="AB154" i="2"/>
  <c r="AC154" i="2" s="1"/>
  <c r="HI154" i="2"/>
  <c r="EV154" i="2"/>
  <c r="FQ154" i="2"/>
  <c r="EX154" i="2"/>
  <c r="GM154" i="2"/>
  <c r="FR154" i="2"/>
  <c r="EW154" i="2"/>
  <c r="GL154" i="2"/>
  <c r="EB154" i="2"/>
  <c r="EA154" i="2"/>
  <c r="EC154" i="2"/>
  <c r="DH154" i="2"/>
  <c r="DG154" i="2"/>
  <c r="DF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FQ155" i="2" s="1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GL155" i="2" s="1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GO154" i="2"/>
  <c r="FT154" i="2"/>
  <c r="D194" i="2"/>
  <c r="G194" i="2" s="1"/>
  <c r="DI153" i="2"/>
  <c r="FT153" i="2"/>
  <c r="CN153" i="2"/>
  <c r="HJ153" i="2"/>
  <c r="GO153" i="2"/>
  <c r="EY153" i="2"/>
  <c r="ED153" i="2"/>
  <c r="AC153" i="2"/>
  <c r="AX151" i="2"/>
  <c r="HI155" i="2" l="1"/>
  <c r="FS155" i="2"/>
  <c r="Z155" i="2"/>
  <c r="GN155" i="2"/>
  <c r="FR155" i="2"/>
  <c r="EX155" i="2"/>
  <c r="HH155" i="2"/>
  <c r="EV155" i="2"/>
  <c r="GM155" i="2"/>
  <c r="HG155" i="2"/>
  <c r="ED154" i="2"/>
  <c r="AW155" i="2"/>
  <c r="CN154" i="2"/>
  <c r="DI154" i="2"/>
  <c r="EC155" i="2"/>
  <c r="EB155" i="2"/>
  <c r="EA155" i="2"/>
  <c r="DH155" i="2"/>
  <c r="DG155" i="2"/>
  <c r="DF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GN156" i="2" s="1"/>
  <c r="FO156" i="2"/>
  <c r="HC156" i="2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W156" i="2" s="1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GO155" i="2"/>
  <c r="AX152" i="2"/>
  <c r="HI156" i="2" l="1"/>
  <c r="FS156" i="2"/>
  <c r="HG156" i="2"/>
  <c r="EX156" i="2"/>
  <c r="FQ156" i="2"/>
  <c r="GL156" i="2"/>
  <c r="GM156" i="2"/>
  <c r="EV156" i="2"/>
  <c r="FR156" i="2"/>
  <c r="EC156" i="2"/>
  <c r="ED155" i="2"/>
  <c r="EA156" i="2"/>
  <c r="EB156" i="2"/>
  <c r="DH156" i="2"/>
  <c r="DI155" i="2"/>
  <c r="DF156" i="2"/>
  <c r="DG156" i="2"/>
  <c r="CN155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FS157" i="2" s="1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I157" i="2" l="1"/>
  <c r="GN157" i="2"/>
  <c r="FQ157" i="2"/>
  <c r="GM157" i="2"/>
  <c r="EX157" i="2"/>
  <c r="GL157" i="2"/>
  <c r="EW157" i="2"/>
  <c r="EV157" i="2"/>
  <c r="FR157" i="2"/>
  <c r="CN156" i="2"/>
  <c r="EC157" i="2"/>
  <c r="EB157" i="2"/>
  <c r="EA157" i="2"/>
  <c r="DH157" i="2"/>
  <c r="DF157" i="2"/>
  <c r="DG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HI158" i="2" s="1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FQ158" i="2" l="1"/>
  <c r="GN158" i="2"/>
  <c r="GM158" i="2"/>
  <c r="EX158" i="2"/>
  <c r="FS158" i="2"/>
  <c r="FR158" i="2"/>
  <c r="GL158" i="2"/>
  <c r="EV158" i="2"/>
  <c r="ED157" i="2"/>
  <c r="EC158" i="2"/>
  <c r="EB158" i="2"/>
  <c r="EA158" i="2"/>
  <c r="DH158" i="2"/>
  <c r="DI157" i="2"/>
  <c r="DG158" i="2"/>
  <c r="DF158" i="2"/>
  <c r="AU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GN159" i="2" s="1"/>
  <c r="FO159" i="2"/>
  <c r="FR159" i="2" s="1"/>
  <c r="HC159" i="2"/>
  <c r="HI159" i="2" s="1"/>
  <c r="GI159" i="2"/>
  <c r="FP159" i="2"/>
  <c r="EG159" i="2"/>
  <c r="ER159" i="2"/>
  <c r="FL159" i="2"/>
  <c r="ES159" i="2"/>
  <c r="EV159" i="2" s="1"/>
  <c r="ET159" i="2"/>
  <c r="EW159" i="2" s="1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Q159" i="2" l="1"/>
  <c r="HG159" i="2"/>
  <c r="FS159" i="2"/>
  <c r="HH159" i="2"/>
  <c r="EX159" i="2"/>
  <c r="GL159" i="2"/>
  <c r="GM159" i="2"/>
  <c r="DI158" i="2"/>
  <c r="EA159" i="2"/>
  <c r="ED158" i="2"/>
  <c r="EC159" i="2"/>
  <c r="EB159" i="2"/>
  <c r="DH159" i="2"/>
  <c r="DG159" i="2"/>
  <c r="DF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GN160" i="2" s="1"/>
  <c r="FO160" i="2"/>
  <c r="HC160" i="2"/>
  <c r="HI160" i="2" s="1"/>
  <c r="GI160" i="2"/>
  <c r="FP160" i="2"/>
  <c r="HD160" i="2"/>
  <c r="GJ160" i="2"/>
  <c r="EH160" i="2"/>
  <c r="ET160" i="2"/>
  <c r="DL160" i="2"/>
  <c r="FM160" i="2"/>
  <c r="FQ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/>
  <c r="EV160" i="2" l="1"/>
  <c r="EW160" i="2"/>
  <c r="FR160" i="2"/>
  <c r="EX160" i="2"/>
  <c r="FS160" i="2"/>
  <c r="GM160" i="2"/>
  <c r="HG160" i="2"/>
  <c r="HH160" i="2"/>
  <c r="GL160" i="2"/>
  <c r="ED159" i="2"/>
  <c r="EB160" i="2"/>
  <c r="DI159" i="2"/>
  <c r="DH160" i="2"/>
  <c r="EA160" i="2"/>
  <c r="EC160" i="2"/>
  <c r="DG160" i="2"/>
  <c r="DF160" i="2"/>
  <c r="AU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GN161" i="2" s="1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EW161" i="2" s="1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HG161" i="2" l="1"/>
  <c r="HI161" i="2"/>
  <c r="HH161" i="2"/>
  <c r="GM161" i="2"/>
  <c r="AW161" i="2"/>
  <c r="FS161" i="2"/>
  <c r="GL161" i="2"/>
  <c r="EX161" i="2"/>
  <c r="FQ161" i="2"/>
  <c r="EV161" i="2"/>
  <c r="FR161" i="2"/>
  <c r="EA161" i="2"/>
  <c r="ED160" i="2"/>
  <c r="EC161" i="2"/>
  <c r="EB161" i="2"/>
  <c r="DH161" i="2"/>
  <c r="DF161" i="2"/>
  <c r="DG161" i="2"/>
  <c r="CN160" i="2"/>
  <c r="CM161" i="2"/>
  <c r="AV161" i="2"/>
  <c r="AU161" i="2"/>
  <c r="AU162" i="2" s="1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/>
  <c r="HG162" i="2" l="1"/>
  <c r="HH162" i="2"/>
  <c r="GN162" i="2"/>
  <c r="HI162" i="2"/>
  <c r="EV162" i="2"/>
  <c r="FQ162" i="2"/>
  <c r="EX162" i="2"/>
  <c r="GM162" i="2"/>
  <c r="FS162" i="2"/>
  <c r="GL162" i="2"/>
  <c r="EW162" i="2"/>
  <c r="FR162" i="2"/>
  <c r="ED161" i="2"/>
  <c r="EA162" i="2"/>
  <c r="EB162" i="2"/>
  <c r="EC162" i="2"/>
  <c r="DH162" i="2"/>
  <c r="DI161" i="2"/>
  <c r="DG162" i="2"/>
  <c r="DF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GN163" i="2" s="1"/>
  <c r="FO163" i="2"/>
  <c r="FR163" i="2" s="1"/>
  <c r="HC163" i="2"/>
  <c r="HI163" i="2" s="1"/>
  <c r="HD163" i="2"/>
  <c r="GJ163" i="2"/>
  <c r="GM163" i="2" s="1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Q163" i="2" l="1"/>
  <c r="GL163" i="2"/>
  <c r="HH163" i="2"/>
  <c r="EW163" i="2"/>
  <c r="FS163" i="2"/>
  <c r="EX163" i="2"/>
  <c r="EV163" i="2"/>
  <c r="HG163" i="2"/>
  <c r="EB163" i="2"/>
  <c r="ED162" i="2"/>
  <c r="EA163" i="2"/>
  <c r="EC163" i="2"/>
  <c r="DH163" i="2"/>
  <c r="DG163" i="2"/>
  <c r="DF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GN164" i="2" s="1"/>
  <c r="FO164" i="2"/>
  <c r="FR164" i="2" s="1"/>
  <c r="HC164" i="2"/>
  <c r="HI164" i="2" s="1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FQ164" i="2" l="1"/>
  <c r="HH164" i="2"/>
  <c r="HG164" i="2"/>
  <c r="EV164" i="2"/>
  <c r="GM164" i="2"/>
  <c r="GL164" i="2"/>
  <c r="EX164" i="2"/>
  <c r="FS164" i="2"/>
  <c r="EW164" i="2"/>
  <c r="DI163" i="2"/>
  <c r="EB164" i="2"/>
  <c r="ED163" i="2"/>
  <c r="EA164" i="2"/>
  <c r="EC164" i="2"/>
  <c r="DH164" i="2"/>
  <c r="DF164" i="2"/>
  <c r="DG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GL165" i="2" s="1"/>
  <c r="FP165" i="2"/>
  <c r="HD165" i="2"/>
  <c r="HG165" i="2" s="1"/>
  <c r="GJ165" i="2"/>
  <c r="GM165" i="2" s="1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FQ165" i="2" l="1"/>
  <c r="HI165" i="2"/>
  <c r="GN165" i="2"/>
  <c r="EW165" i="2"/>
  <c r="FS165" i="2"/>
  <c r="EX165" i="2"/>
  <c r="EV165" i="2"/>
  <c r="FR165" i="2"/>
  <c r="EC165" i="2"/>
  <c r="EB165" i="2"/>
  <c r="EA165" i="2"/>
  <c r="DH165" i="2"/>
  <c r="DI164" i="2"/>
  <c r="DF165" i="2"/>
  <c r="DG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HI166" i="2" s="1"/>
  <c r="GI166" i="2"/>
  <c r="GL166" i="2" s="1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EY165" i="2"/>
  <c r="AX163" i="2"/>
  <c r="FR166" i="2" l="1"/>
  <c r="GN166" i="2"/>
  <c r="FQ166" i="2"/>
  <c r="EV166" i="2"/>
  <c r="HH166" i="2"/>
  <c r="EX166" i="2"/>
  <c r="EW166" i="2"/>
  <c r="GM166" i="2"/>
  <c r="FS166" i="2"/>
  <c r="HG166" i="2"/>
  <c r="CN165" i="2"/>
  <c r="EC166" i="2"/>
  <c r="ED165" i="2"/>
  <c r="EB166" i="2"/>
  <c r="EA166" i="2"/>
  <c r="DH166" i="2"/>
  <c r="DF166" i="2"/>
  <c r="DG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EY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FQ167" i="2" s="1"/>
  <c r="GS167" i="2"/>
  <c r="GG167" i="2"/>
  <c r="FN167" i="2"/>
  <c r="HB167" i="2"/>
  <c r="GH167" i="2"/>
  <c r="GN167" i="2" s="1"/>
  <c r="FO167" i="2"/>
  <c r="HC167" i="2"/>
  <c r="HI167" i="2" s="1"/>
  <c r="GI167" i="2"/>
  <c r="GL167" i="2" s="1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EW167" i="2" s="1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FS167" i="2"/>
  <c r="GM167" i="2"/>
  <c r="EX167" i="2"/>
  <c r="EV167" i="2"/>
  <c r="HG167" i="2"/>
  <c r="FR167" i="2"/>
  <c r="DH167" i="2"/>
  <c r="EA167" i="2"/>
  <c r="EC167" i="2"/>
  <c r="EB167" i="2"/>
  <c r="DI166" i="2"/>
  <c r="DF167" i="2"/>
  <c r="DG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EY167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GN168" i="2" s="1"/>
  <c r="FO168" i="2"/>
  <c r="HC168" i="2"/>
  <c r="HI168" i="2" s="1"/>
  <c r="GI168" i="2"/>
  <c r="FP168" i="2"/>
  <c r="HD168" i="2"/>
  <c r="GJ168" i="2"/>
  <c r="GM168" i="2" s="1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V168" i="2"/>
  <c r="FQ168" i="2"/>
  <c r="HH168" i="2"/>
  <c r="HG168" i="2"/>
  <c r="GL168" i="2"/>
  <c r="FR168" i="2"/>
  <c r="EX168" i="2"/>
  <c r="EC168" i="2"/>
  <c r="HG169" i="2"/>
  <c r="DH168" i="2"/>
  <c r="DI167" i="2"/>
  <c r="EA168" i="2"/>
  <c r="EB168" i="2"/>
  <c r="DG168" i="2"/>
  <c r="DF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HI169" i="2" s="1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Q169" i="2" l="1"/>
  <c r="GN169" i="2"/>
  <c r="EX169" i="2"/>
  <c r="EW169" i="2"/>
  <c r="GM169" i="2"/>
  <c r="GL169" i="2"/>
  <c r="EV169" i="2"/>
  <c r="FR169" i="2"/>
  <c r="EC169" i="2"/>
  <c r="DH169" i="2"/>
  <c r="DI168" i="2"/>
  <c r="EA169" i="2"/>
  <c r="EB169" i="2"/>
  <c r="DF169" i="2"/>
  <c r="DG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EY169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FS170" i="2" s="1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GN170" i="2" s="1"/>
  <c r="DM170" i="2"/>
  <c r="DE170" i="2"/>
  <c r="EH170" i="2"/>
  <c r="DA170" i="2"/>
  <c r="EQ170" i="2"/>
  <c r="ET170" i="2"/>
  <c r="EW170" i="2" s="1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FR170" i="2" l="1"/>
  <c r="GL170" i="2"/>
  <c r="HI170" i="2"/>
  <c r="DH170" i="2"/>
  <c r="HH170" i="2"/>
  <c r="EV170" i="2"/>
  <c r="GM170" i="2"/>
  <c r="HG170" i="2"/>
  <c r="EX170" i="2"/>
  <c r="FQ170" i="2"/>
  <c r="EC170" i="2"/>
  <c r="EA170" i="2"/>
  <c r="CN169" i="2"/>
  <c r="EB170" i="2"/>
  <c r="DF170" i="2"/>
  <c r="DG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FQ171" i="2" s="1"/>
  <c r="HB171" i="2"/>
  <c r="GH171" i="2"/>
  <c r="GN171" i="2" s="1"/>
  <c r="FO171" i="2"/>
  <c r="HC171" i="2"/>
  <c r="HD171" i="2"/>
  <c r="GJ171" i="2"/>
  <c r="HE171" i="2"/>
  <c r="HH171" i="2" s="1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HG171" i="2" l="1"/>
  <c r="HI171" i="2"/>
  <c r="FS171" i="2"/>
  <c r="EW171" i="2"/>
  <c r="EX171" i="2"/>
  <c r="GL171" i="2"/>
  <c r="EV171" i="2"/>
  <c r="GM171" i="2"/>
  <c r="FR171" i="2"/>
  <c r="EA171" i="2"/>
  <c r="EB171" i="2"/>
  <c r="DH171" i="2"/>
  <c r="EC171" i="2"/>
  <c r="DI170" i="2"/>
  <c r="DF171" i="2"/>
  <c r="DG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GN172" i="2" s="1"/>
  <c r="FO172" i="2"/>
  <c r="HC172" i="2"/>
  <c r="HI172" i="2" s="1"/>
  <c r="GI172" i="2"/>
  <c r="FP172" i="2"/>
  <c r="HD172" i="2"/>
  <c r="HE172" i="2"/>
  <c r="HH172" i="2" s="1"/>
  <c r="GK172" i="2"/>
  <c r="FB172" i="2"/>
  <c r="HF172" i="2"/>
  <c r="FC172" i="2"/>
  <c r="FW172" i="2"/>
  <c r="FL172" i="2"/>
  <c r="GR172" i="2"/>
  <c r="FX172" i="2"/>
  <c r="FM172" i="2"/>
  <c r="FS172" i="2" s="1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V172" i="2"/>
  <c r="GM172" i="2"/>
  <c r="FQ172" i="2"/>
  <c r="FR172" i="2"/>
  <c r="EX172" i="2"/>
  <c r="HG172" i="2"/>
  <c r="GL172" i="2"/>
  <c r="ED171" i="2"/>
  <c r="EB172" i="2"/>
  <c r="EA172" i="2"/>
  <c r="DH172" i="2"/>
  <c r="EC172" i="2"/>
  <c r="DF172" i="2"/>
  <c r="DG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HJ172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HI173" i="2" s="1"/>
  <c r="GI173" i="2"/>
  <c r="GL173" i="2" s="1"/>
  <c r="FP173" i="2"/>
  <c r="HD173" i="2"/>
  <c r="HG173" i="2" s="1"/>
  <c r="GJ173" i="2"/>
  <c r="GM173" i="2" s="1"/>
  <c r="HE173" i="2"/>
  <c r="HF173" i="2"/>
  <c r="FC173" i="2"/>
  <c r="FW173" i="2"/>
  <c r="FL173" i="2"/>
  <c r="GR173" i="2"/>
  <c r="FX173" i="2"/>
  <c r="FM173" i="2"/>
  <c r="FS173" i="2" s="1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DH173" i="2" l="1"/>
  <c r="GN173" i="2"/>
  <c r="EV173" i="2"/>
  <c r="EW173" i="2"/>
  <c r="HH173" i="2"/>
  <c r="EX173" i="2"/>
  <c r="FQ173" i="2"/>
  <c r="FR173" i="2"/>
  <c r="ED172" i="2"/>
  <c r="CL173" i="2"/>
  <c r="EC173" i="2"/>
  <c r="EA173" i="2"/>
  <c r="EB173" i="2"/>
  <c r="DF173" i="2"/>
  <c r="DG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FS174" i="2" s="1"/>
  <c r="GS174" i="2"/>
  <c r="GG174" i="2"/>
  <c r="FN174" i="2"/>
  <c r="HB174" i="2"/>
  <c r="GH174" i="2"/>
  <c r="GN174" i="2" s="1"/>
  <c r="FO174" i="2"/>
  <c r="DZ174" i="2"/>
  <c r="ER174" i="2"/>
  <c r="DV174" i="2"/>
  <c r="FC174" i="2"/>
  <c r="ET174" i="2"/>
  <c r="EW174" i="2" s="1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V174" i="2" l="1"/>
  <c r="FQ174" i="2"/>
  <c r="HI174" i="2"/>
  <c r="GL174" i="2"/>
  <c r="EX174" i="2"/>
  <c r="HH174" i="2"/>
  <c r="GM174" i="2"/>
  <c r="FR174" i="2"/>
  <c r="HG174" i="2"/>
  <c r="DI173" i="2"/>
  <c r="DH174" i="2"/>
  <c r="EA174" i="2"/>
  <c r="EB174" i="2"/>
  <c r="EC174" i="2"/>
  <c r="DF174" i="2"/>
  <c r="DG174" i="2"/>
  <c r="CL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GM175" i="2" s="1"/>
  <c r="HE175" i="2"/>
  <c r="GK175" i="2"/>
  <c r="FB175" i="2"/>
  <c r="HF175" i="2"/>
  <c r="FC175" i="2"/>
  <c r="GR175" i="2"/>
  <c r="FX175" i="2"/>
  <c r="FM175" i="2"/>
  <c r="FQ175" i="2" s="1"/>
  <c r="GS175" i="2"/>
  <c r="GG175" i="2"/>
  <c r="FN175" i="2"/>
  <c r="HB175" i="2"/>
  <c r="GH175" i="2"/>
  <c r="GN175" i="2" s="1"/>
  <c r="FO175" i="2"/>
  <c r="HC175" i="2"/>
  <c r="HI175" i="2" s="1"/>
  <c r="GI175" i="2"/>
  <c r="GL175" i="2" s="1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V175" i="2" l="1"/>
  <c r="HG175" i="2"/>
  <c r="EX175" i="2"/>
  <c r="FS175" i="2"/>
  <c r="FR175" i="2"/>
  <c r="EW175" i="2"/>
  <c r="HH175" i="2"/>
  <c r="ED174" i="2"/>
  <c r="CN174" i="2"/>
  <c r="EC175" i="2"/>
  <c r="EA175" i="2"/>
  <c r="EB175" i="2"/>
  <c r="DH175" i="2"/>
  <c r="DI174" i="2"/>
  <c r="DG175" i="2"/>
  <c r="DF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FR176" i="2" s="1"/>
  <c r="HC176" i="2"/>
  <c r="HI176" i="2" s="1"/>
  <c r="GI176" i="2"/>
  <c r="GL176" i="2" s="1"/>
  <c r="FP176" i="2"/>
  <c r="HD176" i="2"/>
  <c r="GJ176" i="2"/>
  <c r="EH176" i="2"/>
  <c r="FM176" i="2"/>
  <c r="FQ176" i="2" s="1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EV176" i="2" s="1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GN176" i="2" l="1"/>
  <c r="EW176" i="2"/>
  <c r="FS176" i="2"/>
  <c r="GM176" i="2"/>
  <c r="EX176" i="2"/>
  <c r="HG176" i="2"/>
  <c r="HH176" i="2"/>
  <c r="DI175" i="2"/>
  <c r="DH176" i="2"/>
  <c r="EC176" i="2"/>
  <c r="EA176" i="2"/>
  <c r="EB176" i="2"/>
  <c r="AU176" i="2"/>
  <c r="DG176" i="2"/>
  <c r="DF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HI177" i="2" s="1"/>
  <c r="GI177" i="2"/>
  <c r="FP177" i="2"/>
  <c r="HD177" i="2"/>
  <c r="HG177" i="2" s="1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V177" i="2"/>
  <c r="GN177" i="2"/>
  <c r="GM177" i="2"/>
  <c r="EX177" i="2"/>
  <c r="FS177" i="2"/>
  <c r="GL177" i="2"/>
  <c r="FR177" i="2"/>
  <c r="EA177" i="2"/>
  <c r="EC177" i="2"/>
  <c r="EB177" i="2"/>
  <c r="DH177" i="2"/>
  <c r="DF177" i="2"/>
  <c r="DG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GN178" i="2" s="1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EV178" i="2" s="1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GM178" i="2"/>
  <c r="FR178" i="2"/>
  <c r="GL178" i="2"/>
  <c r="EW178" i="2"/>
  <c r="FQ178" i="2"/>
  <c r="HH178" i="2"/>
  <c r="FS178" i="2"/>
  <c r="EX178" i="2"/>
  <c r="HG178" i="2"/>
  <c r="ED177" i="2"/>
  <c r="DH178" i="2"/>
  <c r="EB178" i="2"/>
  <c r="EA178" i="2"/>
  <c r="EC178" i="2"/>
  <c r="DF178" i="2"/>
  <c r="DG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GN179" i="2" s="1"/>
  <c r="FO179" i="2"/>
  <c r="HC179" i="2"/>
  <c r="HD179" i="2"/>
  <c r="GJ179" i="2"/>
  <c r="GM179" i="2" s="1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GL179" i="2" s="1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G179" i="2" l="1"/>
  <c r="EV179" i="2"/>
  <c r="HI179" i="2"/>
  <c r="AW179" i="2"/>
  <c r="EW179" i="2"/>
  <c r="FR179" i="2"/>
  <c r="EX179" i="2"/>
  <c r="FQ179" i="2"/>
  <c r="FS179" i="2"/>
  <c r="HH179" i="2"/>
  <c r="DH179" i="2"/>
  <c r="ED178" i="2"/>
  <c r="EC179" i="2"/>
  <c r="EA179" i="2"/>
  <c r="EB179" i="2"/>
  <c r="DF179" i="2"/>
  <c r="DG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GN180" i="2" s="1"/>
  <c r="FO180" i="2"/>
  <c r="FR180" i="2" s="1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GM180" i="2" l="1"/>
  <c r="EV180" i="2"/>
  <c r="GL180" i="2"/>
  <c r="FS180" i="2"/>
  <c r="EX180" i="2"/>
  <c r="EW180" i="2"/>
  <c r="HH180" i="2"/>
  <c r="FQ180" i="2"/>
  <c r="HG180" i="2"/>
  <c r="DH180" i="2"/>
  <c r="EB180" i="2"/>
  <c r="ED179" i="2"/>
  <c r="EA180" i="2"/>
  <c r="EC180" i="2"/>
  <c r="DI179" i="2"/>
  <c r="DG180" i="2"/>
  <c r="DF180" i="2"/>
  <c r="CN179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HI181" i="2" s="1"/>
  <c r="GI181" i="2"/>
  <c r="FP181" i="2"/>
  <c r="HD181" i="2"/>
  <c r="GJ181" i="2"/>
  <c r="GM181" i="2" s="1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GN181" i="2" l="1"/>
  <c r="HH181" i="2"/>
  <c r="HG181" i="2"/>
  <c r="EV181" i="2"/>
  <c r="EX181" i="2"/>
  <c r="FQ181" i="2"/>
  <c r="FR181" i="2"/>
  <c r="FS181" i="2"/>
  <c r="GL181" i="2"/>
  <c r="ED180" i="2"/>
  <c r="CN180" i="2"/>
  <c r="EC181" i="2"/>
  <c r="EA181" i="2"/>
  <c r="EB181" i="2"/>
  <c r="DH181" i="2"/>
  <c r="DI180" i="2"/>
  <c r="DG181" i="2"/>
  <c r="DF181" i="2"/>
  <c r="AU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GN182" i="2" s="1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B182" i="2" s="1"/>
  <c r="AX179" i="2"/>
  <c r="HI182" i="2" l="1"/>
  <c r="HH182" i="2"/>
  <c r="FS182" i="2"/>
  <c r="EX182" i="2"/>
  <c r="GM182" i="2"/>
  <c r="EW182" i="2"/>
  <c r="FR182" i="2"/>
  <c r="HG182" i="2"/>
  <c r="GL182" i="2"/>
  <c r="EV182" i="2"/>
  <c r="FQ182" i="2"/>
  <c r="EA182" i="2"/>
  <c r="EC182" i="2"/>
  <c r="EB182" i="2"/>
  <c r="AW182" i="2"/>
  <c r="DH182" i="2"/>
  <c r="DF182" i="2"/>
  <c r="DG182" i="2"/>
  <c r="CN181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GN183" i="2" s="1"/>
  <c r="FO183" i="2"/>
  <c r="HC183" i="2"/>
  <c r="HI183" i="2" s="1"/>
  <c r="GI183" i="2"/>
  <c r="GL183" i="2" s="1"/>
  <c r="FP183" i="2"/>
  <c r="EG183" i="2"/>
  <c r="FW183" i="2"/>
  <c r="ES183" i="2"/>
  <c r="EV183" i="2" s="1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GM183" i="2" l="1"/>
  <c r="HG183" i="2"/>
  <c r="EW183" i="2"/>
  <c r="FQ183" i="2"/>
  <c r="HH183" i="2"/>
  <c r="EX183" i="2"/>
  <c r="FR183" i="2"/>
  <c r="FS183" i="2"/>
  <c r="ED182" i="2"/>
  <c r="EA183" i="2"/>
  <c r="EB183" i="2"/>
  <c r="DH183" i="2"/>
  <c r="EC183" i="2"/>
  <c r="DI182" i="2"/>
  <c r="DG183" i="2"/>
  <c r="DF183" i="2"/>
  <c r="CM183" i="2"/>
  <c r="AV183" i="2"/>
  <c r="AU183" i="2"/>
  <c r="AW183" i="2"/>
  <c r="BP183" i="2"/>
  <c r="BQ183" i="2"/>
  <c r="BR183" i="2"/>
  <c r="CK183" i="2"/>
  <c r="CL183" i="2"/>
  <c r="FT182" i="2"/>
  <c r="CN182" i="2"/>
  <c r="EY183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GN184" i="2" s="1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Q184" i="2" l="1"/>
  <c r="HH184" i="2"/>
  <c r="EW184" i="2"/>
  <c r="HG184" i="2"/>
  <c r="HI184" i="2"/>
  <c r="GM184" i="2"/>
  <c r="EV184" i="2"/>
  <c r="GL184" i="2"/>
  <c r="FS184" i="2"/>
  <c r="FR184" i="2"/>
  <c r="EX184" i="2"/>
  <c r="DH184" i="2"/>
  <c r="EC184" i="2"/>
  <c r="EA184" i="2"/>
  <c r="EB184" i="2"/>
  <c r="AW184" i="2"/>
  <c r="DI183" i="2"/>
  <c r="DG184" i="2"/>
  <c r="DF184" i="2"/>
  <c r="CN183" i="2"/>
  <c r="CM184" i="2"/>
  <c r="BP184" i="2"/>
  <c r="AV184" i="2"/>
  <c r="AU184" i="2"/>
  <c r="AU185" i="2" s="1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GM185" i="2" s="1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GN185" i="2" l="1"/>
  <c r="EV185" i="2"/>
  <c r="HG185" i="2"/>
  <c r="GL185" i="2"/>
  <c r="HH185" i="2"/>
  <c r="EX185" i="2"/>
  <c r="FS185" i="2"/>
  <c r="FQ185" i="2"/>
  <c r="EW185" i="2"/>
  <c r="FR185" i="2"/>
  <c r="EB185" i="2"/>
  <c r="EA185" i="2"/>
  <c r="DI184" i="2"/>
  <c r="EC185" i="2"/>
  <c r="ED184" i="2"/>
  <c r="DH185" i="2"/>
  <c r="DF185" i="2"/>
  <c r="DG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EV186" i="2" s="1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GN186" i="2"/>
  <c r="HI186" i="2"/>
  <c r="FQ186" i="2"/>
  <c r="HH186" i="2"/>
  <c r="GM186" i="2"/>
  <c r="FS186" i="2"/>
  <c r="EX186" i="2"/>
  <c r="HG186" i="2"/>
  <c r="GL186" i="2"/>
  <c r="ED185" i="2"/>
  <c r="EB186" i="2"/>
  <c r="EA186" i="2"/>
  <c r="EC186" i="2"/>
  <c r="DH186" i="2"/>
  <c r="DI185" i="2"/>
  <c r="DF186" i="2"/>
  <c r="DG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FR187" i="2" s="1"/>
  <c r="GS187" i="2"/>
  <c r="GG187" i="2"/>
  <c r="FN187" i="2"/>
  <c r="HB187" i="2"/>
  <c r="GH187" i="2"/>
  <c r="FO187" i="2"/>
  <c r="HC187" i="2"/>
  <c r="HD187" i="2"/>
  <c r="GJ187" i="2"/>
  <c r="GM187" i="2" s="1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B187" i="2" s="1"/>
  <c r="EY186" i="2"/>
  <c r="AX184" i="2"/>
  <c r="HG187" i="2" l="1"/>
  <c r="EV187" i="2"/>
  <c r="HI187" i="2"/>
  <c r="GN187" i="2"/>
  <c r="GL187" i="2"/>
  <c r="FQ187" i="2"/>
  <c r="EX187" i="2"/>
  <c r="FS187" i="2"/>
  <c r="EW187" i="2"/>
  <c r="EA187" i="2"/>
  <c r="DH187" i="2"/>
  <c r="EC187" i="2"/>
  <c r="EB187" i="2"/>
  <c r="DI186" i="2"/>
  <c r="DF187" i="2"/>
  <c r="DG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FQ188" i="2" s="1"/>
  <c r="HB188" i="2"/>
  <c r="GH188" i="2"/>
  <c r="GN188" i="2" s="1"/>
  <c r="FO188" i="2"/>
  <c r="FR188" i="2" s="1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V188" i="2" l="1"/>
  <c r="HI188" i="2"/>
  <c r="HH188" i="2"/>
  <c r="HG188" i="2"/>
  <c r="GM188" i="2"/>
  <c r="FS188" i="2"/>
  <c r="GL188" i="2"/>
  <c r="EX188" i="2"/>
  <c r="EW188" i="2"/>
  <c r="DH188" i="2"/>
  <c r="EC188" i="2"/>
  <c r="ED187" i="2"/>
  <c r="EB188" i="2"/>
  <c r="EA188" i="2"/>
  <c r="DI187" i="2"/>
  <c r="DG188" i="2"/>
  <c r="DF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GN189" i="2" s="1"/>
  <c r="FO189" i="2"/>
  <c r="HC189" i="2"/>
  <c r="HI189" i="2" s="1"/>
  <c r="GI189" i="2"/>
  <c r="FP189" i="2"/>
  <c r="HD189" i="2"/>
  <c r="HG189" i="2" s="1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W189" i="2" l="1"/>
  <c r="HH189" i="2"/>
  <c r="EX189" i="2"/>
  <c r="FS189" i="2"/>
  <c r="EV189" i="2"/>
  <c r="GL189" i="2"/>
  <c r="FQ189" i="2"/>
  <c r="FR189" i="2"/>
  <c r="GM189" i="2"/>
  <c r="EB189" i="2"/>
  <c r="DH189" i="2"/>
  <c r="EA189" i="2"/>
  <c r="EC189" i="2"/>
  <c r="DF189" i="2"/>
  <c r="DG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HI190" i="2" s="1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GN190" i="2" s="1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GM190" i="2" l="1"/>
  <c r="GL190" i="2"/>
  <c r="EW190" i="2"/>
  <c r="FQ190" i="2"/>
  <c r="FS190" i="2"/>
  <c r="EX190" i="2"/>
  <c r="FR190" i="2"/>
  <c r="EB190" i="2"/>
  <c r="CN189" i="2"/>
  <c r="ED189" i="2"/>
  <c r="EC190" i="2"/>
  <c r="EA190" i="2"/>
  <c r="DH190" i="2"/>
  <c r="DG190" i="2"/>
  <c r="DF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GN191" i="2" s="1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FQ191" i="2" s="1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GL191" i="2" l="1"/>
  <c r="EV191" i="2"/>
  <c r="EW191" i="2"/>
  <c r="HI191" i="2"/>
  <c r="GM191" i="2"/>
  <c r="EX191" i="2"/>
  <c r="FS191" i="2"/>
  <c r="FR191" i="2"/>
  <c r="ED190" i="2"/>
  <c r="EA191" i="2"/>
  <c r="EB191" i="2"/>
  <c r="EC191" i="2"/>
  <c r="DH191" i="2"/>
  <c r="DG191" i="2"/>
  <c r="DF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GO191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GL192" i="2" s="1"/>
  <c r="HD192" i="2"/>
  <c r="GJ192" i="2"/>
  <c r="EH192" i="2"/>
  <c r="FM192" i="2"/>
  <c r="EG192" i="2"/>
  <c r="FN192" i="2"/>
  <c r="FQ192" i="2" s="1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FR192" i="2"/>
  <c r="GN192" i="2"/>
  <c r="HH192" i="2"/>
  <c r="FS192" i="2"/>
  <c r="GM192" i="2"/>
  <c r="EX192" i="2"/>
  <c r="HG192" i="2"/>
  <c r="EB192" i="2"/>
  <c r="DI191" i="2"/>
  <c r="EA192" i="2"/>
  <c r="EC192" i="2"/>
  <c r="AW192" i="2"/>
  <c r="DH192" i="2"/>
  <c r="DF192" i="2"/>
  <c r="DG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GN193" i="2" s="1"/>
  <c r="HC193" i="2"/>
  <c r="GI193" i="2"/>
  <c r="HD193" i="2"/>
  <c r="GJ193" i="2"/>
  <c r="HE193" i="2"/>
  <c r="GK193" i="2"/>
  <c r="FB193" i="2"/>
  <c r="EQ193" i="2"/>
  <c r="FO193" i="2"/>
  <c r="FR193" i="2" s="1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FQ193" i="2" l="1"/>
  <c r="EW193" i="2"/>
  <c r="HI193" i="2"/>
  <c r="HH193" i="2"/>
  <c r="EV193" i="2"/>
  <c r="GM193" i="2"/>
  <c r="HG193" i="2"/>
  <c r="EX193" i="2"/>
  <c r="GL193" i="2"/>
  <c r="FS193" i="2"/>
  <c r="EA193" i="2"/>
  <c r="DH193" i="2"/>
  <c r="ED192" i="2"/>
  <c r="EC193" i="2"/>
  <c r="EB193" i="2"/>
  <c r="DI192" i="2"/>
  <c r="DF193" i="2"/>
  <c r="DG193" i="2"/>
  <c r="CN192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EW194" i="2" s="1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FR194" i="2"/>
  <c r="GN194" i="2"/>
  <c r="GL194" i="2"/>
  <c r="EX194" i="2"/>
  <c r="EV194" i="2"/>
  <c r="HH194" i="2"/>
  <c r="GM194" i="2"/>
  <c r="HG194" i="2"/>
  <c r="FS194" i="2"/>
  <c r="ED193" i="2"/>
  <c r="EB194" i="2"/>
  <c r="DH194" i="2"/>
  <c r="CN193" i="2"/>
  <c r="EC194" i="2"/>
  <c r="EA194" i="2"/>
  <c r="AW194" i="2"/>
  <c r="DI193" i="2"/>
  <c r="DF194" i="2"/>
  <c r="DG194" i="2"/>
  <c r="CM194" i="2"/>
  <c r="AV194" i="2"/>
  <c r="AU194" i="2"/>
  <c r="BR194" i="2"/>
  <c r="BQ194" i="2"/>
  <c r="BP194" i="2"/>
  <c r="CL194" i="2"/>
  <c r="CK194" i="2"/>
  <c r="FT193" i="2"/>
  <c r="GO193" i="2"/>
  <c r="HJ193" i="2"/>
  <c r="EY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GM195" i="2" s="1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DH195" i="2" l="1"/>
  <c r="FR195" i="2"/>
  <c r="GN195" i="2"/>
  <c r="FQ195" i="2"/>
  <c r="FS195" i="2"/>
  <c r="EV195" i="2"/>
  <c r="EW195" i="2"/>
  <c r="GL195" i="2"/>
  <c r="HH195" i="2"/>
  <c r="EX195" i="2"/>
  <c r="EA195" i="2"/>
  <c r="EB195" i="2"/>
  <c r="ED194" i="2"/>
  <c r="EC195" i="2"/>
  <c r="DF195" i="2"/>
  <c r="DG195" i="2"/>
  <c r="AU195" i="2"/>
  <c r="CN194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EY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GN196" i="2" s="1"/>
  <c r="HC196" i="2"/>
  <c r="HI196" i="2" s="1"/>
  <c r="GI196" i="2"/>
  <c r="HD196" i="2"/>
  <c r="HE196" i="2"/>
  <c r="GK196" i="2"/>
  <c r="HF196" i="2"/>
  <c r="FW196" i="2"/>
  <c r="GR196" i="2"/>
  <c r="FX196" i="2"/>
  <c r="FM196" i="2"/>
  <c r="FR196" i="2" s="1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GM196" i="2" l="1"/>
  <c r="GL196" i="2"/>
  <c r="AW196" i="2"/>
  <c r="EX196" i="2"/>
  <c r="HH196" i="2"/>
  <c r="EW196" i="2"/>
  <c r="HG196" i="2"/>
  <c r="EV196" i="2"/>
  <c r="FS196" i="2"/>
  <c r="FQ196" i="2"/>
  <c r="EA196" i="2"/>
  <c r="EB196" i="2"/>
  <c r="DF196" i="2"/>
  <c r="EC196" i="2"/>
  <c r="DH196" i="2"/>
  <c r="DG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EY196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GN197" i="2" s="1"/>
  <c r="HC197" i="2"/>
  <c r="GI197" i="2"/>
  <c r="HD197" i="2"/>
  <c r="GJ197" i="2"/>
  <c r="GM197" i="2" s="1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R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EV197" i="2" s="1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I197" i="2" l="1"/>
  <c r="FQ197" i="2"/>
  <c r="EW197" i="2"/>
  <c r="DI196" i="2"/>
  <c r="FS197" i="2"/>
  <c r="HH197" i="2"/>
  <c r="HG197" i="2"/>
  <c r="GL197" i="2"/>
  <c r="EX197" i="2"/>
  <c r="ED196" i="2"/>
  <c r="Z197" i="2"/>
  <c r="DF197" i="2"/>
  <c r="EA197" i="2"/>
  <c r="EB197" i="2"/>
  <c r="EC197" i="2"/>
  <c r="DH197" i="2"/>
  <c r="DG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7" i="2" s="1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GL198" i="2" s="1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FR198" i="2" l="1"/>
  <c r="GN198" i="2"/>
  <c r="FQ198" i="2"/>
  <c r="HI198" i="2"/>
  <c r="EV198" i="2"/>
  <c r="FS198" i="2"/>
  <c r="HH198" i="2"/>
  <c r="EW198" i="2"/>
  <c r="GM198" i="2"/>
  <c r="HG198" i="2"/>
  <c r="EX198" i="2"/>
  <c r="ED197" i="2"/>
  <c r="Z198" i="2"/>
  <c r="EC198" i="2"/>
  <c r="EA198" i="2"/>
  <c r="EB198" i="2"/>
  <c r="AW198" i="2"/>
  <c r="DH198" i="2"/>
  <c r="DG198" i="2"/>
  <c r="DF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GM199" i="2" s="1"/>
  <c r="HE199" i="2"/>
  <c r="GK199" i="2"/>
  <c r="HF199" i="2"/>
  <c r="GR199" i="2"/>
  <c r="FX199" i="2"/>
  <c r="GS199" i="2"/>
  <c r="GG199" i="2"/>
  <c r="HB199" i="2"/>
  <c r="GH199" i="2"/>
  <c r="GN199" i="2" s="1"/>
  <c r="HC199" i="2"/>
  <c r="HI199" i="2" s="1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GL199" i="2"/>
  <c r="AU199" i="2"/>
  <c r="FQ199" i="2"/>
  <c r="FS199" i="2"/>
  <c r="FR199" i="2"/>
  <c r="HH199" i="2"/>
  <c r="EX199" i="2"/>
  <c r="DI198" i="2"/>
  <c r="EB199" i="2"/>
  <c r="EA199" i="2"/>
  <c r="EC199" i="2"/>
  <c r="DH199" i="2"/>
  <c r="DF199" i="2"/>
  <c r="DG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HH200" i="2" s="1"/>
  <c r="GK200" i="2"/>
  <c r="HF200" i="2"/>
  <c r="FW200" i="2"/>
  <c r="GR200" i="2"/>
  <c r="GS200" i="2"/>
  <c r="GG200" i="2"/>
  <c r="HB200" i="2"/>
  <c r="GH200" i="2"/>
  <c r="HC200" i="2"/>
  <c r="GI200" i="2"/>
  <c r="HD200" i="2"/>
  <c r="HG200" i="2" s="1"/>
  <c r="GJ200" i="2"/>
  <c r="GM200" i="2" s="1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AB199" i="2"/>
  <c r="BX4" i="2" a="1"/>
  <c r="BX4" i="2" s="1"/>
  <c r="BY4" i="2" s="1"/>
  <c r="AA199" i="2"/>
  <c r="AX197" i="2"/>
  <c r="EX200" i="2" l="1"/>
  <c r="HI200" i="2"/>
  <c r="GN200" i="2"/>
  <c r="FR200" i="2"/>
  <c r="GL200" i="2"/>
  <c r="AB200" i="2"/>
  <c r="EW200" i="2"/>
  <c r="FQ200" i="2"/>
  <c r="FS200" i="2"/>
  <c r="EV200" i="2"/>
  <c r="EC200" i="2"/>
  <c r="EA200" i="2"/>
  <c r="EB200" i="2"/>
  <c r="DH200" i="2"/>
  <c r="DG200" i="2"/>
  <c r="DF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HJ200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GN201" i="2" s="1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EX201" i="2" s="1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I5" i="2" s="1"/>
  <c r="EI4" i="2" a="1"/>
  <c r="EI4" i="2" s="1"/>
  <c r="EJ4" i="2" s="1"/>
  <c r="AX198" i="2"/>
  <c r="EY200" i="2"/>
  <c r="EV201" i="2" l="1"/>
  <c r="EW201" i="2"/>
  <c r="GL201" i="2"/>
  <c r="HI201" i="2"/>
  <c r="FR201" i="2"/>
  <c r="FQ201" i="2"/>
  <c r="HH201" i="2"/>
  <c r="GM201" i="2"/>
  <c r="HG201" i="2"/>
  <c r="FS201" i="2"/>
  <c r="CM201" i="2"/>
  <c r="DH201" i="2"/>
  <c r="EC201" i="2"/>
  <c r="EA201" i="2"/>
  <c r="ED200" i="2"/>
  <c r="EB201" i="2"/>
  <c r="DI200" i="2"/>
  <c r="DG201" i="2"/>
  <c r="DF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GN202" i="2" s="1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/>
  <c r="HH202" i="2" l="1"/>
  <c r="HG202" i="2"/>
  <c r="FZ6" i="2"/>
  <c r="EV202" i="2"/>
  <c r="GM202" i="2"/>
  <c r="GL202" i="2"/>
  <c r="FQ202" i="2"/>
  <c r="FS202" i="2"/>
  <c r="ED201" i="2"/>
  <c r="EA202" i="2"/>
  <c r="CN201" i="2"/>
  <c r="EC202" i="2"/>
  <c r="EB202" i="2"/>
  <c r="DH202" i="2"/>
  <c r="DG202" i="2"/>
  <c r="DF202" i="2"/>
  <c r="CM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GM203" i="2" s="1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FQ203" i="2" s="1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V203" i="2" s="1"/>
  <c r="EU203" i="2"/>
  <c r="BV203" i="2"/>
  <c r="BO203" i="2"/>
  <c r="DL203" i="2"/>
  <c r="CQ203" i="2"/>
  <c r="BW203" i="2"/>
  <c r="BX29" i="2" s="1" a="1"/>
  <c r="BX29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40" i="2" s="1" a="1"/>
  <c r="AH140" i="2" s="1"/>
  <c r="FY61" i="2" a="1"/>
  <c r="FY61" i="2" s="1"/>
  <c r="FY8" i="2" a="1"/>
  <c r="FY8" i="2" s="1"/>
  <c r="FY189" i="2" a="1"/>
  <c r="FY189" i="2" s="1"/>
  <c r="FY48" i="2" a="1"/>
  <c r="FY48" i="2" s="1"/>
  <c r="FY180" i="2" a="1"/>
  <c r="FY180" i="2" s="1"/>
  <c r="FY105" i="2" a="1"/>
  <c r="FY105" i="2" s="1"/>
  <c r="FY10" i="2" a="1"/>
  <c r="FY10" i="2" s="1"/>
  <c r="FY130" i="2" a="1"/>
  <c r="FY130" i="2" s="1"/>
  <c r="FY20" i="2" a="1"/>
  <c r="FY20" i="2" s="1"/>
  <c r="FY123" i="2" a="1"/>
  <c r="FY123" i="2" s="1"/>
  <c r="FY91" i="2" a="1"/>
  <c r="FY91" i="2" s="1"/>
  <c r="FY77" i="2" a="1"/>
  <c r="FY77" i="2" s="1"/>
  <c r="FY9" i="2" a="1"/>
  <c r="FY9" i="2" s="1"/>
  <c r="FY11" i="2" a="1"/>
  <c r="FY11" i="2" s="1"/>
  <c r="FY47" i="2" a="1"/>
  <c r="FY47" i="2" s="1"/>
  <c r="FY155" i="2" a="1"/>
  <c r="FY155" i="2" s="1"/>
  <c r="FY195" i="2" a="1"/>
  <c r="FY195" i="2" s="1"/>
  <c r="FY147" i="2" a="1"/>
  <c r="FY147" i="2" s="1"/>
  <c r="FY40" i="2" a="1"/>
  <c r="FY40" i="2" s="1"/>
  <c r="FY175" i="2" a="1"/>
  <c r="FY175" i="2" s="1"/>
  <c r="FY68" i="2" a="1"/>
  <c r="FY68" i="2" s="1"/>
  <c r="FY108" i="2" a="1"/>
  <c r="FY108" i="2" s="1"/>
  <c r="FY27" i="2" a="1"/>
  <c r="FY27" i="2" s="1"/>
  <c r="FY36" i="2" a="1"/>
  <c r="FY36" i="2" s="1"/>
  <c r="FY200" i="2" a="1"/>
  <c r="FY200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146" i="2" a="1"/>
  <c r="FY146" i="2" s="1"/>
  <c r="FY35" i="2" a="1"/>
  <c r="FY35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9" i="2" a="1"/>
  <c r="FY69" i="2" s="1"/>
  <c r="FY153" i="2" a="1"/>
  <c r="FY153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73" i="2" a="1"/>
  <c r="FY73" i="2" s="1"/>
  <c r="FY92" i="2" a="1"/>
  <c r="FY92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55" i="2" a="1"/>
  <c r="FY55" i="2" s="1"/>
  <c r="AH185" i="2" a="1"/>
  <c r="AH185" i="2" s="1"/>
  <c r="AH83" i="2" a="1"/>
  <c r="AH83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EI195" i="2" a="1"/>
  <c r="EI195" i="2" s="1"/>
  <c r="BX136" i="2" a="1"/>
  <c r="BX136" i="2" s="1"/>
  <c r="BX158" i="2" a="1"/>
  <c r="BX158" i="2" s="1"/>
  <c r="BX12" i="2" a="1"/>
  <c r="BX12" i="2" s="1"/>
  <c r="BX174" i="2" a="1"/>
  <c r="BX174" i="2" s="1"/>
  <c r="BX182" i="2" a="1"/>
  <c r="BX182" i="2" s="1"/>
  <c r="AH151" i="2" a="1"/>
  <c r="AH151" i="2" s="1"/>
  <c r="BX8" i="2" a="1"/>
  <c r="BX8" i="2" s="1"/>
  <c r="AH89" i="2" a="1"/>
  <c r="AH89" i="2" s="1"/>
  <c r="AH186" i="2" a="1"/>
  <c r="AH186" i="2" s="1"/>
  <c r="AH163" i="2" a="1"/>
  <c r="AH163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6" i="2" a="1"/>
  <c r="DN6" i="2" s="1"/>
  <c r="DO6" i="2" s="1"/>
  <c r="BX65" i="2" a="1"/>
  <c r="BX65" i="2" s="1"/>
  <c r="BX107" i="2" a="1"/>
  <c r="BX107" i="2" s="1"/>
  <c r="BX171" i="2" a="1"/>
  <c r="BX171" i="2" s="1"/>
  <c r="BX17" i="2" a="1"/>
  <c r="BX17" i="2" s="1"/>
  <c r="BX55" i="2" a="1"/>
  <c r="BX55" i="2" s="1"/>
  <c r="BX9" i="2" a="1"/>
  <c r="BX9" i="2" s="1"/>
  <c r="FD82" i="2" a="1"/>
  <c r="FD82" i="2" s="1"/>
  <c r="HJ202" i="2"/>
  <c r="EY202" i="2"/>
  <c r="AX200" i="2"/>
  <c r="CS72" i="2" l="1" a="1"/>
  <c r="CS72" i="2" s="1"/>
  <c r="CS77" i="2" a="1"/>
  <c r="CS77" i="2" s="1"/>
  <c r="CS120" i="2" a="1"/>
  <c r="CS120" i="2" s="1"/>
  <c r="CS133" i="2" a="1"/>
  <c r="CS133" i="2" s="1"/>
  <c r="CS129" i="2" a="1"/>
  <c r="CS129" i="2" s="1"/>
  <c r="CS52" i="2" a="1"/>
  <c r="CS52" i="2" s="1"/>
  <c r="CS116" i="2" a="1"/>
  <c r="CS116" i="2" s="1"/>
  <c r="CS27" i="2" a="1"/>
  <c r="CS27" i="2" s="1"/>
  <c r="CS66" i="2" a="1"/>
  <c r="CS66" i="2" s="1"/>
  <c r="CS134" i="2" a="1"/>
  <c r="CS134" i="2" s="1"/>
  <c r="CS24" i="2" a="1"/>
  <c r="CS24" i="2" s="1"/>
  <c r="CS114" i="2" a="1"/>
  <c r="CS114" i="2" s="1"/>
  <c r="CS56" i="2" a="1"/>
  <c r="CS56" i="2" s="1"/>
  <c r="CS105" i="2" a="1"/>
  <c r="CS105" i="2" s="1"/>
  <c r="CS185" i="2" a="1"/>
  <c r="CS185" i="2" s="1"/>
  <c r="CS38" i="2" a="1"/>
  <c r="CS38" i="2" s="1"/>
  <c r="BX150" i="2" a="1"/>
  <c r="BX150" i="2" s="1"/>
  <c r="BX72" i="2" a="1"/>
  <c r="BX72" i="2" s="1"/>
  <c r="BX155" i="2" a="1"/>
  <c r="BX155" i="2" s="1"/>
  <c r="BX51" i="2" a="1"/>
  <c r="BX51" i="2" s="1"/>
  <c r="BX58" i="2" a="1"/>
  <c r="BX58" i="2" s="1"/>
  <c r="BX100" i="2" a="1"/>
  <c r="BX100" i="2" s="1"/>
  <c r="BX76" i="2" a="1"/>
  <c r="BX76" i="2" s="1"/>
  <c r="BX110" i="2" a="1"/>
  <c r="BX110" i="2" s="1"/>
  <c r="BX159" i="2" a="1"/>
  <c r="BX159" i="2" s="1"/>
  <c r="BX79" i="2" a="1"/>
  <c r="BX79" i="2" s="1"/>
  <c r="BX80" i="2" a="1"/>
  <c r="BX80" i="2" s="1"/>
  <c r="BX63" i="2" a="1"/>
  <c r="BX63" i="2" s="1"/>
  <c r="BX7" i="2" a="1"/>
  <c r="BX7" i="2" s="1"/>
  <c r="BX96" i="2" a="1"/>
  <c r="BX96" i="2" s="1"/>
  <c r="BX113" i="2" a="1"/>
  <c r="BX113" i="2" s="1"/>
  <c r="BX66" i="2" a="1"/>
  <c r="BX66" i="2" s="1"/>
  <c r="BX50" i="2" a="1"/>
  <c r="BX50" i="2" s="1"/>
  <c r="BX157" i="2" a="1"/>
  <c r="BX157" i="2" s="1"/>
  <c r="BX36" i="2" a="1"/>
  <c r="BX36" i="2" s="1"/>
  <c r="BX59" i="2" a="1"/>
  <c r="BX59" i="2" s="1"/>
  <c r="BX142" i="2" a="1"/>
  <c r="BX142" i="2" s="1"/>
  <c r="BX176" i="2" a="1"/>
  <c r="BX176" i="2" s="1"/>
  <c r="BX73" i="2" a="1"/>
  <c r="BX73" i="2" s="1"/>
  <c r="BX125" i="2" a="1"/>
  <c r="BX125" i="2" s="1"/>
  <c r="BX152" i="2" a="1"/>
  <c r="BX152" i="2" s="1"/>
  <c r="BX146" i="2" a="1"/>
  <c r="BX146" i="2" s="1"/>
  <c r="BX54" i="2" a="1"/>
  <c r="BX54" i="2" s="1"/>
  <c r="BX177" i="2" a="1"/>
  <c r="BX177" i="2" s="1"/>
  <c r="BX67" i="2" a="1"/>
  <c r="BX67" i="2" s="1"/>
  <c r="CS137" i="2" a="1"/>
  <c r="CS137" i="2" s="1"/>
  <c r="CS161" i="2" a="1"/>
  <c r="CS161" i="2" s="1"/>
  <c r="CS195" i="2" a="1"/>
  <c r="CS195" i="2" s="1"/>
  <c r="AH19" i="2" a="1"/>
  <c r="AH19" i="2" s="1"/>
  <c r="BX201" i="2" a="1"/>
  <c r="BX201" i="2" s="1"/>
  <c r="BX41" i="2" a="1"/>
  <c r="BX41" i="2" s="1"/>
  <c r="BX163" i="2" a="1"/>
  <c r="BX163" i="2" s="1"/>
  <c r="FY178" i="2" a="1"/>
  <c r="FY178" i="2" s="1"/>
  <c r="FY111" i="2" a="1"/>
  <c r="FY111" i="2" s="1"/>
  <c r="FY102" i="2" a="1"/>
  <c r="FY102" i="2" s="1"/>
  <c r="FY165" i="2" a="1"/>
  <c r="FY165" i="2" s="1"/>
  <c r="FY137" i="2" a="1"/>
  <c r="FY137" i="2" s="1"/>
  <c r="FY112" i="2" a="1"/>
  <c r="FY112" i="2" s="1"/>
  <c r="FY129" i="2" a="1"/>
  <c r="FY129" i="2" s="1"/>
  <c r="FY144" i="2" a="1"/>
  <c r="FY144" i="2" s="1"/>
  <c r="FY177" i="2" a="1"/>
  <c r="FY177" i="2" s="1"/>
  <c r="EX203" i="2"/>
  <c r="GL203" i="2"/>
  <c r="AH62" i="2" a="1"/>
  <c r="AH62" i="2" s="1"/>
  <c r="AH90" i="2" a="1"/>
  <c r="AH90" i="2" s="1"/>
  <c r="BX197" i="2" a="1"/>
  <c r="BX197" i="2" s="1"/>
  <c r="AH38" i="2" a="1"/>
  <c r="AH38" i="2" s="1"/>
  <c r="FY126" i="2" a="1"/>
  <c r="FY126" i="2" s="1"/>
  <c r="FY152" i="2" a="1"/>
  <c r="FY152" i="2" s="1"/>
  <c r="FY66" i="2" a="1"/>
  <c r="FY66" i="2" s="1"/>
  <c r="FY32" i="2" a="1"/>
  <c r="FY32" i="2" s="1"/>
  <c r="FY63" i="2" a="1"/>
  <c r="FY63" i="2" s="1"/>
  <c r="FY183" i="2" a="1"/>
  <c r="FY183" i="2" s="1"/>
  <c r="FY16" i="2" a="1"/>
  <c r="FY16" i="2" s="1"/>
  <c r="FY119" i="2" a="1"/>
  <c r="FY119" i="2" s="1"/>
  <c r="FY138" i="2" a="1"/>
  <c r="FY138" i="2" s="1"/>
  <c r="HI203" i="2"/>
  <c r="AH199" i="2" a="1"/>
  <c r="AH199" i="2" s="1"/>
  <c r="AH92" i="2" a="1"/>
  <c r="AH92" i="2" s="1"/>
  <c r="FY79" i="2" a="1"/>
  <c r="FY79" i="2" s="1"/>
  <c r="FY113" i="2" a="1"/>
  <c r="FY113" i="2" s="1"/>
  <c r="FY132" i="2" a="1"/>
  <c r="FY132" i="2" s="1"/>
  <c r="FY141" i="2" a="1"/>
  <c r="FY141" i="2" s="1"/>
  <c r="FY122" i="2" a="1"/>
  <c r="FY122" i="2" s="1"/>
  <c r="GN203" i="2"/>
  <c r="AH166" i="2" a="1"/>
  <c r="AH166" i="2" s="1"/>
  <c r="AH198" i="2" a="1"/>
  <c r="AH198" i="2" s="1"/>
  <c r="FY26" i="2" a="1"/>
  <c r="FY26" i="2" s="1"/>
  <c r="FY101" i="2" a="1"/>
  <c r="FY101" i="2" s="1"/>
  <c r="FY198" i="2" a="1"/>
  <c r="FY198" i="2" s="1"/>
  <c r="FY37" i="2" a="1"/>
  <c r="FY37" i="2" s="1"/>
  <c r="FY51" i="2" a="1"/>
  <c r="FY51" i="2" s="1"/>
  <c r="AH144" i="2" a="1"/>
  <c r="AH144" i="2" s="1"/>
  <c r="AH201" i="2" a="1"/>
  <c r="AH201" i="2" s="1"/>
  <c r="AH37" i="2" a="1"/>
  <c r="AH37" i="2" s="1"/>
  <c r="AH146" i="2" a="1"/>
  <c r="AH146" i="2" s="1"/>
  <c r="AH79" i="2" a="1"/>
  <c r="AH79" i="2" s="1"/>
  <c r="AH17" i="2" a="1"/>
  <c r="AH17" i="2" s="1"/>
  <c r="AH157" i="2" a="1"/>
  <c r="AH157" i="2" s="1"/>
  <c r="AH155" i="2" a="1"/>
  <c r="AH155" i="2" s="1"/>
  <c r="AH197" i="2" a="1"/>
  <c r="AH197" i="2" s="1"/>
  <c r="AH56" i="2" a="1"/>
  <c r="AH56" i="2" s="1"/>
  <c r="AH14" i="2" a="1"/>
  <c r="AH14" i="2" s="1"/>
  <c r="BX119" i="2" a="1"/>
  <c r="BX119" i="2" s="1"/>
  <c r="BX117" i="2" a="1"/>
  <c r="BX117" i="2" s="1"/>
  <c r="AH162" i="2" a="1"/>
  <c r="AH162" i="2" s="1"/>
  <c r="FY116" i="2" a="1"/>
  <c r="FY116" i="2" s="1"/>
  <c r="FY110" i="2" a="1"/>
  <c r="FY110" i="2" s="1"/>
  <c r="FY29" i="2" a="1"/>
  <c r="FY29" i="2" s="1"/>
  <c r="FY109" i="2" a="1"/>
  <c r="FY109" i="2" s="1"/>
  <c r="FY67" i="2" a="1"/>
  <c r="FY67" i="2" s="1"/>
  <c r="FY157" i="2" a="1"/>
  <c r="FY157" i="2" s="1"/>
  <c r="FY93" i="2" a="1"/>
  <c r="FY93" i="2" s="1"/>
  <c r="FY103" i="2" a="1"/>
  <c r="FY103" i="2" s="1"/>
  <c r="FY7" i="2" a="1"/>
  <c r="FY7" i="2" s="1"/>
  <c r="FZ7" i="2" s="1"/>
  <c r="FR203" i="2"/>
  <c r="FY150" i="2" a="1"/>
  <c r="FY150" i="2" s="1"/>
  <c r="FY59" i="2" a="1"/>
  <c r="FY59" i="2" s="1"/>
  <c r="EW203" i="2"/>
  <c r="HH203" i="2"/>
  <c r="FY125" i="2" a="1"/>
  <c r="FY125" i="2" s="1"/>
  <c r="HG203" i="2"/>
  <c r="FS203" i="2"/>
  <c r="DN132" i="2" a="1"/>
  <c r="DN132" i="2" s="1"/>
  <c r="DN45" i="2" a="1"/>
  <c r="DN45" i="2" s="1"/>
  <c r="DN30" i="2" a="1"/>
  <c r="DN30" i="2" s="1"/>
  <c r="DN55" i="2" a="1"/>
  <c r="DN55" i="2" s="1"/>
  <c r="DN110" i="2" a="1"/>
  <c r="DN110" i="2" s="1"/>
  <c r="DN16" i="2" a="1"/>
  <c r="DN16" i="2" s="1"/>
  <c r="DN43" i="2" a="1"/>
  <c r="DN43" i="2" s="1"/>
  <c r="DN31" i="2" a="1"/>
  <c r="DN31" i="2" s="1"/>
  <c r="DN168" i="2" a="1"/>
  <c r="DN168" i="2" s="1"/>
  <c r="DN164" i="2" a="1"/>
  <c r="DN164" i="2" s="1"/>
  <c r="DN46" i="2" a="1"/>
  <c r="DN46" i="2" s="1"/>
  <c r="DN187" i="2" a="1"/>
  <c r="DN187" i="2" s="1"/>
  <c r="DN190" i="2" a="1"/>
  <c r="DN190" i="2" s="1"/>
  <c r="DN70" i="2" a="1"/>
  <c r="DN70" i="2" s="1"/>
  <c r="DN80" i="2" a="1"/>
  <c r="DN80" i="2" s="1"/>
  <c r="DN192" i="2" a="1"/>
  <c r="DN192" i="2" s="1"/>
  <c r="DN188" i="2" a="1"/>
  <c r="DN188" i="2" s="1"/>
  <c r="DN176" i="2" a="1"/>
  <c r="DN176" i="2" s="1"/>
  <c r="DN167" i="2" a="1"/>
  <c r="DN167" i="2" s="1"/>
  <c r="DN66" i="2" a="1"/>
  <c r="DN66" i="2" s="1"/>
  <c r="DN133" i="2" a="1"/>
  <c r="DN133" i="2" s="1"/>
  <c r="DN162" i="2" a="1"/>
  <c r="DN162" i="2" s="1"/>
  <c r="DN86" i="2" a="1"/>
  <c r="DN86" i="2" s="1"/>
  <c r="DN65" i="2" a="1"/>
  <c r="DN65" i="2" s="1"/>
  <c r="DN49" i="2" a="1"/>
  <c r="DN49" i="2" s="1"/>
  <c r="DN123" i="2" a="1"/>
  <c r="DN123" i="2" s="1"/>
  <c r="DN177" i="2" a="1"/>
  <c r="DN177" i="2" s="1"/>
  <c r="DN114" i="2" a="1"/>
  <c r="DN114" i="2" s="1"/>
  <c r="DN115" i="2" a="1"/>
  <c r="DN115" i="2" s="1"/>
  <c r="DN135" i="2" a="1"/>
  <c r="DN135" i="2" s="1"/>
  <c r="DN63" i="2" a="1"/>
  <c r="DN63" i="2" s="1"/>
  <c r="DN103" i="2" a="1"/>
  <c r="DN103" i="2" s="1"/>
  <c r="DN50" i="2" a="1"/>
  <c r="DN50" i="2" s="1"/>
  <c r="DN38" i="2" a="1"/>
  <c r="DN38" i="2" s="1"/>
  <c r="DN150" i="2" a="1"/>
  <c r="DN150" i="2" s="1"/>
  <c r="DN29" i="2" a="1"/>
  <c r="DN29" i="2" s="1"/>
  <c r="DN153" i="2" a="1"/>
  <c r="DN153" i="2" s="1"/>
  <c r="DN170" i="2" a="1"/>
  <c r="DN170" i="2" s="1"/>
  <c r="DN129" i="2" a="1"/>
  <c r="DN129" i="2" s="1"/>
  <c r="DN113" i="2" a="1"/>
  <c r="DN113" i="2" s="1"/>
  <c r="DN25" i="2" a="1"/>
  <c r="DN25" i="2" s="1"/>
  <c r="DN41" i="2" a="1"/>
  <c r="DN41" i="2" s="1"/>
  <c r="DN152" i="2" a="1"/>
  <c r="DN152" i="2" s="1"/>
  <c r="DN155" i="2" a="1"/>
  <c r="DN155" i="2" s="1"/>
  <c r="DN56" i="2" a="1"/>
  <c r="DN56" i="2" s="1"/>
  <c r="DN137" i="2" a="1"/>
  <c r="DN137" i="2" s="1"/>
  <c r="DN184" i="2" a="1"/>
  <c r="DN184" i="2" s="1"/>
  <c r="DN124" i="2" a="1"/>
  <c r="DN124" i="2" s="1"/>
  <c r="DN186" i="2" a="1"/>
  <c r="DN186" i="2" s="1"/>
  <c r="CM203" i="2"/>
  <c r="BC84" i="2" a="1"/>
  <c r="BC84" i="2" s="1"/>
  <c r="BC18" i="2" a="1"/>
  <c r="BC18" i="2" s="1"/>
  <c r="BC47" i="2" a="1"/>
  <c r="BC47" i="2" s="1"/>
  <c r="BC38" i="2" a="1"/>
  <c r="BC38" i="2" s="1"/>
  <c r="BC32" i="2" a="1"/>
  <c r="BC32" i="2" s="1"/>
  <c r="BC71" i="2" a="1"/>
  <c r="BC71" i="2" s="1"/>
  <c r="BC164" i="2" a="1"/>
  <c r="BC164" i="2" s="1"/>
  <c r="BC117" i="2" a="1"/>
  <c r="BC117" i="2" s="1"/>
  <c r="BC68" i="2" a="1"/>
  <c r="BC68" i="2" s="1"/>
  <c r="BC151" i="2" a="1"/>
  <c r="BC151" i="2" s="1"/>
  <c r="BC192" i="2" a="1"/>
  <c r="BC192" i="2" s="1"/>
  <c r="BC181" i="2" a="1"/>
  <c r="BC181" i="2" s="1"/>
  <c r="BC146" i="2" a="1"/>
  <c r="BC146" i="2" s="1"/>
  <c r="BC55" i="2" a="1"/>
  <c r="BC55" i="2" s="1"/>
  <c r="BC65" i="2" a="1"/>
  <c r="BC65" i="2" s="1"/>
  <c r="BC15" i="2" a="1"/>
  <c r="BC15" i="2" s="1"/>
  <c r="BC83" i="2" a="1"/>
  <c r="BC83" i="2" s="1"/>
  <c r="BC185" i="2" a="1"/>
  <c r="BC185" i="2" s="1"/>
  <c r="BC130" i="2" a="1"/>
  <c r="BC130" i="2" s="1"/>
  <c r="BC114" i="2" a="1"/>
  <c r="BC114" i="2" s="1"/>
  <c r="BC196" i="2" a="1"/>
  <c r="BC196" i="2" s="1"/>
  <c r="BC143" i="2" a="1"/>
  <c r="BC143" i="2" s="1"/>
  <c r="BC126" i="2" a="1"/>
  <c r="BC126" i="2" s="1"/>
  <c r="BC58" i="2" a="1"/>
  <c r="BC58" i="2" s="1"/>
  <c r="BC7" i="2" a="1"/>
  <c r="BC7" i="2" s="1"/>
  <c r="BC31" i="2" a="1"/>
  <c r="BC31" i="2" s="1"/>
  <c r="BC82" i="2" a="1"/>
  <c r="BC82" i="2" s="1"/>
  <c r="BC34" i="2" a="1"/>
  <c r="BC34" i="2" s="1"/>
  <c r="AH136" i="2" a="1"/>
  <c r="AH136" i="2" s="1"/>
  <c r="AH143" i="2" a="1"/>
  <c r="AH143" i="2" s="1"/>
  <c r="BQ203" i="2"/>
  <c r="DH203" i="2"/>
  <c r="EC203" i="2"/>
  <c r="EB203" i="2"/>
  <c r="EA203" i="2"/>
  <c r="BP203" i="2"/>
  <c r="DF203" i="2"/>
  <c r="DG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ED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D15" i="4"/>
  <c r="D13" i="4"/>
  <c r="D14" i="4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D12" i="4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V33" i="2"/>
  <c r="GW33" i="2" s="1"/>
  <c r="GX33" i="2" s="1"/>
  <c r="GY33" i="2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GE3" i="2"/>
  <c r="C14" i="4" s="1"/>
  <c r="E14" i="4" s="1"/>
  <c r="F14" i="4" s="1"/>
  <c r="G14" i="4" s="1"/>
  <c r="L14" i="4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93" i="2" l="1"/>
  <c r="CY47" i="2"/>
  <c r="CY16" i="2"/>
  <c r="CY70" i="2"/>
  <c r="CY6" i="2"/>
  <c r="CY130" i="2"/>
  <c r="CY69" i="2"/>
  <c r="CY201" i="2"/>
  <c r="CY164" i="2"/>
  <c r="CY24" i="2"/>
  <c r="CY10" i="2"/>
  <c r="CY168" i="2"/>
  <c r="CY175" i="2"/>
  <c r="CY74" i="2"/>
  <c r="CY73" i="2"/>
  <c r="CY60" i="2"/>
  <c r="CY117" i="2"/>
  <c r="CY7" i="2"/>
  <c r="CY51" i="2"/>
  <c r="CY91" i="2"/>
  <c r="CY152" i="2"/>
  <c r="CY176" i="2"/>
  <c r="CY68" i="2"/>
  <c r="CY26" i="2"/>
  <c r="CY85" i="2"/>
  <c r="CY44" i="2"/>
  <c r="CY66" i="2"/>
  <c r="CY107" i="2"/>
  <c r="CY62" i="2"/>
  <c r="CY21" i="2"/>
  <c r="CY137" i="2"/>
  <c r="CY172" i="2"/>
  <c r="CY97" i="2"/>
  <c r="CY22" i="2"/>
  <c r="CY127" i="2"/>
  <c r="CY179" i="2"/>
  <c r="CY115" i="2"/>
  <c r="CY188" i="2"/>
  <c r="CY109" i="2"/>
  <c r="CY86" i="2"/>
  <c r="CY28" i="2"/>
  <c r="CY31" i="2"/>
  <c r="CY183" i="2"/>
  <c r="CY134" i="2"/>
  <c r="CY143" i="2"/>
  <c r="CY36" i="2"/>
  <c r="CY76" i="2"/>
  <c r="CY61" i="2"/>
  <c r="CY52" i="2"/>
  <c r="CY42" i="2"/>
  <c r="CY45" i="2"/>
  <c r="CY58" i="2"/>
  <c r="CY129" i="2"/>
  <c r="CY75" i="2"/>
  <c r="CY59" i="2"/>
  <c r="CY40" i="2"/>
  <c r="CY148" i="2"/>
  <c r="CY131" i="2"/>
  <c r="CY88" i="2"/>
  <c r="CY57" i="2"/>
  <c r="CY99" i="2"/>
  <c r="CY166" i="2"/>
  <c r="CY193" i="2"/>
  <c r="CY173" i="2"/>
  <c r="CY111" i="2"/>
  <c r="CY133" i="2"/>
  <c r="CY23" i="2"/>
  <c r="CY100" i="2"/>
  <c r="CY101" i="2"/>
  <c r="CY180" i="2"/>
  <c r="CY140" i="2"/>
  <c r="CY80" i="2"/>
  <c r="CY119" i="2"/>
  <c r="CY29" i="2"/>
  <c r="CY64" i="2"/>
  <c r="CY113" i="2"/>
  <c r="CY162" i="2"/>
  <c r="CY128" i="2"/>
  <c r="CY34" i="2"/>
  <c r="CY158" i="2"/>
  <c r="CY72" i="2"/>
  <c r="CY191" i="2"/>
  <c r="CY181" i="2"/>
  <c r="CY203" i="2"/>
  <c r="CY156" i="2"/>
  <c r="CY150" i="2"/>
  <c r="CY83" i="2"/>
  <c r="CY190" i="2"/>
  <c r="CY8" i="2"/>
  <c r="CY171" i="2"/>
  <c r="CY104" i="2"/>
  <c r="CY138" i="2"/>
  <c r="CY186" i="2"/>
  <c r="CY79" i="2"/>
  <c r="CY3" i="2"/>
  <c r="C10" i="4" s="1"/>
  <c r="E10" i="4" s="1"/>
  <c r="F10" i="4" s="1"/>
  <c r="G10" i="4" s="1"/>
  <c r="L10" i="4" s="1"/>
  <c r="CY170" i="2"/>
  <c r="CY165" i="2"/>
  <c r="CY163" i="2"/>
  <c r="CY132" i="2"/>
  <c r="CY112" i="2"/>
  <c r="CY139" i="2"/>
  <c r="CY200" i="2"/>
  <c r="CY147" i="2"/>
  <c r="CY39" i="2"/>
  <c r="CY199" i="2"/>
  <c r="CY56" i="2"/>
  <c r="CY102" i="2"/>
  <c r="CY108" i="2"/>
  <c r="CY142" i="2"/>
  <c r="CY161" i="2"/>
  <c r="CY151" i="2"/>
  <c r="CY18" i="2"/>
  <c r="CY15" i="2"/>
  <c r="CY98" i="2"/>
  <c r="CY106" i="2"/>
  <c r="CY178" i="2"/>
  <c r="CY146" i="2"/>
  <c r="CY177" i="2"/>
  <c r="CY84" i="2"/>
  <c r="CY154" i="2"/>
  <c r="CY92" i="2"/>
  <c r="CY25" i="2"/>
  <c r="CY196" i="2"/>
  <c r="CY185" i="2"/>
  <c r="CY118" i="2"/>
  <c r="CY155" i="2"/>
  <c r="CY124" i="2"/>
  <c r="CY65" i="2"/>
  <c r="CY103" i="2"/>
  <c r="CY87" i="2"/>
  <c r="CY55" i="2"/>
  <c r="CY135" i="2"/>
  <c r="CY197" i="2"/>
  <c r="CY13" i="2"/>
  <c r="CY153" i="2"/>
  <c r="CY94" i="2"/>
  <c r="CY48" i="2"/>
  <c r="CY189" i="2"/>
  <c r="CY160" i="2"/>
  <c r="CY27" i="2"/>
  <c r="CY149" i="2"/>
  <c r="CY30" i="2"/>
  <c r="CY81" i="2"/>
  <c r="CY78" i="2"/>
  <c r="CY159" i="2"/>
  <c r="CY14" i="2"/>
  <c r="CY4" i="2"/>
  <c r="CY121" i="2"/>
  <c r="CY192" i="2"/>
  <c r="CY54" i="2"/>
  <c r="CY9" i="2"/>
  <c r="CY198" i="2"/>
  <c r="CY202" i="2"/>
  <c r="CY96" i="2"/>
  <c r="CY195" i="2"/>
  <c r="CY43" i="2"/>
  <c r="CY46" i="2"/>
  <c r="CY184" i="2"/>
  <c r="CY63" i="2"/>
  <c r="CY126" i="2"/>
  <c r="CY123" i="2"/>
  <c r="CY5" i="2"/>
  <c r="CY145" i="2"/>
  <c r="CY35" i="2"/>
  <c r="CY95" i="2"/>
  <c r="CY90" i="2"/>
  <c r="CY110" i="2"/>
  <c r="CY169" i="2"/>
  <c r="CY120" i="2"/>
  <c r="CY114" i="2"/>
  <c r="CY182" i="2"/>
  <c r="CY41" i="2"/>
  <c r="CY89" i="2"/>
  <c r="CY32" i="2"/>
  <c r="CY11" i="2"/>
  <c r="CY167" i="2"/>
  <c r="CY194" i="2"/>
  <c r="CY71" i="2"/>
  <c r="CY67" i="2"/>
  <c r="CY38" i="2"/>
  <c r="CY157" i="2"/>
  <c r="CY105" i="2"/>
  <c r="CY141" i="2"/>
  <c r="CY37" i="2"/>
  <c r="CY17" i="2"/>
  <c r="CY19" i="2"/>
  <c r="CY187" i="2"/>
  <c r="CY53" i="2"/>
  <c r="CY50" i="2"/>
  <c r="CY82" i="2"/>
  <c r="CY33" i="2"/>
  <c r="CY122" i="2"/>
  <c r="CY116" i="2"/>
  <c r="CY125" i="2"/>
  <c r="CY12" i="2"/>
  <c r="CY20" i="2"/>
  <c r="CY77" i="2"/>
  <c r="CY49" i="2"/>
  <c r="CY136" i="2"/>
  <c r="CY144" i="2"/>
  <c r="CY174" i="2"/>
  <c r="CD60" i="2"/>
  <c r="CD158" i="2"/>
  <c r="CD53" i="2"/>
  <c r="CD101" i="2"/>
  <c r="CD150" i="2"/>
  <c r="CD119" i="2"/>
  <c r="CD65" i="2"/>
  <c r="CD97" i="2"/>
  <c r="CD52" i="2"/>
  <c r="CD151" i="2"/>
  <c r="CD177" i="2"/>
  <c r="CD43" i="2"/>
  <c r="CD61" i="2"/>
  <c r="CD18" i="2"/>
  <c r="CD168" i="2"/>
  <c r="CD22" i="2"/>
  <c r="CD133" i="2"/>
  <c r="CD10" i="2"/>
  <c r="CD176" i="2"/>
  <c r="CD29" i="2"/>
  <c r="CD120" i="2"/>
  <c r="CD121" i="2"/>
  <c r="CD169" i="2"/>
  <c r="CD106" i="2"/>
  <c r="CD163" i="2"/>
  <c r="CD155" i="2"/>
  <c r="CD44" i="2"/>
  <c r="CD138" i="2"/>
  <c r="CD123" i="2"/>
  <c r="CD201" i="2"/>
  <c r="CD14" i="2"/>
  <c r="CD75" i="2"/>
  <c r="CD70" i="2"/>
  <c r="CD90" i="2"/>
  <c r="CD183" i="2"/>
  <c r="CD186" i="2"/>
  <c r="CD113" i="2"/>
  <c r="CD41" i="2"/>
  <c r="CD81" i="2"/>
  <c r="CD99" i="2"/>
  <c r="CD170" i="2"/>
  <c r="CD98" i="2"/>
  <c r="CD172" i="2"/>
  <c r="CD132" i="2"/>
  <c r="CD145" i="2"/>
  <c r="CD109" i="2"/>
  <c r="CD33" i="2"/>
  <c r="CD185" i="2"/>
  <c r="CD76" i="2"/>
  <c r="CD20" i="2"/>
  <c r="CD112" i="2"/>
  <c r="CD87" i="2"/>
  <c r="CD181" i="2"/>
  <c r="CD157" i="2"/>
  <c r="CD124" i="2"/>
  <c r="CD47" i="2"/>
  <c r="CD35" i="2"/>
  <c r="CD152" i="2"/>
  <c r="CD182" i="2"/>
  <c r="CD104" i="2"/>
  <c r="CD15" i="2"/>
  <c r="CD128" i="2"/>
  <c r="CD200" i="2"/>
  <c r="CD139" i="2"/>
  <c r="CD92" i="2"/>
  <c r="CD114" i="2"/>
  <c r="CD191" i="2"/>
  <c r="CD39" i="2"/>
  <c r="CD66" i="2"/>
  <c r="CD40" i="2"/>
  <c r="CD78" i="2"/>
  <c r="CD79" i="2"/>
  <c r="CD93" i="2"/>
  <c r="CD136" i="2"/>
  <c r="CD74" i="2"/>
  <c r="CD34" i="2"/>
  <c r="CD154" i="2"/>
  <c r="CD129" i="2"/>
  <c r="CD13" i="2"/>
  <c r="CD8" i="2"/>
  <c r="CD46" i="2"/>
  <c r="CD23" i="2"/>
  <c r="CD173" i="2"/>
  <c r="CD141" i="2"/>
  <c r="CD164" i="2"/>
  <c r="CD142" i="2"/>
  <c r="CD12" i="2"/>
  <c r="CD36" i="2"/>
  <c r="CD64" i="2"/>
  <c r="CD54" i="2"/>
  <c r="CD160" i="2"/>
  <c r="CD38" i="2"/>
  <c r="CD7" i="2"/>
  <c r="CD147" i="2"/>
  <c r="CD162" i="2"/>
  <c r="CD187" i="2"/>
  <c r="CD198" i="2"/>
  <c r="CD108" i="2"/>
  <c r="CD68" i="2"/>
  <c r="CD131" i="2"/>
  <c r="CD122" i="2"/>
  <c r="CD80" i="2"/>
  <c r="CD6" i="2"/>
  <c r="CD71" i="2"/>
  <c r="CD96" i="2"/>
  <c r="CD171" i="2"/>
  <c r="CD125" i="2"/>
  <c r="CD134" i="2"/>
  <c r="CD25" i="2"/>
  <c r="CD11" i="2"/>
  <c r="CD100" i="2"/>
  <c r="CD27" i="2"/>
  <c r="CD28" i="2"/>
  <c r="CD62" i="2"/>
  <c r="CD130" i="2"/>
  <c r="CD69" i="2"/>
  <c r="CD126" i="2"/>
  <c r="CD159" i="2"/>
  <c r="CD17" i="2"/>
  <c r="CD73" i="2"/>
  <c r="CD116" i="2"/>
  <c r="CD161" i="2"/>
  <c r="CD144" i="2"/>
  <c r="CD166" i="2"/>
  <c r="CD5" i="2"/>
  <c r="CD32" i="2"/>
  <c r="CD50" i="2"/>
  <c r="CD59" i="2"/>
  <c r="CD55" i="2"/>
  <c r="CD85" i="2"/>
  <c r="CD56" i="2"/>
  <c r="CD179" i="2"/>
  <c r="CD95" i="2"/>
  <c r="CD156" i="2"/>
  <c r="CD195" i="2"/>
  <c r="CD67" i="2"/>
  <c r="CD143" i="2"/>
  <c r="CD180" i="2"/>
  <c r="CD115" i="2"/>
  <c r="CD58" i="2"/>
  <c r="CD83" i="2"/>
  <c r="CD45" i="2"/>
  <c r="CD4" i="2"/>
  <c r="CD82" i="2"/>
  <c r="CD196" i="2"/>
  <c r="CD167" i="2"/>
  <c r="CD193" i="2"/>
  <c r="CD91" i="2"/>
  <c r="CD165" i="2"/>
  <c r="CD118" i="2"/>
  <c r="CD110" i="2"/>
  <c r="CD77" i="2"/>
  <c r="CD16" i="2"/>
  <c r="CD135" i="2"/>
  <c r="CD63" i="2"/>
  <c r="CD102" i="2"/>
  <c r="CD107" i="2"/>
  <c r="CD117" i="2"/>
  <c r="CD111" i="2"/>
  <c r="CD105" i="2"/>
  <c r="CD188" i="2"/>
  <c r="CD199" i="2"/>
  <c r="CD202" i="2"/>
  <c r="CD190" i="2"/>
  <c r="CD175" i="2"/>
  <c r="CD153" i="2"/>
  <c r="CD189" i="2"/>
  <c r="CD149" i="2"/>
  <c r="CD192" i="2"/>
  <c r="CD146" i="2"/>
  <c r="CD174" i="2"/>
  <c r="CD37" i="2"/>
  <c r="CD94" i="2"/>
  <c r="CD19" i="2"/>
  <c r="CD48" i="2"/>
  <c r="CD103" i="2"/>
  <c r="CD30" i="2"/>
  <c r="CD31" i="2"/>
  <c r="CD88" i="2"/>
  <c r="CD86" i="2"/>
  <c r="CD140" i="2"/>
  <c r="CD51" i="2"/>
  <c r="CD127" i="2"/>
  <c r="CD42" i="2"/>
  <c r="CD9" i="2"/>
  <c r="CD3" i="2"/>
  <c r="C9" i="4" s="1"/>
  <c r="E9" i="4" s="1"/>
  <c r="F9" i="4" s="1"/>
  <c r="G9" i="4" s="1"/>
  <c r="L9" i="4" s="1"/>
  <c r="CD57" i="2"/>
  <c r="CD194" i="2"/>
  <c r="CD49" i="2"/>
  <c r="CD137" i="2"/>
  <c r="CD84" i="2"/>
  <c r="CD24" i="2"/>
  <c r="CD26" i="2"/>
  <c r="CD21" i="2"/>
  <c r="CD148" i="2"/>
  <c r="CD178" i="2"/>
  <c r="CD72" i="2"/>
  <c r="CD197" i="2"/>
  <c r="CD203" i="2"/>
  <c r="CD89" i="2"/>
  <c r="CD184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47" i="2" l="1"/>
  <c r="BI22" i="2"/>
  <c r="BI101" i="2"/>
  <c r="BI80" i="2"/>
  <c r="BI8" i="2"/>
  <c r="BI123" i="2"/>
  <c r="BI169" i="2"/>
  <c r="BI46" i="2"/>
  <c r="BI179" i="2"/>
  <c r="BI130" i="2"/>
  <c r="BI12" i="2"/>
  <c r="BI83" i="2"/>
  <c r="BI99" i="2"/>
  <c r="BI192" i="2"/>
  <c r="BI3" i="2"/>
  <c r="C8" i="4" s="1"/>
  <c r="E8" i="4" s="1"/>
  <c r="F8" i="4" s="1"/>
  <c r="G8" i="4" s="1"/>
  <c r="L8" i="4" s="1"/>
  <c r="BI15" i="2"/>
  <c r="BI127" i="2"/>
  <c r="BI69" i="2"/>
  <c r="BI105" i="2"/>
  <c r="BI183" i="2"/>
  <c r="BI174" i="2"/>
  <c r="BI4" i="2"/>
  <c r="BI65" i="2"/>
  <c r="BI149" i="2"/>
  <c r="BI41" i="2"/>
  <c r="BI91" i="2"/>
  <c r="BI116" i="2"/>
  <c r="BI32" i="2"/>
  <c r="BI97" i="2"/>
  <c r="BI203" i="2"/>
  <c r="BI112" i="2"/>
  <c r="BI175" i="2"/>
  <c r="BI49" i="2"/>
  <c r="BI193" i="2"/>
  <c r="BI25" i="2"/>
  <c r="BI42" i="2"/>
  <c r="BI100" i="2"/>
  <c r="BI109" i="2"/>
  <c r="BI94" i="2"/>
  <c r="BI139" i="2"/>
  <c r="BI117" i="2"/>
  <c r="BI61" i="2"/>
  <c r="BI84" i="2"/>
  <c r="BI119" i="2"/>
  <c r="BI74" i="2"/>
  <c r="BI126" i="2"/>
  <c r="BI150" i="2"/>
  <c r="BI111" i="2"/>
  <c r="BI147" i="2"/>
  <c r="BI7" i="2"/>
  <c r="BI200" i="2"/>
  <c r="BI36" i="2"/>
  <c r="BI11" i="2"/>
  <c r="BI48" i="2"/>
  <c r="BI159" i="2"/>
  <c r="BI129" i="2"/>
  <c r="BI31" i="2"/>
  <c r="BI90" i="2"/>
  <c r="BI178" i="2"/>
  <c r="BI66" i="2"/>
  <c r="BI181" i="2"/>
  <c r="BI113" i="2"/>
  <c r="BI26" i="2"/>
  <c r="BI133" i="2"/>
  <c r="BI93" i="2"/>
  <c r="BI189" i="2"/>
  <c r="BI148" i="2"/>
  <c r="BI52" i="2"/>
  <c r="BI168" i="2"/>
  <c r="BI146" i="2"/>
  <c r="BI64" i="2"/>
  <c r="BI6" i="2"/>
  <c r="BI88" i="2"/>
  <c r="BI128" i="2"/>
  <c r="BI43" i="2"/>
  <c r="BI110" i="2"/>
  <c r="BI45" i="2"/>
  <c r="BI106" i="2"/>
  <c r="BI87" i="2"/>
  <c r="BI73" i="2"/>
  <c r="BI141" i="2"/>
  <c r="BI71" i="2"/>
  <c r="BI132" i="2"/>
  <c r="BI196" i="2"/>
  <c r="BI38" i="2"/>
  <c r="BI24" i="2"/>
  <c r="BI78" i="2"/>
  <c r="BI68" i="2"/>
  <c r="BI62" i="2"/>
  <c r="BI56" i="2"/>
  <c r="BI51" i="2"/>
  <c r="BI108" i="2"/>
  <c r="BI53" i="2"/>
  <c r="BI166" i="2"/>
  <c r="BI23" i="2"/>
  <c r="BI165" i="2"/>
  <c r="BI77" i="2"/>
  <c r="BI34" i="2"/>
  <c r="BI164" i="2"/>
  <c r="BI142" i="2"/>
  <c r="BI55" i="2"/>
  <c r="BI160" i="2"/>
  <c r="BI89" i="2"/>
  <c r="BI157" i="2"/>
  <c r="BI154" i="2"/>
  <c r="BI182" i="2"/>
  <c r="BI21" i="2"/>
  <c r="BI75" i="2"/>
  <c r="BI70" i="2"/>
  <c r="BI162" i="2"/>
  <c r="BI134" i="2"/>
  <c r="BI138" i="2"/>
  <c r="BI104" i="2"/>
  <c r="BI115" i="2"/>
  <c r="BI82" i="2"/>
  <c r="BI114" i="2"/>
  <c r="BI161" i="2"/>
  <c r="BI199" i="2"/>
  <c r="BI103" i="2"/>
  <c r="BI195" i="2"/>
  <c r="BI171" i="2"/>
  <c r="BI107" i="2"/>
  <c r="BI187" i="2"/>
  <c r="BI177" i="2"/>
  <c r="BI153" i="2"/>
  <c r="BI17" i="2"/>
  <c r="BI184" i="2"/>
  <c r="BI194" i="2"/>
  <c r="BI63" i="2"/>
  <c r="BI28" i="2"/>
  <c r="BI140" i="2"/>
  <c r="BI131" i="2"/>
  <c r="BI143" i="2"/>
  <c r="BI121" i="2"/>
  <c r="BI167" i="2"/>
  <c r="BI158" i="2"/>
  <c r="BI188" i="2"/>
  <c r="BI33" i="2"/>
  <c r="BI60" i="2"/>
  <c r="BI5" i="2"/>
  <c r="BI122" i="2"/>
  <c r="BI16" i="2"/>
  <c r="BI152" i="2"/>
  <c r="BI81" i="2"/>
  <c r="BI186" i="2"/>
  <c r="BI172" i="2"/>
  <c r="BI201" i="2"/>
  <c r="BI197" i="2"/>
  <c r="BI72" i="2"/>
  <c r="BI144" i="2"/>
  <c r="BI57" i="2"/>
  <c r="BI27" i="2"/>
  <c r="BI18" i="2"/>
  <c r="BI155" i="2"/>
  <c r="BI9" i="2"/>
  <c r="BI180" i="2"/>
  <c r="BI185" i="2"/>
  <c r="BI44" i="2"/>
  <c r="BI40" i="2"/>
  <c r="BI163" i="2"/>
  <c r="BI14" i="2"/>
  <c r="BI19" i="2"/>
  <c r="BI92" i="2"/>
  <c r="BI137" i="2"/>
  <c r="BI124" i="2"/>
  <c r="BI136" i="2"/>
  <c r="BI151" i="2"/>
  <c r="BI125" i="2"/>
  <c r="BI29" i="2"/>
  <c r="BI176" i="2"/>
  <c r="BI37" i="2"/>
  <c r="BI10" i="2"/>
  <c r="BI95" i="2"/>
  <c r="BI30" i="2"/>
  <c r="BI13" i="2"/>
  <c r="BI58" i="2"/>
  <c r="BI156" i="2"/>
  <c r="BI79" i="2"/>
  <c r="BI59" i="2"/>
  <c r="BI170" i="2"/>
  <c r="BI98" i="2"/>
  <c r="BI202" i="2"/>
  <c r="BI135" i="2"/>
  <c r="BI35" i="2"/>
  <c r="BI54" i="2"/>
  <c r="BI102" i="2"/>
  <c r="BI50" i="2"/>
  <c r="BI118" i="2"/>
  <c r="BI190" i="2"/>
  <c r="BI198" i="2"/>
  <c r="BI96" i="2"/>
  <c r="BI86" i="2"/>
  <c r="BI85" i="2"/>
  <c r="BI191" i="2"/>
  <c r="BI67" i="2"/>
  <c r="BI173" i="2"/>
  <c r="BI76" i="2"/>
  <c r="BI145" i="2"/>
  <c r="BI39" i="2"/>
  <c r="BI120" i="2"/>
  <c r="BI20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<sst xmlns="http://schemas.openxmlformats.org/spreadsheetml/2006/main" count="1006" uniqueCount="315">
  <si>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</si>
  <si>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</si>
  <si>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</si>
  <si>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</si>
  <si>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</si>
  <si>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</si>
  <si>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</si>
  <si>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</si>
  <si>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</si>
  <si>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</si>
  <si>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</si>
  <si>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</si>
  <si>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</si>
  <si>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</si>
  <si>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</si>
  <si>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</si>
  <si>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</si>
  <si>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</si>
  <si>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</si>
  <si>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</si>
  <si>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</si>
  <si>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</si>
  <si>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</si>
  <si>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</si>
  <si>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</si>
  <si>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</si>
  <si>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</si>
  <si>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</si>
  <si>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</si>
  <si>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</si>
  <si>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</si>
  <si>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</si>
  <si>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</si>
  <si>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</si>
  <si>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</si>
  <si>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</si>
  <si>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</si>
  <si>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</si>
  <si>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</si>
  <si>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</si>
  <si>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</si>
  <si>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</si>
  <si>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</si>
  <si>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</si>
  <si>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</si>
  <si>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</si>
  <si>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</si>
  <si>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</si>
  <si>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</si>
  <si>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</si>
  <si>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</si>
  <si>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</si>
  <si>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</si>
  <si>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</si>
  <si>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</si>
  <si>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</si>
  <si>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</si>
  <si>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</si>
  <si>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</si>
  <si>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</si>
  <si>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</si>
  <si>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</si>
  <si>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</si>
  <si>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</si>
  <si>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</si>
  <si>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</si>
  <si>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</si>
  <si>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</si>
  <si>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</si>
  <si>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</si>
  <si>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</si>
  <si>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</si>
  <si>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</si>
  <si>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</si>
  <si>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</si>
  <si>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</si>
  <si>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</si>
  <si>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</si>
  <si>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</si>
  <si>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</si>
  <si>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</si>
  <si>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</si>
  <si>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</si>
  <si>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</si>
  <si>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</si>
  <si>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</si>
  <si>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</si>
  <si>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</si>
  <si>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</si>
  <si>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</si>
  <si>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</si>
  <si>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</si>
  <si>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</si>
  <si>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</si>
  <si>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</si>
  <si>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</si>
  <si>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</si>
  <si>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</si>
  <si>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</si>
  <si>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</si>
  <si>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</si>
  <si>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</si>
  <si>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</si>
  <si>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</si>
  <si>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</si>
  <si>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</si>
  <si>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</si>
  <si>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</si>
  <si>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</si>
  <si>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</si>
  <si>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</si>
  <si>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</si>
  <si>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</si>
  <si>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</si>
  <si>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</si>
  <si>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</si>
  <si>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</si>
  <si>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</si>
  <si>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</si>
  <si>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</si>
  <si>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</si>
  <si>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</si>
  <si>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</si>
  <si>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</si>
  <si>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</si>
  <si>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</si>
  <si>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</si>
  <si>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</si>
  <si>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</si>
  <si>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</si>
  <si>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</si>
  <si>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</si>
  <si>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</si>
  <si>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</si>
  <si>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</si>
  <si>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</si>
  <si>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</si>
  <si>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</si>
  <si>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</si>
  <si>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</si>
  <si>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</si>
  <si>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</si>
  <si>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</si>
  <si>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</si>
  <si>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</si>
  <si>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</si>
  <si>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</si>
  <si>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</si>
  <si>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</si>
  <si>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</si>
  <si>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</si>
  <si>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</si>
  <si>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</si>
  <si>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</si>
  <si>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</si>
  <si>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</si>
  <si>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</si>
  <si>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</si>
  <si>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</si>
  <si>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</si>
  <si>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</si>
  <si>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</si>
  <si>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</si>
  <si>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</si>
  <si>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</si>
  <si>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</si>
  <si>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</si>
  <si>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</si>
  <si>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</si>
  <si>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</si>
  <si>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</si>
  <si>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</si>
  <si>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</si>
  <si>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</si>
  <si>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</si>
  <si>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</si>
  <si>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</si>
  <si>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</si>
  <si>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</si>
  <si>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</si>
  <si>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</si>
  <si>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</si>
  <si>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</si>
  <si>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</si>
  <si>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</si>
  <si>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</si>
  <si>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</si>
  <si>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</si>
  <si>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</si>
  <si>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</si>
  <si>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</si>
  <si>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</si>
  <si>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</si>
  <si>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</si>
  <si>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</si>
  <si>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</si>
  <si>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</si>
  <si>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</si>
  <si>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</si>
  <si>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</si>
  <si>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</si>
  <si>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</si>
  <si>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</si>
  <si>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</si>
  <si>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</si>
  <si>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</si>
  <si>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</si>
  <si>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</si>
  <si>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</si>
  <si>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</si>
  <si>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</si>
  <si>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</si>
  <si>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</si>
  <si>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</si>
  <si>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</si>
  <si>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</si>
  <si>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</si>
  <si>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</si>
  <si>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</si>
  <si>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</si>
  <si>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</si>
  <si>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</si>
  <si>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</si>
  <si>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</si>
  <si>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</si>
  <si>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</si>
  <si>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</si>
  <si>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</si>
  <si>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</si>
  <si>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</si>
  <si>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</si>
  <si>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</si>
  <si>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</si>
  <si>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</si>
  <si>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</si>
  <si>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</si>
  <si>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</si>
  <si>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</si>
  <si>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</si>
  <si>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</si>
  <si>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</si>
  <si>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</si>
  <si>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</si>
  <si>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</si>
  <si>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</si>
  <si>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</si>
  <si>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</si>
  <si>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</si>
  <si>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</si>
  <si>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</si>
  <si>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</si>
  <si>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</si>
  <si>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</si>
  <si>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</si>
  <si>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</si>
  <si>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</si>
  <si>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</si>
  <si>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</si>
  <si>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</si>
  <si>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</si>
  <si>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Etirer la formule de la colonne "Année"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</si>
  <si>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</si>
  <si>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</si>
  <si>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</si>
  <si>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</si>
  <si>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</si>
  <si>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</si>
  <si>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</si>
  <si>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</si>
  <si>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</si>
  <si>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</si>
  <si>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</si>
  <si>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</si>
  <si>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</si>
  <si>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</si>
  <si>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</si>
  <si>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</si>
  <si>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</si>
  <si>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</si>
  <si>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</si>
  <si>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</si>
  <si>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</si>
  <si>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</si>
  <si>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</si>
  <si>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</si>
  <si>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</si>
  <si>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</si>
  <si>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</si>
  <si>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</si>
  <si>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</si>
  <si>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</si>
  <si>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</si>
  <si>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Ce coût doit intégrer les coûts non imputables aux essences (préparation de la parcelle, protections, dégagements et autres).</t>
  </si>
  <si>
    <t>Ce coût doit intégrer les coûts imputables à l'essence (achats des plants, opération de plantation, éclaircies, etc).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</si>
  <si>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</si>
  <si>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</si>
  <si>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</si>
  <si>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à partir de la cellule R29 jusqu'au "STOP"</t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</si>
  <si>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</si>
  <si>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</si>
  <si>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</si>
  <si>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</si>
  <si>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</si>
  <si>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</si>
  <si>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</si>
  <si>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</si>
  <si>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Renseignez les % de surfaces de culture à l'année 0</t>
  </si>
  <si>
    <t>→ Si scénarios 2, 3, 4 ou 5 :</t>
  </si>
  <si>
    <t>Biomasse totale (tCO₂/ha)</t>
  </si>
  <si>
    <t>Stock moyen de long terme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</si>
  <si>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</si>
  <si>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</si>
  <si>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ainsi que pour laisser la possibilité de noter des commentaires dans les cellules non verrouillées.</t>
  </si>
  <si>
    <t>V28/09/2021</t>
  </si>
  <si>
    <t>(y compris feuillus d'accompagnement)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</si>
</sst>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6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5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6" xfId="0" applyFont="1" applyFill="1" applyBorder="1" applyAlignment="1" applyProtection="1">
      <alignment horizontal="center" vertical="center" wrapText="1"/>
      <protection hidden="1"/>
    </xf>
    <xf numFmtId="164" fontId="0" fillId="6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0" fontId="1" fillId="2" borderId="44" xfId="0" applyFont="1" applyFill="1" applyBorder="1" applyAlignment="1" applyProtection="1">
      <alignment horizontal="center" vertical="center" wrapText="1"/>
      <protection hidden="1"/>
    </xf>
    <xf numFmtId="164" fontId="0" fillId="2" borderId="37" xfId="0" applyNumberFormat="1" applyFill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6" borderId="38" xfId="0" applyFont="1" applyFill="1" applyBorder="1" applyAlignment="1" applyProtection="1">
      <alignment horizontal="center" vertical="center" wrapText="1"/>
      <protection hidden="1"/>
    </xf>
    <xf numFmtId="0" fontId="0" fillId="6" borderId="37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7" xfId="0" applyNumberFormat="1" applyFill="1" applyBorder="1" applyAlignment="1" applyProtection="1">
      <alignment horizontal="center" vertical="center"/>
      <protection hidden="1"/>
    </xf>
    <xf numFmtId="0" fontId="0" fillId="2" borderId="37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/>
      <protection hidden="1"/>
    </xf>
    <xf numFmtId="0" fontId="0" fillId="10" borderId="34" xfId="0" applyFill="1" applyBorder="1" applyAlignment="1" applyProtection="1">
      <alignment horizontal="center" vertical="center"/>
      <protection hidden="1"/>
    </xf>
    <xf numFmtId="0" fontId="0" fillId="10" borderId="10" xfId="0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1" fillId="4" borderId="14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0" borderId="46" xfId="0" applyNumberFormat="1" applyBorder="1" applyAlignment="1" applyProtection="1">
      <alignment horizontal="center" vertical="center"/>
      <protection hidden="1"/>
    </xf>
    <xf numFmtId="0" fontId="0" fillId="0" borderId="46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9" fontId="0" fillId="8" borderId="17" xfId="0" applyNumberFormat="1" applyFill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9" fontId="0" fillId="8" borderId="22" xfId="0" applyNumberFormat="1" applyFill="1" applyBorder="1" applyAlignment="1" applyProtection="1">
      <alignment horizontal="center" vertical="center"/>
      <protection hidden="1"/>
    </xf>
    <xf numFmtId="9" fontId="0" fillId="8" borderId="19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22" xfId="0" applyBorder="1" applyProtection="1">
      <protection hidden="1"/>
    </xf>
    <xf numFmtId="0" fontId="1" fillId="15" borderId="12" xfId="0" applyFont="1" applyFill="1" applyBorder="1" applyAlignment="1" applyProtection="1">
      <alignment horizontal="center" vertical="center"/>
      <protection hidden="1"/>
    </xf>
    <xf numFmtId="0" fontId="1" fillId="15" borderId="29" xfId="0" applyFont="1" applyFill="1" applyBorder="1" applyAlignment="1" applyProtection="1">
      <alignment horizontal="center" vertical="center" wrapText="1"/>
      <protection hidden="1"/>
    </xf>
    <xf numFmtId="0" fontId="1" fillId="13" borderId="13" xfId="0" applyFont="1" applyFill="1" applyBorder="1" applyAlignment="1" applyProtection="1">
      <alignment horizontal="center" vertical="center" wrapText="1"/>
      <protection hidden="1"/>
    </xf>
    <xf numFmtId="0" fontId="1" fillId="9" borderId="12" xfId="0" applyFont="1" applyFill="1" applyBorder="1" applyAlignment="1" applyProtection="1">
      <alignment horizontal="center" vertical="center" wrapText="1"/>
      <protection hidden="1"/>
    </xf>
    <xf numFmtId="0" fontId="1" fillId="9" borderId="14" xfId="0" applyFont="1" applyFill="1" applyBorder="1" applyAlignment="1" applyProtection="1">
      <alignment horizontal="center" vertical="center" wrapText="1"/>
      <protection hidden="1"/>
    </xf>
    <xf numFmtId="0" fontId="1" fillId="17" borderId="31" xfId="0" applyFont="1" applyFill="1" applyBorder="1" applyAlignment="1" applyProtection="1">
      <alignment horizontal="center" vertical="center" wrapText="1"/>
      <protection hidden="1"/>
    </xf>
    <xf numFmtId="0" fontId="1" fillId="17" borderId="29" xfId="0" applyFont="1" applyFill="1" applyBorder="1" applyAlignment="1" applyProtection="1">
      <alignment horizontal="center" vertical="center" wrapText="1"/>
      <protection hidden="1"/>
    </xf>
    <xf numFmtId="0" fontId="1" fillId="15" borderId="2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4" borderId="11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3" borderId="28" xfId="0" applyNumberFormat="1" applyFill="1" applyBorder="1" applyAlignment="1" applyProtection="1">
      <alignment horizontal="center"/>
      <protection hidden="1"/>
    </xf>
    <xf numFmtId="1" fontId="0" fillId="16" borderId="32" xfId="0" applyNumberFormat="1" applyFill="1" applyBorder="1" applyAlignment="1" applyProtection="1">
      <alignment horizontal="center"/>
      <protection hidden="1"/>
    </xf>
    <xf numFmtId="1" fontId="0" fillId="16" borderId="4" xfId="0" applyNumberFormat="1" applyFill="1" applyBorder="1" applyAlignment="1" applyProtection="1">
      <alignment horizontal="center"/>
      <protection hidden="1"/>
    </xf>
    <xf numFmtId="1" fontId="0" fillId="10" borderId="33" xfId="0" applyNumberFormat="1" applyFill="1" applyBorder="1" applyAlignment="1" applyProtection="1">
      <alignment horizontal="center"/>
      <protection hidden="1"/>
    </xf>
    <xf numFmtId="0" fontId="1" fillId="15" borderId="18" xfId="0" applyFont="1" applyFill="1" applyBorder="1" applyAlignment="1" applyProtection="1">
      <alignment horizontal="center"/>
      <protection hidden="1"/>
    </xf>
    <xf numFmtId="2" fontId="1" fillId="15" borderId="5" xfId="0" applyNumberFormat="1" applyFont="1" applyFill="1" applyBorder="1" applyAlignment="1" applyProtection="1">
      <alignment horizontal="center"/>
      <protection hidden="1"/>
    </xf>
    <xf numFmtId="1" fontId="0" fillId="3" borderId="18" xfId="0" applyNumberFormat="1" applyFill="1" applyBorder="1" applyAlignment="1" applyProtection="1">
      <alignment horizontal="center"/>
      <protection hidden="1"/>
    </xf>
    <xf numFmtId="0" fontId="1" fillId="15" borderId="20" xfId="0" applyFont="1" applyFill="1" applyBorder="1" applyAlignment="1" applyProtection="1">
      <alignment horizontal="center"/>
      <protection hidden="1"/>
    </xf>
    <xf numFmtId="2" fontId="1" fillId="15" borderId="30" xfId="0" applyNumberFormat="1" applyFont="1" applyFill="1" applyBorder="1" applyAlignment="1" applyProtection="1">
      <alignment horizontal="center"/>
      <protection hidden="1"/>
    </xf>
    <xf numFmtId="1" fontId="0" fillId="4" borderId="21" xfId="0" applyNumberFormat="1" applyFill="1" applyBorder="1" applyAlignment="1" applyProtection="1">
      <alignment horizontal="center"/>
      <protection hidden="1"/>
    </xf>
    <xf numFmtId="1" fontId="0" fillId="4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3" borderId="50" xfId="0" applyNumberFormat="1" applyFill="1" applyBorder="1" applyAlignment="1" applyProtection="1">
      <alignment horizontal="center"/>
      <protection hidden="1"/>
    </xf>
    <xf numFmtId="1" fontId="0" fillId="16" borderId="51" xfId="0" applyNumberFormat="1" applyFill="1" applyBorder="1" applyAlignment="1" applyProtection="1">
      <alignment horizontal="center"/>
      <protection hidden="1"/>
    </xf>
    <xf numFmtId="1" fontId="0" fillId="16" borderId="39" xfId="0" applyNumberFormat="1" applyFill="1" applyBorder="1" applyAlignment="1" applyProtection="1">
      <alignment horizontal="center"/>
      <protection hidden="1"/>
    </xf>
    <xf numFmtId="1" fontId="0" fillId="10" borderId="47" xfId="0" applyNumberForma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13" borderId="13" xfId="0" applyNumberFormat="1" applyFont="1" applyFill="1" applyBorder="1" applyAlignment="1" applyProtection="1">
      <alignment horizontal="center"/>
      <protection hidden="1"/>
    </xf>
    <xf numFmtId="1" fontId="1" fillId="9" borderId="13" xfId="0" applyNumberFormat="1" applyFont="1" applyFill="1" applyBorder="1" applyAlignment="1" applyProtection="1">
      <alignment horizontal="center"/>
      <protection hidden="1"/>
    </xf>
    <xf numFmtId="1" fontId="1" fillId="17" borderId="13" xfId="0" applyNumberFormat="1" applyFont="1" applyFill="1" applyBorder="1" applyAlignment="1" applyProtection="1">
      <alignment horizontal="center"/>
      <protection hidden="1"/>
    </xf>
    <xf numFmtId="1" fontId="1" fillId="10" borderId="14" xfId="0" applyNumberFormat="1" applyFont="1" applyFill="1" applyBorder="1" applyAlignment="1" applyProtection="1">
      <alignment horizontal="center"/>
      <protection hidden="1"/>
    </xf>
    <xf numFmtId="0" fontId="1" fillId="15" borderId="10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Font="1" applyBorder="1" applyProtection="1">
      <protection hidden="1"/>
    </xf>
    <xf numFmtId="0" fontId="0" fillId="0" borderId="42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2" xfId="0" applyFont="1" applyBorder="1" applyProtection="1">
      <protection hidden="1"/>
    </xf>
    <xf numFmtId="0" fontId="15" fillId="0" borderId="0" xfId="0" applyFont="1" applyAlignment="1" applyProtection="1">
      <alignment wrapText="1"/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0" fontId="0" fillId="0" borderId="9" xfId="0" applyFill="1" applyBorder="1" applyProtection="1">
      <protection locked="0" hidden="1"/>
    </xf>
    <xf numFmtId="168" fontId="0" fillId="0" borderId="9" xfId="0" applyNumberFormat="1" applyFill="1" applyBorder="1" applyAlignment="1" applyProtection="1">
      <alignment horizontal="center" vertical="center"/>
      <protection locked="0" hidden="1"/>
    </xf>
    <xf numFmtId="0" fontId="1" fillId="0" borderId="9" xfId="0" applyFont="1" applyFill="1" applyBorder="1" applyAlignment="1" applyProtection="1">
      <alignment horizontal="center" vertical="center"/>
      <protection locked="0" hidden="1"/>
    </xf>
    <xf numFmtId="168" fontId="0" fillId="0" borderId="9" xfId="0" applyNumberFormat="1" applyFill="1" applyBorder="1" applyAlignment="1" applyProtection="1">
      <alignment horizontal="center"/>
      <protection locked="0"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Protection="1">
      <protection locked="0" hidden="1"/>
    </xf>
    <xf numFmtId="168" fontId="15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6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Fill="1" applyAlignment="1" applyProtection="1">
      <alignment horizontal="center"/>
      <protection locked="0" hidden="1"/>
    </xf>
    <xf numFmtId="0" fontId="0" fillId="0" borderId="42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2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9" xfId="0" applyFont="1" applyFill="1" applyBorder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6" fillId="0" borderId="0" xfId="0" applyFont="1" applyFill="1" applyBorder="1" applyAlignment="1" applyProtection="1">
      <alignment horizontal="center"/>
      <protection locked="0" hidden="1"/>
    </xf>
    <xf numFmtId="0" fontId="0" fillId="0" borderId="0" xfId="0" applyFill="1" applyProtection="1">
      <protection locked="0" hidden="1"/>
    </xf>
    <xf numFmtId="0" fontId="15" fillId="0" borderId="0" xfId="0" applyFont="1" applyAlignment="1" applyProtection="1">
      <alignment wrapText="1"/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9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8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7" fillId="4" borderId="45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8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4" borderId="45" xfId="0" applyFont="1" applyFill="1" applyBorder="1" applyAlignment="1" applyProtection="1">
      <alignment horizontal="center"/>
      <protection hidden="1"/>
    </xf>
    <xf numFmtId="0" fontId="7" fillId="2" borderId="38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6" xfId="0" applyFont="1" applyFill="1" applyBorder="1" applyAlignment="1" applyProtection="1">
      <alignment horizontal="center"/>
      <protection hidden="1"/>
    </xf>
    <xf numFmtId="0" fontId="7" fillId="6" borderId="38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6" xfId="0" applyFont="1" applyFill="1" applyBorder="1" applyAlignment="1" applyProtection="1">
      <alignment horizont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9" borderId="25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5" fillId="0" borderId="26" xfId="0" applyFont="1" applyBorder="1" applyAlignment="1" applyProtection="1">
      <alignment horizontal="center" wrapText="1"/>
      <protection hidden="1"/>
    </xf>
    <xf numFmtId="0" fontId="15" fillId="0" borderId="26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15" fillId="0" borderId="9" xfId="0" applyFont="1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41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40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2.1185138067917109</c:v>
                </c:pt>
                <c:pt idx="2">
                  <c:v>2.894402199061441</c:v>
                </c:pt>
                <c:pt idx="3">
                  <c:v>3.9556609928452722</c:v>
                </c:pt>
                <c:pt idx="4">
                  <c:v>5.4076671097938496</c:v>
                </c:pt>
                <c:pt idx="5">
                  <c:v>7.3948535408528118</c:v>
                </c:pt>
                <c:pt idx="6">
                  <c:v>10.115234305738676</c:v>
                </c:pt>
                <c:pt idx="7">
                  <c:v>13.840348195034421</c:v>
                </c:pt>
                <c:pt idx="8">
                  <c:v>18.94264864317968</c:v>
                </c:pt>
                <c:pt idx="9">
                  <c:v>25.93312754435949</c:v>
                </c:pt>
                <c:pt idx="10">
                  <c:v>35.513007205017594</c:v>
                </c:pt>
                <c:pt idx="11">
                  <c:v>48.644774650638844</c:v>
                </c:pt>
                <c:pt idx="12">
                  <c:v>66.649814557549007</c:v>
                </c:pt>
                <c:pt idx="13">
                  <c:v>91.342625587150238</c:v>
                </c:pt>
                <c:pt idx="14">
                  <c:v>125.21536151834833</c:v>
                </c:pt>
                <c:pt idx="15">
                  <c:v>171.69161142115624</c:v>
                </c:pt>
                <c:pt idx="16">
                  <c:v>175.06369642864436</c:v>
                </c:pt>
                <c:pt idx="17">
                  <c:v>205.60586751976879</c:v>
                </c:pt>
                <c:pt idx="18">
                  <c:v>236.04300605613707</c:v>
                </c:pt>
                <c:pt idx="19">
                  <c:v>266.39056723885022</c:v>
                </c:pt>
                <c:pt idx="20">
                  <c:v>296.66018896478846</c:v>
                </c:pt>
                <c:pt idx="21">
                  <c:v>238.8755995449776</c:v>
                </c:pt>
                <c:pt idx="22">
                  <c:v>271.01275486164383</c:v>
                </c:pt>
                <c:pt idx="23">
                  <c:v>303.06413469570208</c:v>
                </c:pt>
                <c:pt idx="24">
                  <c:v>335.04008037896614</c:v>
                </c:pt>
                <c:pt idx="25">
                  <c:v>366.94879686196288</c:v>
                </c:pt>
                <c:pt idx="26">
                  <c:v>311.51274483481569</c:v>
                </c:pt>
                <c:pt idx="27">
                  <c:v>345.513196505407</c:v>
                </c:pt>
                <c:pt idx="28">
                  <c:v>379.44016191597643</c:v>
                </c:pt>
                <c:pt idx="29">
                  <c:v>413.30112748447715</c:v>
                </c:pt>
                <c:pt idx="30">
                  <c:v>447.10225323882645</c:v>
                </c:pt>
                <c:pt idx="31">
                  <c:v>392.17723375565879</c:v>
                </c:pt>
                <c:pt idx="32">
                  <c:v>426.2692346413703</c:v>
                </c:pt>
                <c:pt idx="33">
                  <c:v>460.30260387098588</c:v>
                </c:pt>
                <c:pt idx="34">
                  <c:v>494.28227935737863</c:v>
                </c:pt>
                <c:pt idx="35">
                  <c:v>528.21246537398599</c:v>
                </c:pt>
                <c:pt idx="36">
                  <c:v>472.22673256387026</c:v>
                </c:pt>
                <c:pt idx="37">
                  <c:v>504.92225767518511</c:v>
                </c:pt>
                <c:pt idx="38">
                  <c:v>537.57302517405549</c:v>
                </c:pt>
                <c:pt idx="39">
                  <c:v>570.18213138839008</c:v>
                </c:pt>
                <c:pt idx="40">
                  <c:v>602.75229006275174</c:v>
                </c:pt>
                <c:pt idx="41">
                  <c:v>544.90728253687382</c:v>
                </c:pt>
                <c:pt idx="42">
                  <c:v>575.48683746818995</c:v>
                </c:pt>
                <c:pt idx="43">
                  <c:v>606.03248943815163</c:v>
                </c:pt>
                <c:pt idx="44">
                  <c:v>636.54618486892696</c:v>
                </c:pt>
                <c:pt idx="45">
                  <c:v>667.02966862520361</c:v>
                </c:pt>
                <c:pt idx="46">
                  <c:v>613.85301973416745</c:v>
                </c:pt>
                <c:pt idx="47">
                  <c:v>641.33480510237007</c:v>
                </c:pt>
                <c:pt idx="48">
                  <c:v>668.792285285802</c:v>
                </c:pt>
                <c:pt idx="49">
                  <c:v>696.22659705561784</c:v>
                </c:pt>
                <c:pt idx="50">
                  <c:v>723.63878041944702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2.0593983659688182</c:v>
                </c:pt>
                <c:pt idx="2">
                  <c:v>2.7349781012771412</c:v>
                </c:pt>
                <c:pt idx="3">
                  <c:v>3.6330992006245562</c:v>
                </c:pt>
                <c:pt idx="4">
                  <c:v>4.8273540176051393</c:v>
                </c:pt>
                <c:pt idx="5">
                  <c:v>6.4157594725486646</c:v>
                </c:pt>
                <c:pt idx="6">
                  <c:v>8.5288905070322318</c:v>
                </c:pt>
                <c:pt idx="7">
                  <c:v>11.340730346089472</c:v>
                </c:pt>
                <c:pt idx="8">
                  <c:v>15.083147611771457</c:v>
                </c:pt>
                <c:pt idx="9">
                  <c:v>20.065215945315195</c:v>
                </c:pt>
                <c:pt idx="10">
                  <c:v>26.699000277453493</c:v>
                </c:pt>
                <c:pt idx="11">
                  <c:v>35.53397993441795</c:v>
                </c:pt>
                <c:pt idx="12">
                  <c:v>47.30300880286137</c:v>
                </c:pt>
                <c:pt idx="13">
                  <c:v>62.983688915649708</c:v>
                </c:pt>
                <c:pt idx="14">
                  <c:v>83.88033918501975</c:v>
                </c:pt>
                <c:pt idx="15">
                  <c:v>111.73348684590691</c:v>
                </c:pt>
                <c:pt idx="16">
                  <c:v>114.87814628487479</c:v>
                </c:pt>
                <c:pt idx="17">
                  <c:v>136.31339319324488</c:v>
                </c:pt>
                <c:pt idx="18">
                  <c:v>157.66737659987373</c:v>
                </c:pt>
                <c:pt idx="19">
                  <c:v>178.95267005593908</c:v>
                </c:pt>
                <c:pt idx="20">
                  <c:v>200.17860042757511</c:v>
                </c:pt>
                <c:pt idx="21">
                  <c:v>163.64412295643709</c:v>
                </c:pt>
                <c:pt idx="22">
                  <c:v>190.60789667260732</c:v>
                </c:pt>
                <c:pt idx="23">
                  <c:v>217.48272877564321</c:v>
                </c:pt>
                <c:pt idx="24">
                  <c:v>244.28116165814302</c:v>
                </c:pt>
                <c:pt idx="25">
                  <c:v>271.01275486164394</c:v>
                </c:pt>
                <c:pt idx="26">
                  <c:v>234.24004332416504</c:v>
                </c:pt>
                <c:pt idx="27">
                  <c:v>260.4818014173627</c:v>
                </c:pt>
                <c:pt idx="28">
                  <c:v>286.66384429255805</c:v>
                </c:pt>
                <c:pt idx="29">
                  <c:v>312.79238991915594</c:v>
                </c:pt>
                <c:pt idx="30">
                  <c:v>338.87253228592613</c:v>
                </c:pt>
                <c:pt idx="31">
                  <c:v>299.73446327486715</c:v>
                </c:pt>
                <c:pt idx="32">
                  <c:v>323.28114705504544</c:v>
                </c:pt>
                <c:pt idx="33">
                  <c:v>346.78992407717442</c:v>
                </c:pt>
                <c:pt idx="34">
                  <c:v>370.2637235471214</c:v>
                </c:pt>
                <c:pt idx="35">
                  <c:v>393.7050730825656</c:v>
                </c:pt>
                <c:pt idx="36">
                  <c:v>352.66154815313007</c:v>
                </c:pt>
                <c:pt idx="37">
                  <c:v>374.08783491343797</c:v>
                </c:pt>
                <c:pt idx="38">
                  <c:v>395.48738985273343</c:v>
                </c:pt>
                <c:pt idx="39">
                  <c:v>416.86186188995208</c:v>
                </c:pt>
                <c:pt idx="40">
                  <c:v>438.21271714302685</c:v>
                </c:pt>
                <c:pt idx="41">
                  <c:v>395.99659120214454</c:v>
                </c:pt>
                <c:pt idx="42">
                  <c:v>416.09890279002269</c:v>
                </c:pt>
                <c:pt idx="43">
                  <c:v>436.1802829290819</c:v>
                </c:pt>
                <c:pt idx="44">
                  <c:v>456.24183024976179</c:v>
                </c:pt>
                <c:pt idx="45">
                  <c:v>476.28453894255762</c:v>
                </c:pt>
                <c:pt idx="46">
                  <c:v>432.87714326266581</c:v>
                </c:pt>
                <c:pt idx="47">
                  <c:v>451.67253621627128</c:v>
                </c:pt>
                <c:pt idx="48">
                  <c:v>470.45120917853865</c:v>
                </c:pt>
                <c:pt idx="49">
                  <c:v>489.21392307779774</c:v>
                </c:pt>
                <c:pt idx="50">
                  <c:v>507.96137574936262</c:v>
                </c:pt>
                <c:pt idx="51">
                  <c:v>3.669434796176543E-12</c:v>
                </c:pt>
                <c:pt idx="52">
                  <c:v>3.669434796176543E-12</c:v>
                </c:pt>
                <c:pt idx="53">
                  <c:v>3.669434796176543E-12</c:v>
                </c:pt>
                <c:pt idx="54">
                  <c:v>3.669434796176543E-12</c:v>
                </c:pt>
                <c:pt idx="55">
                  <c:v>3.669434796176543E-12</c:v>
                </c:pt>
                <c:pt idx="56">
                  <c:v>3.669434796176543E-12</c:v>
                </c:pt>
                <c:pt idx="57">
                  <c:v>3.669434796176543E-12</c:v>
                </c:pt>
                <c:pt idx="58">
                  <c:v>3.669434796176543E-12</c:v>
                </c:pt>
                <c:pt idx="59">
                  <c:v>3.669434796176543E-12</c:v>
                </c:pt>
                <c:pt idx="60">
                  <c:v>3.669434796176543E-12</c:v>
                </c:pt>
                <c:pt idx="61">
                  <c:v>3.669434796176543E-12</c:v>
                </c:pt>
                <c:pt idx="62">
                  <c:v>3.669434796176543E-12</c:v>
                </c:pt>
                <c:pt idx="63">
                  <c:v>3.669434796176543E-12</c:v>
                </c:pt>
                <c:pt idx="64">
                  <c:v>3.669434796176543E-12</c:v>
                </c:pt>
                <c:pt idx="65">
                  <c:v>3.669434796176543E-12</c:v>
                </c:pt>
                <c:pt idx="66">
                  <c:v>3.669434796176543E-12</c:v>
                </c:pt>
                <c:pt idx="67">
                  <c:v>3.669434796176543E-12</c:v>
                </c:pt>
                <c:pt idx="68">
                  <c:v>3.669434796176543E-12</c:v>
                </c:pt>
                <c:pt idx="69">
                  <c:v>3.669434796176543E-12</c:v>
                </c:pt>
                <c:pt idx="70">
                  <c:v>3.669434796176543E-12</c:v>
                </c:pt>
                <c:pt idx="71">
                  <c:v>3.669434796176543E-12</c:v>
                </c:pt>
                <c:pt idx="72">
                  <c:v>3.669434796176543E-12</c:v>
                </c:pt>
                <c:pt idx="73">
                  <c:v>3.669434796176543E-12</c:v>
                </c:pt>
                <c:pt idx="74">
                  <c:v>3.669434796176543E-12</c:v>
                </c:pt>
                <c:pt idx="75">
                  <c:v>3.669434796176543E-12</c:v>
                </c:pt>
                <c:pt idx="76">
                  <c:v>3.669434796176543E-12</c:v>
                </c:pt>
                <c:pt idx="77">
                  <c:v>3.669434796176543E-12</c:v>
                </c:pt>
                <c:pt idx="78">
                  <c:v>3.669434796176543E-12</c:v>
                </c:pt>
                <c:pt idx="79">
                  <c:v>3.669434796176543E-12</c:v>
                </c:pt>
                <c:pt idx="80">
                  <c:v>3.669434796176543E-12</c:v>
                </c:pt>
                <c:pt idx="81">
                  <c:v>3.669434796176543E-12</c:v>
                </c:pt>
                <c:pt idx="82">
                  <c:v>3.669434796176543E-12</c:v>
                </c:pt>
                <c:pt idx="83">
                  <c:v>3.669434796176543E-12</c:v>
                </c:pt>
                <c:pt idx="84">
                  <c:v>3.669434796176543E-12</c:v>
                </c:pt>
                <c:pt idx="85">
                  <c:v>3.669434796176543E-12</c:v>
                </c:pt>
                <c:pt idx="86">
                  <c:v>3.669434796176543E-12</c:v>
                </c:pt>
                <c:pt idx="87">
                  <c:v>3.669434796176543E-12</c:v>
                </c:pt>
                <c:pt idx="88">
                  <c:v>3.669434796176543E-12</c:v>
                </c:pt>
                <c:pt idx="89">
                  <c:v>3.669434796176543E-12</c:v>
                </c:pt>
                <c:pt idx="90">
                  <c:v>3.669434796176543E-12</c:v>
                </c:pt>
                <c:pt idx="91">
                  <c:v>3.669434796176543E-12</c:v>
                </c:pt>
                <c:pt idx="92">
                  <c:v>3.669434796176543E-12</c:v>
                </c:pt>
                <c:pt idx="93">
                  <c:v>3.669434796176543E-12</c:v>
                </c:pt>
                <c:pt idx="94">
                  <c:v>3.669434796176543E-12</c:v>
                </c:pt>
                <c:pt idx="95">
                  <c:v>3.669434796176543E-12</c:v>
                </c:pt>
                <c:pt idx="96">
                  <c:v>3.669434796176543E-12</c:v>
                </c:pt>
                <c:pt idx="97">
                  <c:v>3.669434796176543E-12</c:v>
                </c:pt>
                <c:pt idx="98">
                  <c:v>3.669434796176543E-12</c:v>
                </c:pt>
                <c:pt idx="99">
                  <c:v>3.669434796176543E-12</c:v>
                </c:pt>
                <c:pt idx="100">
                  <c:v>3.669434796176543E-12</c:v>
                </c:pt>
                <c:pt idx="101">
                  <c:v>3.669434796176543E-12</c:v>
                </c:pt>
                <c:pt idx="102">
                  <c:v>3.669434796176543E-12</c:v>
                </c:pt>
                <c:pt idx="103">
                  <c:v>3.669434796176543E-12</c:v>
                </c:pt>
                <c:pt idx="104">
                  <c:v>3.669434796176543E-12</c:v>
                </c:pt>
                <c:pt idx="105">
                  <c:v>3.669434796176543E-12</c:v>
                </c:pt>
                <c:pt idx="106">
                  <c:v>3.669434796176543E-12</c:v>
                </c:pt>
                <c:pt idx="107">
                  <c:v>3.669434796176543E-12</c:v>
                </c:pt>
                <c:pt idx="108">
                  <c:v>3.669434796176543E-12</c:v>
                </c:pt>
                <c:pt idx="109">
                  <c:v>3.669434796176543E-12</c:v>
                </c:pt>
                <c:pt idx="110">
                  <c:v>3.669434796176543E-12</c:v>
                </c:pt>
                <c:pt idx="111">
                  <c:v>3.669434796176543E-12</c:v>
                </c:pt>
                <c:pt idx="112">
                  <c:v>3.669434796176543E-12</c:v>
                </c:pt>
                <c:pt idx="113">
                  <c:v>3.669434796176543E-12</c:v>
                </c:pt>
                <c:pt idx="114">
                  <c:v>3.669434796176543E-12</c:v>
                </c:pt>
                <c:pt idx="115">
                  <c:v>3.669434796176543E-12</c:v>
                </c:pt>
                <c:pt idx="116">
                  <c:v>3.669434796176543E-12</c:v>
                </c:pt>
                <c:pt idx="117">
                  <c:v>3.669434796176543E-12</c:v>
                </c:pt>
                <c:pt idx="118">
                  <c:v>3.669434796176543E-12</c:v>
                </c:pt>
                <c:pt idx="119">
                  <c:v>3.669434796176543E-12</c:v>
                </c:pt>
                <c:pt idx="120">
                  <c:v>3.669434796176543E-12</c:v>
                </c:pt>
                <c:pt idx="121">
                  <c:v>3.669434796176543E-12</c:v>
                </c:pt>
                <c:pt idx="122">
                  <c:v>3.669434796176543E-12</c:v>
                </c:pt>
                <c:pt idx="123">
                  <c:v>3.669434796176543E-12</c:v>
                </c:pt>
                <c:pt idx="124">
                  <c:v>3.669434796176543E-12</c:v>
                </c:pt>
                <c:pt idx="125">
                  <c:v>3.669434796176543E-12</c:v>
                </c:pt>
                <c:pt idx="126">
                  <c:v>3.669434796176543E-12</c:v>
                </c:pt>
                <c:pt idx="127">
                  <c:v>3.669434796176543E-12</c:v>
                </c:pt>
                <c:pt idx="128">
                  <c:v>3.669434796176543E-12</c:v>
                </c:pt>
                <c:pt idx="129">
                  <c:v>3.669434796176543E-12</c:v>
                </c:pt>
                <c:pt idx="130">
                  <c:v>3.669434796176543E-12</c:v>
                </c:pt>
                <c:pt idx="131">
                  <c:v>3.669434796176543E-12</c:v>
                </c:pt>
                <c:pt idx="132">
                  <c:v>3.669434796176543E-12</c:v>
                </c:pt>
                <c:pt idx="133">
                  <c:v>3.669434796176543E-12</c:v>
                </c:pt>
                <c:pt idx="134">
                  <c:v>3.669434796176543E-12</c:v>
                </c:pt>
                <c:pt idx="135">
                  <c:v>3.669434796176543E-12</c:v>
                </c:pt>
                <c:pt idx="136">
                  <c:v>3.669434796176543E-12</c:v>
                </c:pt>
                <c:pt idx="137">
                  <c:v>3.669434796176543E-12</c:v>
                </c:pt>
                <c:pt idx="138">
                  <c:v>3.669434796176543E-12</c:v>
                </c:pt>
                <c:pt idx="139">
                  <c:v>3.669434796176543E-12</c:v>
                </c:pt>
                <c:pt idx="140">
                  <c:v>3.669434796176543E-12</c:v>
                </c:pt>
                <c:pt idx="141">
                  <c:v>3.669434796176543E-12</c:v>
                </c:pt>
                <c:pt idx="142">
                  <c:v>3.669434796176543E-12</c:v>
                </c:pt>
                <c:pt idx="143">
                  <c:v>3.669434796176543E-12</c:v>
                </c:pt>
                <c:pt idx="144">
                  <c:v>3.669434796176543E-12</c:v>
                </c:pt>
                <c:pt idx="145">
                  <c:v>3.669434796176543E-12</c:v>
                </c:pt>
                <c:pt idx="146">
                  <c:v>3.669434796176543E-12</c:v>
                </c:pt>
                <c:pt idx="147">
                  <c:v>3.669434796176543E-12</c:v>
                </c:pt>
                <c:pt idx="148">
                  <c:v>3.669434796176543E-12</c:v>
                </c:pt>
                <c:pt idx="149">
                  <c:v>3.669434796176543E-12</c:v>
                </c:pt>
                <c:pt idx="150">
                  <c:v>3.669434796176543E-12</c:v>
                </c:pt>
                <c:pt idx="151">
                  <c:v>3.669434796176543E-12</c:v>
                </c:pt>
                <c:pt idx="152">
                  <c:v>3.669434796176543E-12</c:v>
                </c:pt>
                <c:pt idx="153">
                  <c:v>3.669434796176543E-12</c:v>
                </c:pt>
                <c:pt idx="154">
                  <c:v>3.669434796176543E-12</c:v>
                </c:pt>
                <c:pt idx="155">
                  <c:v>3.669434796176543E-12</c:v>
                </c:pt>
                <c:pt idx="156">
                  <c:v>3.669434796176543E-12</c:v>
                </c:pt>
                <c:pt idx="157">
                  <c:v>3.669434796176543E-12</c:v>
                </c:pt>
                <c:pt idx="158">
                  <c:v>3.669434796176543E-12</c:v>
                </c:pt>
                <c:pt idx="159">
                  <c:v>3.669434796176543E-12</c:v>
                </c:pt>
                <c:pt idx="160">
                  <c:v>3.669434796176543E-12</c:v>
                </c:pt>
                <c:pt idx="161">
                  <c:v>3.669434796176543E-12</c:v>
                </c:pt>
                <c:pt idx="162">
                  <c:v>3.669434796176543E-12</c:v>
                </c:pt>
                <c:pt idx="163">
                  <c:v>3.669434796176543E-12</c:v>
                </c:pt>
                <c:pt idx="164">
                  <c:v>3.669434796176543E-12</c:v>
                </c:pt>
                <c:pt idx="165">
                  <c:v>3.669434796176543E-12</c:v>
                </c:pt>
                <c:pt idx="166">
                  <c:v>3.669434796176543E-12</c:v>
                </c:pt>
                <c:pt idx="167">
                  <c:v>3.669434796176543E-12</c:v>
                </c:pt>
                <c:pt idx="168">
                  <c:v>3.669434796176543E-12</c:v>
                </c:pt>
                <c:pt idx="169">
                  <c:v>3.669434796176543E-12</c:v>
                </c:pt>
                <c:pt idx="170">
                  <c:v>3.669434796176543E-12</c:v>
                </c:pt>
                <c:pt idx="171">
                  <c:v>3.669434796176543E-12</c:v>
                </c:pt>
                <c:pt idx="172">
                  <c:v>3.669434796176543E-12</c:v>
                </c:pt>
                <c:pt idx="173">
                  <c:v>3.669434796176543E-12</c:v>
                </c:pt>
                <c:pt idx="174">
                  <c:v>3.669434796176543E-12</c:v>
                </c:pt>
                <c:pt idx="175">
                  <c:v>3.669434796176543E-12</c:v>
                </c:pt>
                <c:pt idx="176">
                  <c:v>3.669434796176543E-12</c:v>
                </c:pt>
                <c:pt idx="177">
                  <c:v>3.669434796176543E-12</c:v>
                </c:pt>
                <c:pt idx="178">
                  <c:v>3.669434796176543E-12</c:v>
                </c:pt>
                <c:pt idx="179">
                  <c:v>3.669434796176543E-12</c:v>
                </c:pt>
                <c:pt idx="180">
                  <c:v>3.669434796176543E-12</c:v>
                </c:pt>
                <c:pt idx="181">
                  <c:v>3.669434796176543E-12</c:v>
                </c:pt>
                <c:pt idx="182">
                  <c:v>3.669434796176543E-12</c:v>
                </c:pt>
                <c:pt idx="183">
                  <c:v>3.669434796176543E-12</c:v>
                </c:pt>
                <c:pt idx="184">
                  <c:v>3.669434796176543E-12</c:v>
                </c:pt>
                <c:pt idx="185">
                  <c:v>3.669434796176543E-12</c:v>
                </c:pt>
                <c:pt idx="186">
                  <c:v>3.669434796176543E-12</c:v>
                </c:pt>
                <c:pt idx="187">
                  <c:v>3.669434796176543E-12</c:v>
                </c:pt>
                <c:pt idx="188">
                  <c:v>3.669434796176543E-12</c:v>
                </c:pt>
                <c:pt idx="189">
                  <c:v>3.669434796176543E-12</c:v>
                </c:pt>
                <c:pt idx="190">
                  <c:v>3.669434796176543E-12</c:v>
                </c:pt>
                <c:pt idx="191">
                  <c:v>3.669434796176543E-12</c:v>
                </c:pt>
                <c:pt idx="192">
                  <c:v>3.669434796176543E-12</c:v>
                </c:pt>
                <c:pt idx="193">
                  <c:v>3.669434796176543E-12</c:v>
                </c:pt>
                <c:pt idx="194">
                  <c:v>3.669434796176543E-12</c:v>
                </c:pt>
                <c:pt idx="195">
                  <c:v>3.669434796176543E-12</c:v>
                </c:pt>
                <c:pt idx="196">
                  <c:v>3.669434796176543E-12</c:v>
                </c:pt>
                <c:pt idx="197">
                  <c:v>3.669434796176543E-12</c:v>
                </c:pt>
                <c:pt idx="198">
                  <c:v>3.669434796176543E-12</c:v>
                </c:pt>
                <c:pt idx="199">
                  <c:v>3.669434796176543E-12</c:v>
                </c:pt>
                <c:pt idx="200">
                  <c:v>3.669434796176543E-12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3.4529372293899008</c:v>
                </c:pt>
                <c:pt idx="2">
                  <c:v>4.134922909140152</c:v>
                </c:pt>
                <c:pt idx="3">
                  <c:v>4.9521016093783672</c:v>
                </c:pt>
                <c:pt idx="4">
                  <c:v>5.9313656670984827</c:v>
                </c:pt>
                <c:pt idx="5">
                  <c:v>7.1049739941731884</c:v>
                </c:pt>
                <c:pt idx="6">
                  <c:v>8.5116262097602071</c:v>
                </c:pt>
                <c:pt idx="7">
                  <c:v>10.197752352696471</c:v>
                </c:pt>
                <c:pt idx="8">
                  <c:v>12.219061549844341</c:v>
                </c:pt>
                <c:pt idx="9">
                  <c:v>14.642401763842701</c:v>
                </c:pt>
                <c:pt idx="10">
                  <c:v>17.547993258946569</c:v>
                </c:pt>
                <c:pt idx="11">
                  <c:v>21.032111064518954</c:v>
                </c:pt>
                <c:pt idx="12">
                  <c:v>25.210306912759112</c:v>
                </c:pt>
                <c:pt idx="13">
                  <c:v>30.221279398233865</c:v>
                </c:pt>
                <c:pt idx="14">
                  <c:v>36.23152307461509</c:v>
                </c:pt>
                <c:pt idx="15">
                  <c:v>43.440913618031878</c:v>
                </c:pt>
                <c:pt idx="16">
                  <c:v>52.089417948050851</c:v>
                </c:pt>
                <c:pt idx="17">
                  <c:v>62.465156390978699</c:v>
                </c:pt>
                <c:pt idx="18">
                  <c:v>74.91408990067265</c:v>
                </c:pt>
                <c:pt idx="19">
                  <c:v>89.851660589142838</c:v>
                </c:pt>
                <c:pt idx="20">
                  <c:v>107.77678025171018</c:v>
                </c:pt>
                <c:pt idx="21">
                  <c:v>121.74585128444294</c:v>
                </c:pt>
                <c:pt idx="22">
                  <c:v>135.67590230605916</c:v>
                </c:pt>
                <c:pt idx="23">
                  <c:v>149.5715086569696</c:v>
                </c:pt>
                <c:pt idx="24">
                  <c:v>163.43632399978199</c:v>
                </c:pt>
                <c:pt idx="25">
                  <c:v>177.27333024872806</c:v>
                </c:pt>
                <c:pt idx="26">
                  <c:v>174.8043598694039</c:v>
                </c:pt>
                <c:pt idx="27">
                  <c:v>192.07064119712734</c:v>
                </c:pt>
                <c:pt idx="28">
                  <c:v>209.30079934221578</c:v>
                </c:pt>
                <c:pt idx="29">
                  <c:v>226.49822720784584</c:v>
                </c:pt>
                <c:pt idx="30">
                  <c:v>243.66575991708831</c:v>
                </c:pt>
                <c:pt idx="31">
                  <c:v>211.75950715739978</c:v>
                </c:pt>
                <c:pt idx="32">
                  <c:v>231.40617478614672</c:v>
                </c:pt>
                <c:pt idx="33">
                  <c:v>251.01473072466717</c:v>
                </c:pt>
                <c:pt idx="34">
                  <c:v>270.5885705443672</c:v>
                </c:pt>
                <c:pt idx="35">
                  <c:v>290.13055823222999</c:v>
                </c:pt>
                <c:pt idx="36">
                  <c:v>259.33767759130296</c:v>
                </c:pt>
                <c:pt idx="37">
                  <c:v>279.87482760648749</c:v>
                </c:pt>
                <c:pt idx="38">
                  <c:v>300.37818946266395</c:v>
                </c:pt>
                <c:pt idx="39">
                  <c:v>320.8503929815983</c:v>
                </c:pt>
                <c:pt idx="40">
                  <c:v>341.29370500183654</c:v>
                </c:pt>
                <c:pt idx="41">
                  <c:v>310.61803673581051</c:v>
                </c:pt>
                <c:pt idx="42">
                  <c:v>331.07553091004485</c:v>
                </c:pt>
                <c:pt idx="43">
                  <c:v>351.50515324795123</c:v>
                </c:pt>
                <c:pt idx="44">
                  <c:v>371.90875069809863</c:v>
                </c:pt>
                <c:pt idx="45">
                  <c:v>392.28795108310914</c:v>
                </c:pt>
                <c:pt idx="46">
                  <c:v>361.22429321022861</c:v>
                </c:pt>
                <c:pt idx="47">
                  <c:v>381.13084421476816</c:v>
                </c:pt>
                <c:pt idx="48">
                  <c:v>401.01478943331102</c:v>
                </c:pt>
                <c:pt idx="49">
                  <c:v>420.87740681048808</c:v>
                </c:pt>
                <c:pt idx="50">
                  <c:v>440.71984388784927</c:v>
                </c:pt>
                <c:pt idx="51">
                  <c:v>409.25302869952412</c:v>
                </c:pt>
                <c:pt idx="52">
                  <c:v>428.62313846306932</c:v>
                </c:pt>
                <c:pt idx="53">
                  <c:v>447.97443726246598</c:v>
                </c:pt>
                <c:pt idx="54">
                  <c:v>467.30785153167244</c:v>
                </c:pt>
                <c:pt idx="55">
                  <c:v>486.62422484000035</c:v>
                </c:pt>
                <c:pt idx="56">
                  <c:v>454.25971616804895</c:v>
                </c:pt>
                <c:pt idx="57">
                  <c:v>472.62151904574694</c:v>
                </c:pt>
                <c:pt idx="58">
                  <c:v>490.96814051556157</c:v>
                </c:pt>
                <c:pt idx="59">
                  <c:v>509.30022739028914</c:v>
                </c:pt>
                <c:pt idx="60">
                  <c:v>527.61837615010893</c:v>
                </c:pt>
                <c:pt idx="61">
                  <c:v>494.34617766082943</c:v>
                </c:pt>
                <c:pt idx="62">
                  <c:v>511.71129412952837</c:v>
                </c:pt>
                <c:pt idx="63">
                  <c:v>529.06396873094195</c:v>
                </c:pt>
                <c:pt idx="64">
                  <c:v>546.40466675747382</c:v>
                </c:pt>
                <c:pt idx="65">
                  <c:v>563.7338215783434</c:v>
                </c:pt>
                <c:pt idx="66">
                  <c:v>529.54581443344239</c:v>
                </c:pt>
                <c:pt idx="67">
                  <c:v>545.92313850649077</c:v>
                </c:pt>
                <c:pt idx="68">
                  <c:v>562.2901561779538</c:v>
                </c:pt>
                <c:pt idx="69">
                  <c:v>578.64720951981599</c:v>
                </c:pt>
                <c:pt idx="70">
                  <c:v>594.99461969957736</c:v>
                </c:pt>
                <c:pt idx="71">
                  <c:v>559.40259245849336</c:v>
                </c:pt>
                <c:pt idx="72">
                  <c:v>574.31835256166607</c:v>
                </c:pt>
                <c:pt idx="73">
                  <c:v>589.2260273169976</c:v>
                </c:pt>
                <c:pt idx="74">
                  <c:v>604.12584999918033</c:v>
                </c:pt>
                <c:pt idx="75">
                  <c:v>619.01804144415814</c:v>
                </c:pt>
                <c:pt idx="76">
                  <c:v>582.97539089270765</c:v>
                </c:pt>
                <c:pt idx="77">
                  <c:v>597.39785574639552</c:v>
                </c:pt>
                <c:pt idx="78">
                  <c:v>611.81308180026372</c:v>
                </c:pt>
                <c:pt idx="79">
                  <c:v>626.22126355197076</c:v>
                </c:pt>
                <c:pt idx="80">
                  <c:v>640.62258582421282</c:v>
                </c:pt>
                <c:pt idx="81">
                  <c:v>604.12584999918022</c:v>
                </c:pt>
                <c:pt idx="82">
                  <c:v>618.05748105376017</c:v>
                </c:pt>
                <c:pt idx="83">
                  <c:v>631.98260555718286</c:v>
                </c:pt>
                <c:pt idx="84">
                  <c:v>645.90138700087289</c:v>
                </c:pt>
                <c:pt idx="85">
                  <c:v>659.81398125925989</c:v>
                </c:pt>
                <c:pt idx="86">
                  <c:v>622.37975992032511</c:v>
                </c:pt>
                <c:pt idx="87">
                  <c:v>635.34288615032472</c:v>
                </c:pt>
                <c:pt idx="88">
                  <c:v>648.30054732947326</c:v>
                </c:pt>
                <c:pt idx="89">
                  <c:v>661.25286802950563</c:v>
                </c:pt>
                <c:pt idx="90">
                  <c:v>674.19996754655324</c:v>
                </c:pt>
                <c:pt idx="91">
                  <c:v>635.82289619917879</c:v>
                </c:pt>
                <c:pt idx="92">
                  <c:v>647.82072993888187</c:v>
                </c:pt>
                <c:pt idx="93">
                  <c:v>659.81398125925955</c:v>
                </c:pt>
                <c:pt idx="94">
                  <c:v>671.80274515801204</c:v>
                </c:pt>
                <c:pt idx="95">
                  <c:v>683.78711296727181</c:v>
                </c:pt>
                <c:pt idx="96">
                  <c:v>644.94167141935975</c:v>
                </c:pt>
                <c:pt idx="97">
                  <c:v>656.4563272377286</c:v>
                </c:pt>
                <c:pt idx="98">
                  <c:v>667.966823305768</c:v>
                </c:pt>
                <c:pt idx="99">
                  <c:v>679.47324137977773</c:v>
                </c:pt>
                <c:pt idx="100">
                  <c:v>690.9756602224528</c:v>
                </c:pt>
                <c:pt idx="101">
                  <c:v>651.65906430488621</c:v>
                </c:pt>
                <c:pt idx="102">
                  <c:v>662.69169034573179</c:v>
                </c:pt>
                <c:pt idx="103">
                  <c:v>673.72053710111106</c:v>
                </c:pt>
                <c:pt idx="104">
                  <c:v>684.74567513588124</c:v>
                </c:pt>
                <c:pt idx="105">
                  <c:v>695.76717255815345</c:v>
                </c:pt>
                <c:pt idx="106">
                  <c:v>657.89536502624094</c:v>
                </c:pt>
                <c:pt idx="107">
                  <c:v>667.96682330576834</c:v>
                </c:pt>
                <c:pt idx="108">
                  <c:v>678.03515941586272</c:v>
                </c:pt>
                <c:pt idx="109">
                  <c:v>688.10042624039909</c:v>
                </c:pt>
                <c:pt idx="110">
                  <c:v>698.1626749904558</c:v>
                </c:pt>
                <c:pt idx="111">
                  <c:v>657.17585424582876</c:v>
                </c:pt>
                <c:pt idx="112">
                  <c:v>661.7324826219002</c:v>
                </c:pt>
                <c:pt idx="113">
                  <c:v>666.28846519657236</c:v>
                </c:pt>
                <c:pt idx="114">
                  <c:v>670.84380700964346</c:v>
                </c:pt>
                <c:pt idx="115">
                  <c:v>675.39851302686805</c:v>
                </c:pt>
                <c:pt idx="116">
                  <c:v>679.95258814154977</c:v>
                </c:pt>
                <c:pt idx="117">
                  <c:v>684.50603717608499</c:v>
                </c:pt>
                <c:pt idx="118">
                  <c:v>689.05886488346766</c:v>
                </c:pt>
                <c:pt idx="119">
                  <c:v>693.61107594874795</c:v>
                </c:pt>
                <c:pt idx="120">
                  <c:v>698.16267499045523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2.1331506950396717</c:v>
                </c:pt>
                <c:pt idx="2">
                  <c:v>2.6873085043373757</c:v>
                </c:pt>
                <c:pt idx="3">
                  <c:v>3.3859956732303242</c:v>
                </c:pt>
                <c:pt idx="4">
                  <c:v>4.2670466336791462</c:v>
                </c:pt>
                <c:pt idx="5">
                  <c:v>5.3782342902694369</c:v>
                </c:pt>
                <c:pt idx="6">
                  <c:v>6.7798890692470613</c:v>
                </c:pt>
                <c:pt idx="7">
                  <c:v>8.5482101956432839</c:v>
                </c:pt>
                <c:pt idx="8">
                  <c:v>10.779452652918643</c:v>
                </c:pt>
                <c:pt idx="9">
                  <c:v>13.59522201845288</c:v>
                </c:pt>
                <c:pt idx="10">
                  <c:v>17.149171084619187</c:v>
                </c:pt>
                <c:pt idx="11">
                  <c:v>33.289354974370632</c:v>
                </c:pt>
                <c:pt idx="12">
                  <c:v>49.205665893571926</c:v>
                </c:pt>
                <c:pt idx="13">
                  <c:v>64.983393960011185</c:v>
                </c:pt>
                <c:pt idx="14">
                  <c:v>80.661435952614355</c:v>
                </c:pt>
                <c:pt idx="15">
                  <c:v>96.262045139603686</c:v>
                </c:pt>
                <c:pt idx="16">
                  <c:v>69.928557673965017</c:v>
                </c:pt>
                <c:pt idx="17">
                  <c:v>89.914543654715828</c:v>
                </c:pt>
                <c:pt idx="18">
                  <c:v>109.78863954070181</c:v>
                </c:pt>
                <c:pt idx="19">
                  <c:v>129.57406398795285</c:v>
                </c:pt>
                <c:pt idx="20">
                  <c:v>149.28630357695829</c:v>
                </c:pt>
                <c:pt idx="21">
                  <c:v>120.40812454265038</c:v>
                </c:pt>
                <c:pt idx="22">
                  <c:v>141.58075430337473</c:v>
                </c:pt>
                <c:pt idx="23">
                  <c:v>162.67735290343725</c:v>
                </c:pt>
                <c:pt idx="24">
                  <c:v>183.70918168109486</c:v>
                </c:pt>
                <c:pt idx="25">
                  <c:v>204.68470429512652</c:v>
                </c:pt>
                <c:pt idx="26">
                  <c:v>175.18997878840631</c:v>
                </c:pt>
                <c:pt idx="27">
                  <c:v>195.33725403815257</c:v>
                </c:pt>
                <c:pt idx="28">
                  <c:v>215.43623857870276</c:v>
                </c:pt>
                <c:pt idx="29">
                  <c:v>235.49207202192679</c:v>
                </c:pt>
                <c:pt idx="30">
                  <c:v>255.50894611772119</c:v>
                </c:pt>
                <c:pt idx="31">
                  <c:v>224.19805253054756</c:v>
                </c:pt>
                <c:pt idx="32">
                  <c:v>242.26251159741642</c:v>
                </c:pt>
                <c:pt idx="33">
                  <c:v>260.29633594452861</c:v>
                </c:pt>
                <c:pt idx="34">
                  <c:v>278.301946435746</c:v>
                </c:pt>
                <c:pt idx="35">
                  <c:v>296.28142501216269</c:v>
                </c:pt>
                <c:pt idx="36">
                  <c:v>263.11151589765069</c:v>
                </c:pt>
                <c:pt idx="37">
                  <c:v>279.14530320025654</c:v>
                </c:pt>
                <c:pt idx="38">
                  <c:v>295.1584377506797</c:v>
                </c:pt>
                <c:pt idx="39">
                  <c:v>311.15219769628214</c:v>
                </c:pt>
                <c:pt idx="40">
                  <c:v>327.1277190437109</c:v>
                </c:pt>
                <c:pt idx="41">
                  <c:v>291.78890217004903</c:v>
                </c:pt>
                <c:pt idx="42">
                  <c:v>305.54248465313009</c:v>
                </c:pt>
                <c:pt idx="43">
                  <c:v>319.28230720978155</c:v>
                </c:pt>
                <c:pt idx="44">
                  <c:v>333.00904545770453</c:v>
                </c:pt>
                <c:pt idx="45">
                  <c:v>346.72331475971595</c:v>
                </c:pt>
                <c:pt idx="46">
                  <c:v>325.16676002004442</c:v>
                </c:pt>
                <c:pt idx="47">
                  <c:v>337.20858844808726</c:v>
                </c:pt>
                <c:pt idx="48">
                  <c:v>349.24095205485236</c:v>
                </c:pt>
                <c:pt idx="49">
                  <c:v>361.26422296534025</c:v>
                </c:pt>
                <c:pt idx="50">
                  <c:v>373.27874650728057</c:v>
                </c:pt>
                <c:pt idx="51">
                  <c:v>357.07106927741569</c:v>
                </c:pt>
                <c:pt idx="52">
                  <c:v>367.41226056988808</c:v>
                </c:pt>
                <c:pt idx="53">
                  <c:v>377.74709948417603</c:v>
                </c:pt>
                <c:pt idx="54">
                  <c:v>388.07578438405852</c:v>
                </c:pt>
                <c:pt idx="55">
                  <c:v>398.39850220884642</c:v>
                </c:pt>
                <c:pt idx="56">
                  <c:v>384.7266032604951</c:v>
                </c:pt>
                <c:pt idx="57">
                  <c:v>393.37737346788646</c:v>
                </c:pt>
                <c:pt idx="58">
                  <c:v>402.02401961743959</c:v>
                </c:pt>
                <c:pt idx="59">
                  <c:v>410.66664296453746</c:v>
                </c:pt>
                <c:pt idx="60">
                  <c:v>419.30534015273264</c:v>
                </c:pt>
                <c:pt idx="61">
                  <c:v>407.04280051298906</c:v>
                </c:pt>
                <c:pt idx="62">
                  <c:v>414.28979501974953</c:v>
                </c:pt>
                <c:pt idx="63">
                  <c:v>421.53405540097515</c:v>
                </c:pt>
                <c:pt idx="64">
                  <c:v>428.77563530272056</c:v>
                </c:pt>
                <c:pt idx="65">
                  <c:v>436.01458640998993</c:v>
                </c:pt>
                <c:pt idx="66">
                  <c:v>424.3195927914519</c:v>
                </c:pt>
                <c:pt idx="67">
                  <c:v>430.72484017315429</c:v>
                </c:pt>
                <c:pt idx="68">
                  <c:v>437.12804107015182</c:v>
                </c:pt>
                <c:pt idx="69">
                  <c:v>443.5292297106912</c:v>
                </c:pt>
                <c:pt idx="70">
                  <c:v>449.92843925372921</c:v>
                </c:pt>
                <c:pt idx="71">
                  <c:v>437.68474556682258</c:v>
                </c:pt>
                <c:pt idx="72">
                  <c:v>443.5292297106912</c:v>
                </c:pt>
                <c:pt idx="73">
                  <c:v>449.37206399490168</c:v>
                </c:pt>
                <c:pt idx="74">
                  <c:v>455.21327291395437</c:v>
                </c:pt>
                <c:pt idx="75">
                  <c:v>461.05288028198464</c:v>
                </c:pt>
                <c:pt idx="76">
                  <c:v>450.48479979135647</c:v>
                </c:pt>
                <c:pt idx="77">
                  <c:v>455.21327291395437</c:v>
                </c:pt>
                <c:pt idx="78">
                  <c:v>459.94069650633151</c:v>
                </c:pt>
                <c:pt idx="79">
                  <c:v>464.66708288740637</c:v>
                </c:pt>
                <c:pt idx="80">
                  <c:v>469.39244410483184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40.194516673030414</c:v>
                </c:pt>
                <c:pt idx="12">
                  <c:v>59.423997506342801</c:v>
                </c:pt>
                <c:pt idx="13">
                  <c:v>78.488959578049446</c:v>
                </c:pt>
                <c:pt idx="14">
                  <c:v>97.435579235164482</c:v>
                </c:pt>
                <c:pt idx="15">
                  <c:v>116.29027446560372</c:v>
                </c:pt>
                <c:pt idx="16">
                  <c:v>84.464894871217254</c:v>
                </c:pt>
                <c:pt idx="17">
                  <c:v>108.61858799751566</c:v>
                </c:pt>
                <c:pt idx="18">
                  <c:v>132.63945069450935</c:v>
                </c:pt>
                <c:pt idx="19">
                  <c:v>156.55504701114111</c:v>
                </c:pt>
                <c:pt idx="20">
                  <c:v>180.38376185573739</c:v>
                </c:pt>
                <c:pt idx="21">
                  <c:v>145.47552012532864</c:v>
                </c:pt>
                <c:pt idx="22">
                  <c:v>171.06890310603498</c:v>
                </c:pt>
                <c:pt idx="23">
                  <c:v>196.57202562416424</c:v>
                </c:pt>
                <c:pt idx="24">
                  <c:v>221.99825658782561</c:v>
                </c:pt>
                <c:pt idx="25">
                  <c:v>247.35764363735257</c:v>
                </c:pt>
                <c:pt idx="26">
                  <c:v>211.69888943572892</c:v>
                </c:pt>
                <c:pt idx="27">
                  <c:v>236.05644310479681</c:v>
                </c:pt>
                <c:pt idx="28">
                  <c:v>260.35666841385739</c:v>
                </c:pt>
                <c:pt idx="29">
                  <c:v>284.60566685788712</c:v>
                </c:pt>
                <c:pt idx="30">
                  <c:v>308.80841467664561</c:v>
                </c:pt>
                <c:pt idx="31">
                  <c:v>270.95024442791083</c:v>
                </c:pt>
                <c:pt idx="32">
                  <c:v>292.7918305088869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318.00102122537896</c:v>
                </c:pt>
                <c:pt idx="37">
                  <c:v>337.38854301296448</c:v>
                </c:pt>
                <c:pt idx="38">
                  <c:v>356.75154686672863</c:v>
                </c:pt>
                <c:pt idx="39">
                  <c:v>376.09155014049156</c:v>
                </c:pt>
                <c:pt idx="40">
                  <c:v>395.40990144559368</c:v>
                </c:pt>
                <c:pt idx="41">
                  <c:v>352.6770845621848</c:v>
                </c:pt>
                <c:pt idx="42">
                  <c:v>369.30811574035596</c:v>
                </c:pt>
                <c:pt idx="43">
                  <c:v>385.92281180916171</c:v>
                </c:pt>
                <c:pt idx="44">
                  <c:v>402.52197482878046</c:v>
                </c:pt>
                <c:pt idx="45">
                  <c:v>419.10633532774779</c:v>
                </c:pt>
                <c:pt idx="46">
                  <c:v>393.03859669656612</c:v>
                </c:pt>
                <c:pt idx="47">
                  <c:v>407.60035995338376</c:v>
                </c:pt>
                <c:pt idx="48">
                  <c:v>422.15088703888301</c:v>
                </c:pt>
                <c:pt idx="49">
                  <c:v>436.69061972160188</c:v>
                </c:pt>
                <c:pt idx="50">
                  <c:v>451.2199679576733</c:v>
                </c:pt>
                <c:pt idx="51">
                  <c:v>431.61981966331086</c:v>
                </c:pt>
                <c:pt idx="52">
                  <c:v>444.12551245998549</c:v>
                </c:pt>
                <c:pt idx="53">
                  <c:v>456.62366402503358</c:v>
                </c:pt>
                <c:pt idx="54">
                  <c:v>469.11450984619825</c:v>
                </c:pt>
                <c:pt idx="55">
                  <c:v>481.59827184865543</c:v>
                </c:pt>
                <c:pt idx="56">
                  <c:v>465.06421135415468</c:v>
                </c:pt>
                <c:pt idx="57">
                  <c:v>475.52596168445672</c:v>
                </c:pt>
                <c:pt idx="58">
                  <c:v>485.98281613568884</c:v>
                </c:pt>
                <c:pt idx="59">
                  <c:v>496.43489491327199</c:v>
                </c:pt>
                <c:pt idx="60">
                  <c:v>506.88231274768879</c:v>
                </c:pt>
                <c:pt idx="61">
                  <c:v>492.05233905304044</c:v>
                </c:pt>
                <c:pt idx="62">
                  <c:v>500.81663116885539</c:v>
                </c:pt>
                <c:pt idx="63">
                  <c:v>509.57767746501708</c:v>
                </c:pt>
                <c:pt idx="64">
                  <c:v>518.33554162748919</c:v>
                </c:pt>
                <c:pt idx="65">
                  <c:v>527.09028501417163</c:v>
                </c:pt>
                <c:pt idx="66">
                  <c:v>512.9464599407637</c:v>
                </c:pt>
                <c:pt idx="67">
                  <c:v>520.69289242265415</c:v>
                </c:pt>
                <c:pt idx="68">
                  <c:v>528.43689541833794</c:v>
                </c:pt>
                <c:pt idx="69">
                  <c:v>536.17850956190932</c:v>
                </c:pt>
                <c:pt idx="70">
                  <c:v>543.917774218055</c:v>
                </c:pt>
                <c:pt idx="71">
                  <c:v>529.11017351371675</c:v>
                </c:pt>
                <c:pt idx="72">
                  <c:v>536.17850956190932</c:v>
                </c:pt>
                <c:pt idx="73">
                  <c:v>543.24488697768527</c:v>
                </c:pt>
                <c:pt idx="74">
                  <c:v>550.30933483971376</c:v>
                </c:pt>
                <c:pt idx="75">
                  <c:v>557.37188141896718</c:v>
                </c:pt>
                <c:pt idx="76">
                  <c:v>544.59064398213786</c:v>
                </c:pt>
                <c:pt idx="77">
                  <c:v>550.30933483971364</c:v>
                </c:pt>
                <c:pt idx="78">
                  <c:v>556.02677974651886</c:v>
                </c:pt>
                <c:pt idx="79">
                  <c:v>561.74299332696899</c:v>
                </c:pt>
                <c:pt idx="80">
                  <c:v>567.4579898834462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1.8735857116256069</c:v>
                </c:pt>
                <c:pt idx="2">
                  <c:v>2.645609018726315</c:v>
                </c:pt>
                <c:pt idx="3">
                  <c:v>3.737150975593091</c:v>
                </c:pt>
                <c:pt idx="4">
                  <c:v>5.2809973120860425</c:v>
                </c:pt>
                <c:pt idx="5">
                  <c:v>7.4653287065804186</c:v>
                </c:pt>
                <c:pt idx="6">
                  <c:v>15.773781113927981</c:v>
                </c:pt>
                <c:pt idx="7">
                  <c:v>23.946893538471016</c:v>
                </c:pt>
                <c:pt idx="8">
                  <c:v>32.039486304914341</c:v>
                </c:pt>
                <c:pt idx="9">
                  <c:v>40.075147827011037</c:v>
                </c:pt>
                <c:pt idx="10">
                  <c:v>48.067018934286466</c:v>
                </c:pt>
                <c:pt idx="11">
                  <c:v>62.593253040633748</c:v>
                </c:pt>
                <c:pt idx="12">
                  <c:v>77.031512488586074</c:v>
                </c:pt>
                <c:pt idx="13">
                  <c:v>91.400725575629849</c:v>
                </c:pt>
                <c:pt idx="14">
                  <c:v>105.71332103871536</c:v>
                </c:pt>
                <c:pt idx="15">
                  <c:v>119.97806421034859</c:v>
                </c:pt>
                <c:pt idx="16">
                  <c:v>131.88640158447052</c:v>
                </c:pt>
                <c:pt idx="17">
                  <c:v>143.76877647845802</c:v>
                </c:pt>
                <c:pt idx="18">
                  <c:v>155.62763925339226</c:v>
                </c:pt>
                <c:pt idx="19">
                  <c:v>167.46503563804728</c:v>
                </c:pt>
                <c:pt idx="20">
                  <c:v>179.28269807168192</c:v>
                </c:pt>
                <c:pt idx="21">
                  <c:v>191.08211163181261</c:v>
                </c:pt>
                <c:pt idx="22">
                  <c:v>202.86456278492429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70" t="s">
        <v>295</v>
      </c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</row>
    <row r="13" spans="2:13" ht="15" customHeight="1" x14ac:dyDescent="0.2">
      <c r="B13" s="270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</row>
    <row r="14" spans="2:13" ht="15" customHeight="1" x14ac:dyDescent="0.2">
      <c r="B14" s="270"/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</row>
    <row r="15" spans="2:13" ht="18.75" customHeight="1" x14ac:dyDescent="0.2">
      <c r="B15" s="270"/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</row>
    <row r="16" spans="2:13" ht="18.75" customHeight="1" x14ac:dyDescent="0.2">
      <c r="B16" s="270"/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</row>
    <row r="18" spans="2:13" ht="12" customHeight="1" x14ac:dyDescent="0.2">
      <c r="B18" s="270" t="s">
        <v>296</v>
      </c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</row>
    <row r="19" spans="2:13" ht="12" customHeight="1" x14ac:dyDescent="0.2">
      <c r="B19" s="270"/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</row>
    <row r="20" spans="2:13" ht="12" customHeight="1" x14ac:dyDescent="0.2">
      <c r="B20" s="270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</row>
    <row r="21" spans="2:13" ht="12" customHeight="1" x14ac:dyDescent="0.2"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</row>
    <row r="22" spans="2:13" ht="12" customHeight="1" x14ac:dyDescent="0.2">
      <c r="B22" s="270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</row>
    <row r="23" spans="2:13" ht="12" customHeight="1" x14ac:dyDescent="0.2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</row>
    <row r="24" spans="2:13" ht="12" customHeight="1" x14ac:dyDescent="0.2"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</row>
    <row r="25" spans="2:13" ht="12" customHeight="1" x14ac:dyDescent="0.2"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</row>
    <row r="26" spans="2:13" ht="12" customHeight="1" x14ac:dyDescent="0.2"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</row>
    <row r="27" spans="2:13" ht="12" customHeight="1" x14ac:dyDescent="0.2">
      <c r="B27" s="270"/>
      <c r="C27" s="270"/>
      <c r="D27" s="270"/>
      <c r="E27" s="270"/>
      <c r="F27" s="270"/>
      <c r="G27" s="270"/>
      <c r="H27" s="270"/>
      <c r="I27" s="270"/>
      <c r="J27" s="270"/>
      <c r="K27" s="270"/>
      <c r="L27" s="270"/>
      <c r="M27" s="270"/>
    </row>
    <row r="28" spans="2:13" ht="12" customHeight="1" x14ac:dyDescent="0.2"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270"/>
    </row>
    <row r="29" spans="2:13" ht="12" customHeight="1" x14ac:dyDescent="0.2"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</row>
    <row r="30" spans="2:13" ht="12" customHeight="1" x14ac:dyDescent="0.2">
      <c r="B30" s="270"/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270"/>
    </row>
    <row r="31" spans="2:13" ht="12" customHeight="1" x14ac:dyDescent="0.2">
      <c r="B31" s="270"/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01" zoomScale="59" zoomScaleNormal="70" workbookViewId="0">
      <selection activeCell="D132" sqref="D132"/>
    </sheetView>
  </sheetViews>
  <sheetFormatPr baseColWidth="10" defaultColWidth="11.5" defaultRowHeight="15" x14ac:dyDescent="0.2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 x14ac:dyDescent="0.2">
      <c r="A1" s="5"/>
      <c r="B1" s="5"/>
      <c r="C1" s="271" t="s">
        <v>190</v>
      </c>
      <c r="D1" s="271"/>
      <c r="E1" s="27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 x14ac:dyDescent="0.25">
      <c r="A2" s="5"/>
      <c r="B2" s="5"/>
      <c r="C2" s="5"/>
      <c r="D2" s="5"/>
      <c r="E2" s="5"/>
      <c r="F2" s="5"/>
      <c r="G2" s="5"/>
      <c r="H2" s="5"/>
      <c r="I2" s="239" t="s">
        <v>313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25">
      <c r="A3" s="5"/>
      <c r="B3" s="276" t="s">
        <v>192</v>
      </c>
      <c r="C3" s="277"/>
      <c r="D3" s="277"/>
      <c r="E3" s="277"/>
      <c r="F3" s="278"/>
      <c r="G3" s="96"/>
      <c r="I3" s="239" t="s">
        <v>311</v>
      </c>
      <c r="J3" s="97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2">
      <c r="A4" s="98"/>
      <c r="B4" s="98"/>
      <c r="C4" s="98"/>
      <c r="D4" s="98"/>
      <c r="E4" s="98"/>
      <c r="F4" s="98"/>
      <c r="G4" s="252"/>
      <c r="I4" s="239" t="s">
        <v>312</v>
      </c>
      <c r="J4" s="97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2">
      <c r="A5" s="282" t="s">
        <v>231</v>
      </c>
      <c r="B5" s="282"/>
      <c r="C5" s="26">
        <v>10.35</v>
      </c>
      <c r="D5" s="283" t="s">
        <v>229</v>
      </c>
      <c r="E5" s="284"/>
      <c r="F5" s="98"/>
      <c r="G5" s="252"/>
      <c r="H5" s="253"/>
      <c r="I5" s="253"/>
      <c r="J5" s="261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">
      <c r="A6" s="99"/>
      <c r="B6" s="99"/>
      <c r="C6" s="100"/>
      <c r="D6" s="92"/>
      <c r="E6" s="92"/>
      <c r="F6" s="29"/>
      <c r="G6" s="254"/>
      <c r="H6" s="255"/>
      <c r="I6" s="255"/>
      <c r="J6" s="262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38" ht="26" x14ac:dyDescent="0.2">
      <c r="A7" s="280" t="s">
        <v>226</v>
      </c>
      <c r="B7" s="280"/>
      <c r="C7" s="98"/>
      <c r="D7" s="98"/>
      <c r="E7" s="5"/>
      <c r="F7" s="98"/>
      <c r="G7" s="252"/>
      <c r="H7" s="253"/>
      <c r="I7" s="253"/>
      <c r="J7" s="261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">
      <c r="A8" s="5"/>
      <c r="B8" s="28" t="s">
        <v>179</v>
      </c>
      <c r="C8" s="29" t="s">
        <v>270</v>
      </c>
      <c r="D8" s="30" t="s">
        <v>271</v>
      </c>
      <c r="E8" s="31" t="s">
        <v>269</v>
      </c>
      <c r="F8" s="32" t="s">
        <v>230</v>
      </c>
      <c r="I8" s="267"/>
      <c r="J8" s="261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">
      <c r="A9" s="33" t="s">
        <v>165</v>
      </c>
      <c r="B9" s="34" t="s">
        <v>35</v>
      </c>
      <c r="C9" s="35">
        <v>0.24160000000000001</v>
      </c>
      <c r="D9" s="36">
        <f t="shared" ref="D9:D18" si="0">C9*$C$5</f>
        <v>2.5005600000000001</v>
      </c>
      <c r="E9" s="37">
        <v>50</v>
      </c>
      <c r="F9" s="38" t="str">
        <f t="array" ref="F9">IF(E10="","",IF(INDEX(A:A,MAX(IF(ISNUMBER($A$36:$A$55),ROW($A$36:$A$55),"")))&lt;&gt;E9,"Corrigez : révolution incorrecte","OK"))</f>
        <v>OK</v>
      </c>
      <c r="I9" s="268"/>
      <c r="J9" s="261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">
      <c r="A10" s="33" t="s">
        <v>166</v>
      </c>
      <c r="B10" s="34" t="s">
        <v>36</v>
      </c>
      <c r="C10" s="35">
        <v>0.3624</v>
      </c>
      <c r="D10" s="36">
        <f t="shared" si="0"/>
        <v>3.7508399999999997</v>
      </c>
      <c r="E10" s="37">
        <v>50</v>
      </c>
      <c r="F10" s="38" t="str">
        <f t="array" ref="F10">IF(E10="","",IF(INDEX(A:A,MAX(IF(ISNUMBER($A$62:$A$81),ROW($A$62:$A$81),"")))&lt;&gt;E10,"Corrigez : révolution incorrecte","OK"))</f>
        <v>OK</v>
      </c>
      <c r="I10" s="268"/>
      <c r="J10" s="261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">
      <c r="A11" s="33" t="s">
        <v>167</v>
      </c>
      <c r="B11" s="34" t="s">
        <v>16</v>
      </c>
      <c r="C11" s="35">
        <v>2.4400000000000002E-2</v>
      </c>
      <c r="D11" s="36">
        <f t="shared" si="0"/>
        <v>0.25253999999999999</v>
      </c>
      <c r="E11" s="37">
        <v>120</v>
      </c>
      <c r="F11" s="38" t="str">
        <f t="array" ref="F11">IF(E11="","",IF(INDEX(A:A,MAX(IF(ISNUMBER($A$88:$A$107),ROW($A$88:$A$107),"")))&lt;&gt;E11,"Corrigez : révolution incorrecte","OK"))</f>
        <v>OK</v>
      </c>
      <c r="H11" s="244"/>
      <c r="I11" s="268"/>
      <c r="J11" s="261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">
      <c r="A12" s="33" t="s">
        <v>168</v>
      </c>
      <c r="B12" s="34" t="s">
        <v>4</v>
      </c>
      <c r="C12" s="35">
        <v>1.11E-2</v>
      </c>
      <c r="D12" s="36">
        <f t="shared" si="0"/>
        <v>0.114885</v>
      </c>
      <c r="E12" s="37">
        <v>80</v>
      </c>
      <c r="F12" s="38" t="str">
        <f t="array" ref="F12">IF(E12="","",IF(INDEX(A:A,MAX(IF(ISNUMBER($A$114:$A$133),ROW($A$114:$A$133),"")))&lt;&gt;E12,"Corrigez : révolution incorrecte","OK"))</f>
        <v>OK</v>
      </c>
      <c r="H12" s="244"/>
      <c r="I12" s="268"/>
      <c r="J12" s="261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">
      <c r="A13" s="33" t="s">
        <v>169</v>
      </c>
      <c r="B13" s="34" t="s">
        <v>23</v>
      </c>
      <c r="C13" s="35">
        <v>1.11E-2</v>
      </c>
      <c r="D13" s="36">
        <f t="shared" si="0"/>
        <v>0.114885</v>
      </c>
      <c r="E13" s="37">
        <v>80</v>
      </c>
      <c r="F13" s="38" t="str">
        <f t="array" ref="F13">IF(E13="","",IF(INDEX(A:A,MAX(IF(ISNUMBER($A$140:$A$159),ROW($A$140:$A$159),"")))&lt;&gt;E13,"Corrigez : révolution incorrecte","OK"))</f>
        <v>OK</v>
      </c>
      <c r="H13" s="244"/>
      <c r="I13" s="268"/>
      <c r="J13" s="261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">
      <c r="A14" s="33" t="s">
        <v>170</v>
      </c>
      <c r="B14" s="34" t="s">
        <v>112</v>
      </c>
      <c r="C14" s="35">
        <v>0.3382</v>
      </c>
      <c r="D14" s="36">
        <f t="shared" si="0"/>
        <v>3.5003699999999998</v>
      </c>
      <c r="E14" s="37">
        <v>22</v>
      </c>
      <c r="F14" s="38" t="str">
        <f t="array" ref="F14">IF(E14="","",IF(INDEX(A:A,MAX(IF(ISNUMBER($A$166:$A$185),ROW($A$166:$A$185),"")))&lt;&gt;E14,"Corrigez : révolution incorrecte","OK"))</f>
        <v>OK</v>
      </c>
      <c r="H14" s="244"/>
      <c r="I14" s="268"/>
      <c r="J14" s="261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44"/>
      <c r="I15" s="268"/>
      <c r="J15" s="261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44"/>
      <c r="I16" s="268"/>
      <c r="J16" s="261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44"/>
      <c r="I17" s="268"/>
      <c r="J17" s="261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44"/>
      <c r="I18" s="268"/>
      <c r="J18" s="261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">
      <c r="A19" s="101"/>
      <c r="B19" s="39" t="s">
        <v>175</v>
      </c>
      <c r="C19" s="40">
        <f>SUM(C9:C18)</f>
        <v>0.9887999999999999</v>
      </c>
      <c r="D19" s="41">
        <f>SUM(D9:D18)</f>
        <v>10.234080000000001</v>
      </c>
      <c r="E19" s="5"/>
      <c r="F19" s="102"/>
      <c r="G19" s="256"/>
      <c r="H19" s="257"/>
      <c r="I19" s="256"/>
      <c r="J19" s="261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">
      <c r="A20" s="101"/>
      <c r="B20" s="42" t="s">
        <v>230</v>
      </c>
      <c r="C20" s="43" t="str">
        <f>IF(C19&gt;100%,"Erreur : corrigez","OK")</f>
        <v>OK</v>
      </c>
      <c r="D20" s="263"/>
      <c r="F20" s="255"/>
      <c r="G20" s="255"/>
      <c r="H20" s="257"/>
      <c r="I20" s="256"/>
      <c r="J20" s="261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">
      <c r="A21" s="5"/>
      <c r="B21" s="5"/>
      <c r="C21" s="5"/>
      <c r="H21" s="258"/>
      <c r="I21" s="269"/>
      <c r="J21" s="261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25">
      <c r="A22" s="279" t="s">
        <v>232</v>
      </c>
      <c r="B22" s="279"/>
      <c r="C22" s="100"/>
      <c r="H22" s="242"/>
      <c r="I22" s="262"/>
      <c r="J22" s="262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</row>
    <row r="23" spans="1:45" x14ac:dyDescent="0.2">
      <c r="A23" s="5"/>
      <c r="B23" s="5"/>
      <c r="C23" s="5"/>
      <c r="H23" s="230"/>
      <c r="I23" s="261"/>
      <c r="J23" s="261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">
      <c r="A24" s="44" t="s">
        <v>218</v>
      </c>
      <c r="B24" s="45" t="s">
        <v>224</v>
      </c>
      <c r="C24" s="46">
        <v>0</v>
      </c>
      <c r="D24" s="47" t="s">
        <v>233</v>
      </c>
      <c r="E24" s="103"/>
      <c r="F24" s="103"/>
      <c r="G24" s="259"/>
      <c r="H24" s="244"/>
      <c r="I24" s="259"/>
      <c r="J24" s="260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">
      <c r="A25" s="44" t="s">
        <v>220</v>
      </c>
      <c r="B25" s="45" t="s">
        <v>219</v>
      </c>
      <c r="C25" s="48">
        <v>0.1</v>
      </c>
      <c r="D25" s="104"/>
      <c r="E25" s="5"/>
      <c r="F25" s="104"/>
      <c r="G25" s="260"/>
      <c r="H25" s="244"/>
      <c r="I25" s="260"/>
      <c r="J25" s="260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">
      <c r="A26" s="44" t="s">
        <v>222</v>
      </c>
      <c r="B26" s="45" t="s">
        <v>221</v>
      </c>
      <c r="C26" s="46">
        <v>0</v>
      </c>
      <c r="D26" s="47" t="s">
        <v>234</v>
      </c>
      <c r="E26" s="103"/>
      <c r="F26" s="103"/>
      <c r="G26" s="259"/>
      <c r="I26" s="259"/>
      <c r="J26" s="259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">
      <c r="A27" s="44" t="s">
        <v>223</v>
      </c>
      <c r="B27" s="45" t="s">
        <v>225</v>
      </c>
      <c r="C27" s="46">
        <v>0</v>
      </c>
      <c r="D27" s="47" t="s">
        <v>235</v>
      </c>
      <c r="E27" s="103"/>
      <c r="F27" s="103"/>
      <c r="G27" s="259"/>
      <c r="I27" s="259"/>
      <c r="J27" s="259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">
      <c r="A28" s="5"/>
      <c r="B28" s="5"/>
      <c r="H28" s="261"/>
      <c r="I28" s="261"/>
      <c r="J28" s="261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">
      <c r="A29" s="5"/>
      <c r="B29" s="5"/>
      <c r="H29" s="261"/>
      <c r="I29" s="261"/>
      <c r="J29" s="261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">
      <c r="A30" s="281" t="s">
        <v>227</v>
      </c>
      <c r="B30" s="281"/>
      <c r="D30" s="264"/>
      <c r="H30" s="262"/>
      <c r="I30" s="262"/>
      <c r="J30" s="262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</row>
    <row r="31" spans="1:45" x14ac:dyDescent="0.2">
      <c r="A31" s="5"/>
      <c r="B31" s="5"/>
      <c r="H31" s="261"/>
      <c r="I31" s="261"/>
      <c r="J31" s="261"/>
      <c r="K31" s="264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">
      <c r="A32" s="49" t="s">
        <v>165</v>
      </c>
      <c r="B32" s="50" t="str">
        <f>IF(B9="","",B9)</f>
        <v>Pin laricio</v>
      </c>
      <c r="K32" s="26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">
      <c r="A33" s="49"/>
      <c r="B33" s="5"/>
      <c r="K33" s="264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">
      <c r="A34" s="5"/>
      <c r="B34" s="91" t="s">
        <v>185</v>
      </c>
      <c r="C34" s="272" t="s">
        <v>186</v>
      </c>
      <c r="D34" s="272"/>
      <c r="E34" s="273" t="s">
        <v>187</v>
      </c>
      <c r="F34" s="274"/>
      <c r="G34" s="274"/>
      <c r="H34" s="275"/>
      <c r="I34" s="105"/>
      <c r="J34" s="26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 x14ac:dyDescent="0.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66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">
      <c r="A36" s="53">
        <v>15</v>
      </c>
      <c r="B36" s="63">
        <v>129</v>
      </c>
      <c r="C36" s="63">
        <v>1</v>
      </c>
      <c r="D36" s="63">
        <v>21</v>
      </c>
      <c r="E36" s="54"/>
      <c r="F36" s="54">
        <v>0.56000000000000005</v>
      </c>
      <c r="G36" s="54">
        <v>0.44</v>
      </c>
      <c r="H36" s="54"/>
      <c r="I36" s="52">
        <f>IFERROR(B36/A36,"")</f>
        <v>8.6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">
      <c r="A37" s="53">
        <v>20</v>
      </c>
      <c r="B37" s="63">
        <v>226</v>
      </c>
      <c r="C37" s="63">
        <v>2</v>
      </c>
      <c r="D37" s="63">
        <v>70</v>
      </c>
      <c r="E37" s="54"/>
      <c r="F37" s="54">
        <v>0.56000000000000005</v>
      </c>
      <c r="G37" s="54">
        <v>0.44</v>
      </c>
      <c r="H37" s="54"/>
      <c r="I37" s="56">
        <f t="shared" ref="I37:I55" si="1">IF(A37&lt;&gt;0,(B37-(B36-D36))/(A37-A36),"")</f>
        <v>23.6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">
      <c r="A38" s="53">
        <v>25</v>
      </c>
      <c r="B38" s="63">
        <v>281</v>
      </c>
      <c r="C38" s="63">
        <v>3</v>
      </c>
      <c r="D38" s="63">
        <v>70</v>
      </c>
      <c r="E38" s="54"/>
      <c r="F38" s="54">
        <v>0.56000000000000005</v>
      </c>
      <c r="G38" s="54">
        <v>0.44</v>
      </c>
      <c r="H38" s="54"/>
      <c r="I38" s="56">
        <f t="shared" si="1"/>
        <v>25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">
      <c r="A39" s="53">
        <v>30</v>
      </c>
      <c r="B39" s="63">
        <v>344</v>
      </c>
      <c r="C39" s="63">
        <v>4</v>
      </c>
      <c r="D39" s="63">
        <v>70</v>
      </c>
      <c r="E39" s="54">
        <v>0</v>
      </c>
      <c r="F39" s="54">
        <v>0.56000000000000005</v>
      </c>
      <c r="G39" s="54">
        <v>0.44</v>
      </c>
      <c r="H39" s="54"/>
      <c r="I39" s="52">
        <f t="shared" si="1"/>
        <v>26.6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">
      <c r="A40" s="53">
        <v>35</v>
      </c>
      <c r="B40" s="63">
        <v>408</v>
      </c>
      <c r="C40" s="63">
        <v>5</v>
      </c>
      <c r="D40" s="63">
        <v>70</v>
      </c>
      <c r="E40" s="54">
        <v>0.3</v>
      </c>
      <c r="F40" s="54">
        <v>0.39200000000000002</v>
      </c>
      <c r="G40" s="54">
        <v>0.308</v>
      </c>
      <c r="H40" s="54"/>
      <c r="I40" s="52">
        <f t="shared" si="1"/>
        <v>26.8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">
      <c r="A41" s="53">
        <v>40</v>
      </c>
      <c r="B41" s="63">
        <v>467</v>
      </c>
      <c r="C41" s="63">
        <v>6</v>
      </c>
      <c r="D41" s="53">
        <v>70</v>
      </c>
      <c r="E41" s="54">
        <v>0.5</v>
      </c>
      <c r="F41" s="54">
        <v>0.28000000000000003</v>
      </c>
      <c r="G41" s="54">
        <v>0.22</v>
      </c>
      <c r="H41" s="54"/>
      <c r="I41" s="56">
        <f t="shared" si="1"/>
        <v>25.8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">
      <c r="A42" s="53">
        <v>45</v>
      </c>
      <c r="B42" s="63">
        <v>518</v>
      </c>
      <c r="C42" s="63">
        <v>7</v>
      </c>
      <c r="D42" s="53">
        <v>64</v>
      </c>
      <c r="E42" s="54">
        <v>0.7</v>
      </c>
      <c r="F42" s="54">
        <v>0.16800000000000001</v>
      </c>
      <c r="G42" s="54">
        <v>0.13200000000000001</v>
      </c>
      <c r="H42" s="54"/>
      <c r="I42" s="56">
        <f t="shared" si="1"/>
        <v>24.2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">
      <c r="A43" s="53">
        <v>50</v>
      </c>
      <c r="B43" s="63">
        <v>563</v>
      </c>
      <c r="C43" s="63">
        <v>8</v>
      </c>
      <c r="D43" s="63">
        <v>563</v>
      </c>
      <c r="E43" s="54">
        <v>0.9</v>
      </c>
      <c r="F43" s="54">
        <v>5.6000000000000001E-2</v>
      </c>
      <c r="G43" s="54">
        <v>4.3999999999999997E-2</v>
      </c>
      <c r="H43" s="54"/>
      <c r="I43" s="52">
        <f t="shared" si="1"/>
        <v>21.8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">
      <c r="A44" s="5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">
      <c r="A45" s="5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">
      <c r="A46" s="5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">
      <c r="A47" s="5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">
      <c r="A48" s="5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">
      <c r="A49" s="5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">
      <c r="A50" s="5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">
      <c r="A51" s="5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">
      <c r="A52" s="5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">
      <c r="A53" s="5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">
      <c r="A54" s="5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">
      <c r="A55" s="5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">
      <c r="A58" s="49" t="s">
        <v>166</v>
      </c>
      <c r="B58" s="55" t="str">
        <f>IF(B10="","",B10)</f>
        <v>Pin maritime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">
      <c r="A59" s="49"/>
      <c r="B59" s="106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">
      <c r="A60" s="5"/>
      <c r="B60" s="91" t="s">
        <v>185</v>
      </c>
      <c r="C60" s="272" t="s">
        <v>186</v>
      </c>
      <c r="D60" s="272"/>
      <c r="E60" s="273" t="s">
        <v>187</v>
      </c>
      <c r="F60" s="274"/>
      <c r="G60" s="274"/>
      <c r="H60" s="275"/>
      <c r="I60" s="105"/>
      <c r="J60" s="26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 x14ac:dyDescent="0.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66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">
      <c r="A62" s="53">
        <v>15</v>
      </c>
      <c r="B62" s="63">
        <v>83</v>
      </c>
      <c r="C62" s="63">
        <v>1</v>
      </c>
      <c r="D62" s="63">
        <v>14</v>
      </c>
      <c r="E62" s="54"/>
      <c r="F62" s="54">
        <v>0.56000000000000005</v>
      </c>
      <c r="G62" s="54">
        <v>0.44</v>
      </c>
      <c r="H62" s="54"/>
      <c r="I62" s="56">
        <f>IFERROR(B62/A62,"")</f>
        <v>5.5333333333333332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">
      <c r="A63" s="53">
        <v>20</v>
      </c>
      <c r="B63" s="63">
        <v>151</v>
      </c>
      <c r="C63" s="63">
        <v>2</v>
      </c>
      <c r="D63" s="63">
        <v>49</v>
      </c>
      <c r="E63" s="54"/>
      <c r="F63" s="54">
        <v>0.56000000000000005</v>
      </c>
      <c r="G63" s="54">
        <v>0.44</v>
      </c>
      <c r="H63" s="54"/>
      <c r="I63" s="52">
        <f>IF(A63&lt;&gt;0,(B63-(B62-D62))/(A63-A62),"")</f>
        <v>16.399999999999999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">
      <c r="A64" s="53">
        <v>25</v>
      </c>
      <c r="B64" s="63">
        <v>206</v>
      </c>
      <c r="C64" s="63">
        <v>3</v>
      </c>
      <c r="D64" s="63">
        <v>49</v>
      </c>
      <c r="E64" s="54"/>
      <c r="F64" s="54">
        <v>0.56000000000000005</v>
      </c>
      <c r="G64" s="54">
        <v>0.44</v>
      </c>
      <c r="H64" s="54"/>
      <c r="I64" s="52">
        <f>IF(A64&lt;&gt;0,(B64-(B63-D63))/(A64-A63),"")</f>
        <v>20.8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">
      <c r="A65" s="53">
        <v>30</v>
      </c>
      <c r="B65" s="63">
        <v>259</v>
      </c>
      <c r="C65" s="63">
        <v>4</v>
      </c>
      <c r="D65" s="63">
        <v>49</v>
      </c>
      <c r="E65" s="54">
        <v>0</v>
      </c>
      <c r="F65" s="54">
        <v>0.56000000000000005</v>
      </c>
      <c r="G65" s="54">
        <v>0.44</v>
      </c>
      <c r="H65" s="54"/>
      <c r="I65" s="52">
        <f>IF(A65&lt;&gt;0,(B65-(B64-D64))/(A65-A64),"")</f>
        <v>20.399999999999999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">
      <c r="A66" s="53">
        <v>35</v>
      </c>
      <c r="B66" s="63">
        <v>302</v>
      </c>
      <c r="C66" s="63">
        <v>5</v>
      </c>
      <c r="D66" s="63">
        <v>49</v>
      </c>
      <c r="E66" s="54">
        <v>0.3</v>
      </c>
      <c r="F66" s="54">
        <v>0.39200000000000002</v>
      </c>
      <c r="G66" s="54">
        <v>0.308</v>
      </c>
      <c r="H66" s="54"/>
      <c r="I66" s="52">
        <f t="shared" ref="I66:I81" si="2">IF(A66&lt;&gt;0,(B66-(B65-D65))/(A66-A65),"")</f>
        <v>18.399999999999999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">
      <c r="A67" s="53">
        <v>40</v>
      </c>
      <c r="B67" s="63">
        <v>337</v>
      </c>
      <c r="C67" s="63">
        <v>6</v>
      </c>
      <c r="D67" s="63">
        <v>49</v>
      </c>
      <c r="E67" s="54">
        <v>0.5</v>
      </c>
      <c r="F67" s="54">
        <v>0.28000000000000003</v>
      </c>
      <c r="G67" s="54">
        <v>0.22</v>
      </c>
      <c r="H67" s="54"/>
      <c r="I67" s="52">
        <f t="shared" si="2"/>
        <v>16.8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">
      <c r="A68" s="53">
        <v>45</v>
      </c>
      <c r="B68" s="63">
        <v>367</v>
      </c>
      <c r="C68" s="63">
        <v>7</v>
      </c>
      <c r="D68" s="63">
        <v>49</v>
      </c>
      <c r="E68" s="54">
        <v>0.7</v>
      </c>
      <c r="F68" s="54">
        <v>0.16800000000000001</v>
      </c>
      <c r="G68" s="54">
        <v>0.13200000000000001</v>
      </c>
      <c r="H68" s="54"/>
      <c r="I68" s="52">
        <f t="shared" si="2"/>
        <v>15.8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">
      <c r="A69" s="53">
        <v>50</v>
      </c>
      <c r="B69" s="63">
        <v>392</v>
      </c>
      <c r="C69" s="63">
        <v>8</v>
      </c>
      <c r="D69" s="63">
        <v>392</v>
      </c>
      <c r="E69" s="54">
        <v>0.9</v>
      </c>
      <c r="F69" s="54">
        <v>5.6000000000000001E-2</v>
      </c>
      <c r="G69" s="54">
        <v>4.3999999999999997E-2</v>
      </c>
      <c r="H69" s="54"/>
      <c r="I69" s="52">
        <f t="shared" si="2"/>
        <v>14.8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">
      <c r="A84" s="49" t="s">
        <v>167</v>
      </c>
      <c r="B84" s="55" t="str">
        <f>IF(B11="","",B11)</f>
        <v>Chêne vert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">
      <c r="A85" s="49"/>
      <c r="B85" s="106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">
      <c r="A86" s="5"/>
      <c r="B86" s="91" t="s">
        <v>185</v>
      </c>
      <c r="C86" s="272" t="s">
        <v>186</v>
      </c>
      <c r="D86" s="272"/>
      <c r="E86" s="273" t="s">
        <v>187</v>
      </c>
      <c r="F86" s="274"/>
      <c r="G86" s="274"/>
      <c r="H86" s="275"/>
      <c r="I86" s="10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 x14ac:dyDescent="0.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">
      <c r="A88" s="63">
        <v>20</v>
      </c>
      <c r="B88" s="63">
        <v>42</v>
      </c>
      <c r="C88" s="63">
        <v>1</v>
      </c>
      <c r="D88" s="63">
        <v>0</v>
      </c>
      <c r="E88" s="54">
        <v>0</v>
      </c>
      <c r="F88" s="54"/>
      <c r="G88" s="54"/>
      <c r="H88" s="94">
        <v>1</v>
      </c>
      <c r="I88" s="56">
        <f>IFERROR(B88/A88,"")</f>
        <v>2.1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">
      <c r="A89" s="63">
        <v>25</v>
      </c>
      <c r="B89" s="63">
        <v>70</v>
      </c>
      <c r="C89" s="63">
        <v>2</v>
      </c>
      <c r="D89" s="63">
        <v>8</v>
      </c>
      <c r="E89" s="54">
        <v>0</v>
      </c>
      <c r="F89" s="54"/>
      <c r="G89" s="54"/>
      <c r="H89" s="94">
        <v>1</v>
      </c>
      <c r="I89" s="56">
        <f t="shared" ref="I89:I107" si="3">IF(A89&lt;&gt;0,(B89-(B88-D88))/(A89-A88),"")</f>
        <v>5.6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">
      <c r="A90" s="63">
        <v>30</v>
      </c>
      <c r="B90" s="63">
        <v>97</v>
      </c>
      <c r="C90" s="63">
        <v>3</v>
      </c>
      <c r="D90" s="63">
        <v>21</v>
      </c>
      <c r="E90" s="94">
        <v>0</v>
      </c>
      <c r="F90" s="94"/>
      <c r="G90" s="94"/>
      <c r="H90" s="94">
        <v>1</v>
      </c>
      <c r="I90" s="56">
        <f t="shared" si="3"/>
        <v>7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">
      <c r="A91" s="63">
        <v>35</v>
      </c>
      <c r="B91" s="63">
        <v>116</v>
      </c>
      <c r="C91" s="63">
        <v>4</v>
      </c>
      <c r="D91" s="63">
        <v>21</v>
      </c>
      <c r="E91" s="94">
        <v>0</v>
      </c>
      <c r="F91" s="94"/>
      <c r="G91" s="94"/>
      <c r="H91" s="94">
        <v>1</v>
      </c>
      <c r="I91" s="56">
        <f t="shared" si="3"/>
        <v>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">
      <c r="A92" s="63">
        <v>40</v>
      </c>
      <c r="B92" s="63">
        <v>137</v>
      </c>
      <c r="C92" s="63">
        <v>5</v>
      </c>
      <c r="D92" s="63">
        <v>21</v>
      </c>
      <c r="E92" s="94">
        <v>0.2</v>
      </c>
      <c r="F92" s="94"/>
      <c r="G92" s="94"/>
      <c r="H92" s="94">
        <v>0.8</v>
      </c>
      <c r="I92" s="56">
        <f t="shared" si="3"/>
        <v>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">
      <c r="A93" s="63">
        <v>45</v>
      </c>
      <c r="B93" s="63">
        <v>158</v>
      </c>
      <c r="C93" s="63">
        <v>6</v>
      </c>
      <c r="D93" s="63">
        <v>21</v>
      </c>
      <c r="E93" s="94">
        <v>0.2</v>
      </c>
      <c r="F93" s="94"/>
      <c r="G93" s="94"/>
      <c r="H93" s="94">
        <v>0.8</v>
      </c>
      <c r="I93" s="56">
        <f t="shared" si="3"/>
        <v>8.4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">
      <c r="A94" s="63">
        <v>50</v>
      </c>
      <c r="B94" s="63">
        <v>178</v>
      </c>
      <c r="C94" s="63">
        <v>7</v>
      </c>
      <c r="D94" s="63">
        <v>21</v>
      </c>
      <c r="E94" s="94">
        <v>0.2</v>
      </c>
      <c r="F94" s="94"/>
      <c r="G94" s="94"/>
      <c r="H94" s="94">
        <v>0.8</v>
      </c>
      <c r="I94" s="56">
        <f t="shared" si="3"/>
        <v>8.1999999999999993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">
      <c r="A95" s="63">
        <v>55</v>
      </c>
      <c r="B95" s="63">
        <v>197</v>
      </c>
      <c r="C95" s="63">
        <v>8</v>
      </c>
      <c r="D95" s="63">
        <v>21</v>
      </c>
      <c r="E95" s="94">
        <v>0.2</v>
      </c>
      <c r="F95" s="94"/>
      <c r="G95" s="94"/>
      <c r="H95" s="94">
        <v>0.8</v>
      </c>
      <c r="I95" s="56">
        <f t="shared" si="3"/>
        <v>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">
      <c r="A96" s="63">
        <v>60</v>
      </c>
      <c r="B96" s="63">
        <v>214</v>
      </c>
      <c r="C96" s="63">
        <v>9</v>
      </c>
      <c r="D96" s="63">
        <v>21</v>
      </c>
      <c r="E96" s="94">
        <v>0.3</v>
      </c>
      <c r="F96" s="94"/>
      <c r="G96" s="94"/>
      <c r="H96" s="94">
        <v>0.7</v>
      </c>
      <c r="I96" s="56">
        <f t="shared" si="3"/>
        <v>7.6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">
      <c r="A97" s="63">
        <v>65</v>
      </c>
      <c r="B97" s="63">
        <v>229</v>
      </c>
      <c r="C97" s="63">
        <v>10</v>
      </c>
      <c r="D97" s="63">
        <v>21</v>
      </c>
      <c r="E97" s="94">
        <v>0.3</v>
      </c>
      <c r="F97" s="94"/>
      <c r="G97" s="94"/>
      <c r="H97" s="94">
        <v>0.7</v>
      </c>
      <c r="I97" s="56">
        <f t="shared" si="3"/>
        <v>7.2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">
      <c r="A98" s="63">
        <v>70</v>
      </c>
      <c r="B98" s="63">
        <v>242</v>
      </c>
      <c r="C98" s="63">
        <v>11</v>
      </c>
      <c r="D98" s="63">
        <v>21</v>
      </c>
      <c r="E98" s="94">
        <v>0.4</v>
      </c>
      <c r="F98" s="94"/>
      <c r="G98" s="94"/>
      <c r="H98" s="94">
        <v>0.6</v>
      </c>
      <c r="I98" s="56">
        <f t="shared" si="3"/>
        <v>6.8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">
      <c r="A99" s="63">
        <v>75</v>
      </c>
      <c r="B99" s="63">
        <v>252</v>
      </c>
      <c r="C99" s="63">
        <v>12</v>
      </c>
      <c r="D99" s="63">
        <v>21</v>
      </c>
      <c r="E99" s="94">
        <v>0.4</v>
      </c>
      <c r="F99" s="94"/>
      <c r="G99" s="94"/>
      <c r="H99" s="94">
        <v>0.6</v>
      </c>
      <c r="I99" s="56">
        <f t="shared" si="3"/>
        <v>6.2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">
      <c r="A100" s="63">
        <v>80</v>
      </c>
      <c r="B100" s="63">
        <v>261</v>
      </c>
      <c r="C100" s="63">
        <v>13</v>
      </c>
      <c r="D100" s="63">
        <v>21</v>
      </c>
      <c r="E100" s="94">
        <v>0.5</v>
      </c>
      <c r="F100" s="94"/>
      <c r="G100" s="94"/>
      <c r="H100" s="94">
        <v>0.5</v>
      </c>
      <c r="I100" s="56">
        <f t="shared" si="3"/>
        <v>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">
      <c r="A101" s="63">
        <v>85</v>
      </c>
      <c r="B101" s="63">
        <v>269</v>
      </c>
      <c r="C101" s="63">
        <v>14</v>
      </c>
      <c r="D101" s="63">
        <v>21</v>
      </c>
      <c r="E101" s="94">
        <v>0.5</v>
      </c>
      <c r="F101" s="94"/>
      <c r="G101" s="94"/>
      <c r="H101" s="94">
        <v>0.5</v>
      </c>
      <c r="I101" s="56">
        <f t="shared" si="3"/>
        <v>5.8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">
      <c r="A102" s="63">
        <v>90</v>
      </c>
      <c r="B102" s="53">
        <v>275</v>
      </c>
      <c r="C102" s="63">
        <v>15</v>
      </c>
      <c r="D102" s="53">
        <v>21</v>
      </c>
      <c r="E102" s="68">
        <v>0.6</v>
      </c>
      <c r="F102" s="68"/>
      <c r="G102" s="68"/>
      <c r="H102" s="68">
        <v>0.4</v>
      </c>
      <c r="I102" s="56">
        <f t="shared" si="3"/>
        <v>5.4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">
      <c r="A103" s="63">
        <v>95</v>
      </c>
      <c r="B103" s="53">
        <v>279</v>
      </c>
      <c r="C103" s="63">
        <v>16</v>
      </c>
      <c r="D103" s="53">
        <v>21</v>
      </c>
      <c r="E103" s="68">
        <v>0.6</v>
      </c>
      <c r="F103" s="68"/>
      <c r="G103" s="68"/>
      <c r="H103" s="68">
        <v>0.4</v>
      </c>
      <c r="I103" s="56">
        <f t="shared" si="3"/>
        <v>5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">
      <c r="A104" s="63">
        <v>100</v>
      </c>
      <c r="B104" s="53">
        <v>282</v>
      </c>
      <c r="C104" s="63">
        <v>17</v>
      </c>
      <c r="D104" s="53">
        <v>21</v>
      </c>
      <c r="E104" s="57">
        <v>0.7</v>
      </c>
      <c r="F104" s="57"/>
      <c r="G104" s="57"/>
      <c r="H104" s="57">
        <v>0.3</v>
      </c>
      <c r="I104" s="56">
        <f t="shared" si="3"/>
        <v>4.8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">
      <c r="A105" s="63">
        <v>105</v>
      </c>
      <c r="B105" s="53">
        <v>284</v>
      </c>
      <c r="C105" s="63">
        <v>18</v>
      </c>
      <c r="D105" s="53">
        <v>20</v>
      </c>
      <c r="E105" s="57">
        <v>0.7</v>
      </c>
      <c r="F105" s="57"/>
      <c r="G105" s="57"/>
      <c r="H105" s="57">
        <v>0.3</v>
      </c>
      <c r="I105" s="56">
        <f t="shared" si="3"/>
        <v>4.5999999999999996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">
      <c r="A106" s="63">
        <v>110</v>
      </c>
      <c r="B106" s="53">
        <v>285</v>
      </c>
      <c r="C106" s="63">
        <v>19</v>
      </c>
      <c r="D106" s="53">
        <v>19</v>
      </c>
      <c r="E106" s="57">
        <v>0.8</v>
      </c>
      <c r="F106" s="57"/>
      <c r="G106" s="57"/>
      <c r="H106" s="57">
        <v>0.2</v>
      </c>
      <c r="I106" s="56">
        <f t="shared" si="3"/>
        <v>4.2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">
      <c r="A107" s="63">
        <v>120</v>
      </c>
      <c r="B107" s="53">
        <v>285</v>
      </c>
      <c r="C107" s="63">
        <v>20</v>
      </c>
      <c r="D107" s="53">
        <v>285</v>
      </c>
      <c r="E107" s="57">
        <v>0.8</v>
      </c>
      <c r="F107" s="57"/>
      <c r="G107" s="57"/>
      <c r="H107" s="57">
        <v>0.2</v>
      </c>
      <c r="I107" s="56">
        <f t="shared" si="3"/>
        <v>1.9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">
      <c r="A110" s="49" t="s">
        <v>168</v>
      </c>
      <c r="B110" s="55" t="str">
        <f>IF(B12="","",B12)</f>
        <v>Aulne glutineux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">
      <c r="A111" s="49"/>
      <c r="B111" s="106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">
      <c r="A112" s="5"/>
      <c r="B112" s="91" t="s">
        <v>185</v>
      </c>
      <c r="C112" s="272" t="s">
        <v>186</v>
      </c>
      <c r="D112" s="272"/>
      <c r="E112" s="273" t="s">
        <v>187</v>
      </c>
      <c r="F112" s="274"/>
      <c r="G112" s="274"/>
      <c r="H112" s="275"/>
      <c r="I112" s="10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 x14ac:dyDescent="0.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">
      <c r="A114" s="63">
        <v>10</v>
      </c>
      <c r="B114" s="63">
        <v>11</v>
      </c>
      <c r="C114" s="63">
        <v>1</v>
      </c>
      <c r="D114" s="63">
        <v>0</v>
      </c>
      <c r="E114" s="54">
        <v>0</v>
      </c>
      <c r="F114" s="54"/>
      <c r="G114" s="54"/>
      <c r="H114" s="94">
        <v>1</v>
      </c>
      <c r="I114" s="56">
        <f>IFERROR(B114/A114,"")</f>
        <v>1.1000000000000001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">
      <c r="A115" s="63">
        <v>15</v>
      </c>
      <c r="B115" s="63">
        <v>65</v>
      </c>
      <c r="C115" s="63">
        <v>2</v>
      </c>
      <c r="D115" s="63">
        <v>32</v>
      </c>
      <c r="E115" s="54">
        <v>0</v>
      </c>
      <c r="F115" s="54"/>
      <c r="G115" s="54"/>
      <c r="H115" s="94">
        <v>1</v>
      </c>
      <c r="I115" s="56">
        <f t="shared" ref="I115:I133" si="4">IF(A115&lt;&gt;0,(B115-(B114-D114))/(A115-A114),"")</f>
        <v>10.8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">
      <c r="A116" s="63">
        <v>20</v>
      </c>
      <c r="B116" s="63">
        <v>102</v>
      </c>
      <c r="C116" s="63">
        <v>3</v>
      </c>
      <c r="D116" s="63">
        <v>35</v>
      </c>
      <c r="E116" s="94">
        <v>0</v>
      </c>
      <c r="F116" s="94"/>
      <c r="G116" s="94"/>
      <c r="H116" s="94">
        <v>1</v>
      </c>
      <c r="I116" s="56">
        <f t="shared" si="4"/>
        <v>13.8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">
      <c r="A117" s="63">
        <v>25</v>
      </c>
      <c r="B117" s="63">
        <v>141</v>
      </c>
      <c r="C117" s="63">
        <v>4</v>
      </c>
      <c r="D117" s="63">
        <v>35</v>
      </c>
      <c r="E117" s="94">
        <v>0</v>
      </c>
      <c r="F117" s="94"/>
      <c r="G117" s="94"/>
      <c r="H117" s="94">
        <v>1</v>
      </c>
      <c r="I117" s="56">
        <f t="shared" si="4"/>
        <v>14.8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">
      <c r="A118" s="63">
        <v>30</v>
      </c>
      <c r="B118" s="63">
        <v>177</v>
      </c>
      <c r="C118" s="63">
        <v>5</v>
      </c>
      <c r="D118" s="63">
        <v>35</v>
      </c>
      <c r="E118" s="94">
        <v>0</v>
      </c>
      <c r="F118" s="94"/>
      <c r="G118" s="94"/>
      <c r="H118" s="94">
        <v>1</v>
      </c>
      <c r="I118" s="56">
        <f t="shared" si="4"/>
        <v>14.2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">
      <c r="A119" s="63">
        <v>35</v>
      </c>
      <c r="B119" s="63">
        <v>206</v>
      </c>
      <c r="C119" s="63">
        <v>6</v>
      </c>
      <c r="D119" s="63">
        <v>35</v>
      </c>
      <c r="E119" s="94">
        <v>0.2</v>
      </c>
      <c r="F119" s="94"/>
      <c r="G119" s="94"/>
      <c r="H119" s="94">
        <v>0.8</v>
      </c>
      <c r="I119" s="56">
        <f t="shared" si="4"/>
        <v>12.8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">
      <c r="A120" s="63">
        <v>40</v>
      </c>
      <c r="B120" s="63">
        <v>228</v>
      </c>
      <c r="C120" s="63">
        <v>7</v>
      </c>
      <c r="D120" s="63">
        <v>35</v>
      </c>
      <c r="E120" s="94">
        <v>0.3</v>
      </c>
      <c r="F120" s="94"/>
      <c r="G120" s="94"/>
      <c r="H120" s="94">
        <v>0.7</v>
      </c>
      <c r="I120" s="56">
        <f t="shared" si="4"/>
        <v>11.4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">
      <c r="A121" s="63">
        <v>45</v>
      </c>
      <c r="B121" s="63">
        <v>242</v>
      </c>
      <c r="C121" s="63">
        <v>8</v>
      </c>
      <c r="D121" s="63">
        <v>24</v>
      </c>
      <c r="E121" s="94">
        <v>0.3</v>
      </c>
      <c r="F121" s="94"/>
      <c r="G121" s="94"/>
      <c r="H121" s="94">
        <v>0.7</v>
      </c>
      <c r="I121" s="56">
        <f t="shared" si="4"/>
        <v>9.8000000000000007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">
      <c r="A122" s="63">
        <v>50</v>
      </c>
      <c r="B122" s="63">
        <v>261</v>
      </c>
      <c r="C122" s="63">
        <v>9</v>
      </c>
      <c r="D122" s="63">
        <v>19</v>
      </c>
      <c r="E122" s="94">
        <v>0.4</v>
      </c>
      <c r="F122" s="94"/>
      <c r="G122" s="94"/>
      <c r="H122" s="94">
        <v>0.6</v>
      </c>
      <c r="I122" s="56">
        <f t="shared" si="4"/>
        <v>8.6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">
      <c r="A123" s="63">
        <v>55</v>
      </c>
      <c r="B123" s="63">
        <v>279</v>
      </c>
      <c r="C123" s="63">
        <v>10</v>
      </c>
      <c r="D123" s="63">
        <v>16</v>
      </c>
      <c r="E123" s="94">
        <v>0.4</v>
      </c>
      <c r="F123" s="94"/>
      <c r="G123" s="94"/>
      <c r="H123" s="94">
        <v>0.6</v>
      </c>
      <c r="I123" s="56">
        <f t="shared" si="4"/>
        <v>7.4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">
      <c r="A124" s="63">
        <v>60</v>
      </c>
      <c r="B124" s="63">
        <v>294</v>
      </c>
      <c r="C124" s="63">
        <v>11</v>
      </c>
      <c r="D124" s="63">
        <v>14</v>
      </c>
      <c r="E124" s="94">
        <v>0.5</v>
      </c>
      <c r="F124" s="94"/>
      <c r="G124" s="94"/>
      <c r="H124" s="94">
        <v>0.5</v>
      </c>
      <c r="I124" s="56">
        <f t="shared" si="4"/>
        <v>6.2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">
      <c r="A125" s="63">
        <v>65</v>
      </c>
      <c r="B125" s="63">
        <v>306</v>
      </c>
      <c r="C125" s="63">
        <v>12</v>
      </c>
      <c r="D125" s="63">
        <v>13</v>
      </c>
      <c r="E125" s="94">
        <v>0.5</v>
      </c>
      <c r="F125" s="94"/>
      <c r="G125" s="94"/>
      <c r="H125" s="94">
        <v>0.5</v>
      </c>
      <c r="I125" s="56">
        <f t="shared" si="4"/>
        <v>5.2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">
      <c r="A126" s="63">
        <v>70</v>
      </c>
      <c r="B126" s="63">
        <v>316</v>
      </c>
      <c r="C126" s="63">
        <v>13</v>
      </c>
      <c r="D126" s="63">
        <v>13</v>
      </c>
      <c r="E126" s="68">
        <v>0.6</v>
      </c>
      <c r="F126" s="68"/>
      <c r="G126" s="68"/>
      <c r="H126" s="68">
        <v>0.4</v>
      </c>
      <c r="I126" s="56">
        <f t="shared" si="4"/>
        <v>4.5999999999999996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">
      <c r="A127" s="63">
        <v>75</v>
      </c>
      <c r="B127" s="63">
        <v>324</v>
      </c>
      <c r="C127" s="63">
        <v>14</v>
      </c>
      <c r="D127" s="63">
        <v>11</v>
      </c>
      <c r="E127" s="68">
        <v>0.6</v>
      </c>
      <c r="F127" s="68"/>
      <c r="G127" s="68"/>
      <c r="H127" s="68">
        <v>0.4</v>
      </c>
      <c r="I127" s="56">
        <f t="shared" si="4"/>
        <v>4.2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">
      <c r="A128" s="63">
        <v>80</v>
      </c>
      <c r="B128" s="53">
        <v>330</v>
      </c>
      <c r="C128" s="63">
        <v>15</v>
      </c>
      <c r="D128" s="53">
        <v>330</v>
      </c>
      <c r="E128" s="57">
        <v>0.7</v>
      </c>
      <c r="F128" s="57"/>
      <c r="G128" s="57"/>
      <c r="H128" s="57">
        <v>0.3</v>
      </c>
      <c r="I128" s="56">
        <f t="shared" si="4"/>
        <v>3.4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">
      <c r="A129" s="63"/>
      <c r="B129" s="53"/>
      <c r="C129" s="6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">
      <c r="A130" s="63"/>
      <c r="B130" s="53"/>
      <c r="C130" s="6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">
      <c r="A136" s="49" t="s">
        <v>169</v>
      </c>
      <c r="B136" s="55" t="str">
        <f>IF(B13="","",B13)</f>
        <v>Erable sycomore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">
      <c r="A137" s="49"/>
      <c r="B137" s="106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">
      <c r="A138" s="5"/>
      <c r="B138" s="91" t="s">
        <v>185</v>
      </c>
      <c r="C138" s="272" t="s">
        <v>186</v>
      </c>
      <c r="D138" s="272"/>
      <c r="E138" s="273" t="s">
        <v>187</v>
      </c>
      <c r="F138" s="274"/>
      <c r="G138" s="274"/>
      <c r="H138" s="275"/>
      <c r="I138" s="10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 x14ac:dyDescent="0.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">
      <c r="A140" s="63">
        <v>10</v>
      </c>
      <c r="B140" s="63">
        <v>11</v>
      </c>
      <c r="C140" s="63">
        <v>1</v>
      </c>
      <c r="D140" s="63">
        <v>0</v>
      </c>
      <c r="E140" s="54">
        <v>0</v>
      </c>
      <c r="F140" s="54"/>
      <c r="G140" s="54"/>
      <c r="H140" s="94">
        <v>1</v>
      </c>
      <c r="I140" s="60">
        <f>IFERROR(B140/A140,"")</f>
        <v>1.1000000000000001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">
      <c r="A141" s="63">
        <v>15</v>
      </c>
      <c r="B141" s="63">
        <v>65</v>
      </c>
      <c r="C141" s="63">
        <v>2</v>
      </c>
      <c r="D141" s="63">
        <v>32</v>
      </c>
      <c r="E141" s="54">
        <v>0</v>
      </c>
      <c r="F141" s="54"/>
      <c r="G141" s="54"/>
      <c r="H141" s="94">
        <v>1</v>
      </c>
      <c r="I141" s="60">
        <f t="shared" ref="I141:I159" si="5">IF(A141&lt;&gt;0,(B141-(B140-D140))/(A141-A140),"")</f>
        <v>10.8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">
      <c r="A142" s="63">
        <v>20</v>
      </c>
      <c r="B142" s="63">
        <v>102</v>
      </c>
      <c r="C142" s="63">
        <v>3</v>
      </c>
      <c r="D142" s="63">
        <v>35</v>
      </c>
      <c r="E142" s="94">
        <v>0</v>
      </c>
      <c r="F142" s="94"/>
      <c r="G142" s="94"/>
      <c r="H142" s="94">
        <v>1</v>
      </c>
      <c r="I142" s="60">
        <f t="shared" si="5"/>
        <v>13.8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">
      <c r="A143" s="63">
        <v>25</v>
      </c>
      <c r="B143" s="63">
        <v>141</v>
      </c>
      <c r="C143" s="63">
        <v>4</v>
      </c>
      <c r="D143" s="63">
        <v>35</v>
      </c>
      <c r="E143" s="94">
        <v>0</v>
      </c>
      <c r="F143" s="94"/>
      <c r="G143" s="94"/>
      <c r="H143" s="94">
        <v>1</v>
      </c>
      <c r="I143" s="60">
        <f t="shared" si="5"/>
        <v>14.8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">
      <c r="A144" s="63">
        <v>30</v>
      </c>
      <c r="B144" s="63">
        <v>177</v>
      </c>
      <c r="C144" s="63">
        <v>5</v>
      </c>
      <c r="D144" s="63">
        <v>35</v>
      </c>
      <c r="E144" s="94">
        <v>0</v>
      </c>
      <c r="F144" s="94"/>
      <c r="G144" s="94"/>
      <c r="H144" s="94">
        <v>1</v>
      </c>
      <c r="I144" s="60">
        <f t="shared" si="5"/>
        <v>14.2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">
      <c r="A145" s="63">
        <v>35</v>
      </c>
      <c r="B145" s="63">
        <v>206</v>
      </c>
      <c r="C145" s="63">
        <v>6</v>
      </c>
      <c r="D145" s="63">
        <v>35</v>
      </c>
      <c r="E145" s="94">
        <v>0.2</v>
      </c>
      <c r="F145" s="94"/>
      <c r="G145" s="94"/>
      <c r="H145" s="94">
        <v>0.8</v>
      </c>
      <c r="I145" s="60">
        <f t="shared" si="5"/>
        <v>12.8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">
      <c r="A146" s="63">
        <v>40</v>
      </c>
      <c r="B146" s="63">
        <v>228</v>
      </c>
      <c r="C146" s="63">
        <v>7</v>
      </c>
      <c r="D146" s="63">
        <v>35</v>
      </c>
      <c r="E146" s="94">
        <v>0.3</v>
      </c>
      <c r="F146" s="94"/>
      <c r="G146" s="94"/>
      <c r="H146" s="94">
        <v>0.7</v>
      </c>
      <c r="I146" s="60">
        <f t="shared" si="5"/>
        <v>11.4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">
      <c r="A147" s="63">
        <v>45</v>
      </c>
      <c r="B147" s="63">
        <v>242</v>
      </c>
      <c r="C147" s="63">
        <v>8</v>
      </c>
      <c r="D147" s="63">
        <v>24</v>
      </c>
      <c r="E147" s="94">
        <v>0.3</v>
      </c>
      <c r="F147" s="94"/>
      <c r="G147" s="94"/>
      <c r="H147" s="94">
        <v>0.7</v>
      </c>
      <c r="I147" s="60">
        <f>IF(A147&lt;&gt;0,(B147-(B146-D146))/(A147-A146),"")</f>
        <v>9.8000000000000007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">
      <c r="A148" s="63">
        <v>50</v>
      </c>
      <c r="B148" s="63">
        <v>261</v>
      </c>
      <c r="C148" s="63">
        <v>9</v>
      </c>
      <c r="D148" s="63">
        <v>19</v>
      </c>
      <c r="E148" s="94">
        <v>0.4</v>
      </c>
      <c r="F148" s="94"/>
      <c r="G148" s="94"/>
      <c r="H148" s="94">
        <v>0.6</v>
      </c>
      <c r="I148" s="60">
        <f t="shared" si="5"/>
        <v>8.6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">
      <c r="A149" s="63">
        <v>55</v>
      </c>
      <c r="B149" s="63">
        <v>279</v>
      </c>
      <c r="C149" s="63">
        <v>10</v>
      </c>
      <c r="D149" s="63">
        <v>16</v>
      </c>
      <c r="E149" s="94">
        <v>0.4</v>
      </c>
      <c r="F149" s="94"/>
      <c r="G149" s="94"/>
      <c r="H149" s="94">
        <v>0.6</v>
      </c>
      <c r="I149" s="60">
        <f t="shared" si="5"/>
        <v>7.4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">
      <c r="A150" s="63">
        <v>60</v>
      </c>
      <c r="B150" s="63">
        <v>294</v>
      </c>
      <c r="C150" s="63">
        <v>11</v>
      </c>
      <c r="D150" s="63">
        <v>14</v>
      </c>
      <c r="E150" s="94">
        <v>0.5</v>
      </c>
      <c r="F150" s="94"/>
      <c r="G150" s="94"/>
      <c r="H150" s="94">
        <v>0.5</v>
      </c>
      <c r="I150" s="60">
        <f t="shared" si="5"/>
        <v>6.2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">
      <c r="A151" s="63">
        <v>65</v>
      </c>
      <c r="B151" s="63">
        <v>306</v>
      </c>
      <c r="C151" s="63">
        <v>12</v>
      </c>
      <c r="D151" s="63">
        <v>13</v>
      </c>
      <c r="E151" s="94">
        <v>0.5</v>
      </c>
      <c r="F151" s="94"/>
      <c r="G151" s="94"/>
      <c r="H151" s="94">
        <v>0.5</v>
      </c>
      <c r="I151" s="60">
        <f t="shared" si="5"/>
        <v>5.2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">
      <c r="A152" s="63">
        <v>70</v>
      </c>
      <c r="B152" s="63">
        <v>316</v>
      </c>
      <c r="C152" s="63">
        <v>13</v>
      </c>
      <c r="D152" s="63">
        <v>13</v>
      </c>
      <c r="E152" s="68">
        <v>0.6</v>
      </c>
      <c r="F152" s="68"/>
      <c r="G152" s="68"/>
      <c r="H152" s="68">
        <v>0.4</v>
      </c>
      <c r="I152" s="60">
        <f t="shared" si="5"/>
        <v>4.5999999999999996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">
      <c r="A153" s="63">
        <v>75</v>
      </c>
      <c r="B153" s="63">
        <v>324</v>
      </c>
      <c r="C153" s="63">
        <v>14</v>
      </c>
      <c r="D153" s="63">
        <v>11</v>
      </c>
      <c r="E153" s="68">
        <v>0.6</v>
      </c>
      <c r="F153" s="68"/>
      <c r="G153" s="68"/>
      <c r="H153" s="68">
        <v>0.4</v>
      </c>
      <c r="I153" s="60">
        <f t="shared" si="5"/>
        <v>4.2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">
      <c r="A154" s="63">
        <v>80</v>
      </c>
      <c r="B154" s="53">
        <v>330</v>
      </c>
      <c r="C154" s="63">
        <v>15</v>
      </c>
      <c r="D154" s="53">
        <v>330</v>
      </c>
      <c r="E154" s="57">
        <v>0.7</v>
      </c>
      <c r="F154" s="57"/>
      <c r="G154" s="57"/>
      <c r="H154" s="57">
        <v>0.3</v>
      </c>
      <c r="I154" s="60">
        <f t="shared" si="5"/>
        <v>3.4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">
      <c r="A155" s="63"/>
      <c r="B155" s="53"/>
      <c r="C155" s="6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">
      <c r="A156" s="63"/>
      <c r="B156" s="53"/>
      <c r="C156" s="6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">
      <c r="A162" s="49" t="s">
        <v>170</v>
      </c>
      <c r="B162" s="55" t="str">
        <f>IF(B14="","",B14)</f>
        <v>Peuplier Koster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">
      <c r="A163" s="49"/>
      <c r="B163" s="106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">
      <c r="A164" s="5"/>
      <c r="B164" s="91" t="s">
        <v>185</v>
      </c>
      <c r="C164" s="272" t="s">
        <v>186</v>
      </c>
      <c r="D164" s="272"/>
      <c r="E164" s="273" t="s">
        <v>187</v>
      </c>
      <c r="F164" s="274"/>
      <c r="G164" s="274"/>
      <c r="H164" s="275"/>
      <c r="I164" s="10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 x14ac:dyDescent="0.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">
      <c r="A166" s="63">
        <v>5</v>
      </c>
      <c r="B166" s="63">
        <v>6</v>
      </c>
      <c r="C166" s="63">
        <v>1</v>
      </c>
      <c r="D166" s="63">
        <v>0</v>
      </c>
      <c r="E166" s="54"/>
      <c r="F166" s="54"/>
      <c r="G166" s="54"/>
      <c r="H166" s="94"/>
      <c r="I166" s="52">
        <f>IFERROR(B166/A166,"")</f>
        <v>1.2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">
      <c r="A167" s="63">
        <v>10</v>
      </c>
      <c r="B167" s="63">
        <v>41</v>
      </c>
      <c r="C167" s="63">
        <v>2</v>
      </c>
      <c r="D167" s="63">
        <v>0</v>
      </c>
      <c r="E167" s="94"/>
      <c r="F167" s="94"/>
      <c r="G167" s="94"/>
      <c r="H167" s="94"/>
      <c r="I167" s="52">
        <f t="shared" ref="I167:I185" si="6">IF(A167&lt;&gt;0,(B167-(B166-D166))/(A167-A166),"")</f>
        <v>7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">
      <c r="A168" s="63">
        <v>15</v>
      </c>
      <c r="B168" s="63">
        <v>105</v>
      </c>
      <c r="C168" s="63">
        <v>3</v>
      </c>
      <c r="D168" s="63">
        <v>0</v>
      </c>
      <c r="E168" s="94"/>
      <c r="F168" s="94"/>
      <c r="G168" s="94"/>
      <c r="H168" s="94"/>
      <c r="I168" s="52">
        <f t="shared" si="6"/>
        <v>12.8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">
      <c r="A169" s="63">
        <v>22</v>
      </c>
      <c r="B169" s="63">
        <v>180</v>
      </c>
      <c r="C169" s="63">
        <v>4</v>
      </c>
      <c r="D169" s="63">
        <v>180</v>
      </c>
      <c r="E169" s="94">
        <v>0.8</v>
      </c>
      <c r="F169" s="94"/>
      <c r="G169" s="94"/>
      <c r="H169" s="94">
        <v>0.2</v>
      </c>
      <c r="I169" s="52">
        <f t="shared" si="6"/>
        <v>10.714285714285714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">
      <c r="A170" s="63"/>
      <c r="B170" s="63"/>
      <c r="C170" s="63"/>
      <c r="D170" s="63"/>
      <c r="E170" s="94"/>
      <c r="F170" s="94"/>
      <c r="G170" s="94"/>
      <c r="H170" s="9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">
      <c r="A171" s="63"/>
      <c r="B171" s="63"/>
      <c r="C171" s="63"/>
      <c r="D171" s="63"/>
      <c r="E171" s="94"/>
      <c r="F171" s="94"/>
      <c r="G171" s="94"/>
      <c r="H171" s="9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">
      <c r="A172" s="63"/>
      <c r="B172" s="63"/>
      <c r="C172" s="63"/>
      <c r="D172" s="63"/>
      <c r="E172" s="94"/>
      <c r="F172" s="94"/>
      <c r="G172" s="94"/>
      <c r="H172" s="9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">
      <c r="A173" s="63"/>
      <c r="B173" s="63"/>
      <c r="C173" s="63"/>
      <c r="D173" s="63"/>
      <c r="E173" s="94"/>
      <c r="F173" s="94"/>
      <c r="G173" s="94"/>
      <c r="H173" s="9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">
      <c r="A174" s="63"/>
      <c r="B174" s="63"/>
      <c r="C174" s="63"/>
      <c r="D174" s="63"/>
      <c r="E174" s="94"/>
      <c r="F174" s="94"/>
      <c r="G174" s="94"/>
      <c r="H174" s="9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">
      <c r="A175" s="63"/>
      <c r="B175" s="63"/>
      <c r="C175" s="63"/>
      <c r="D175" s="63"/>
      <c r="E175" s="94"/>
      <c r="F175" s="94"/>
      <c r="G175" s="94"/>
      <c r="H175" s="9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">
      <c r="A176" s="63"/>
      <c r="B176" s="63"/>
      <c r="C176" s="63"/>
      <c r="D176" s="63"/>
      <c r="E176" s="94"/>
      <c r="F176" s="94"/>
      <c r="G176" s="94"/>
      <c r="H176" s="9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">
      <c r="A177" s="63"/>
      <c r="B177" s="63"/>
      <c r="C177" s="63"/>
      <c r="D177" s="63"/>
      <c r="E177" s="68"/>
      <c r="F177" s="68"/>
      <c r="G177" s="68"/>
      <c r="H177" s="68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">
      <c r="A178" s="63"/>
      <c r="B178" s="63"/>
      <c r="C178" s="63"/>
      <c r="D178" s="63"/>
      <c r="E178" s="68"/>
      <c r="F178" s="68"/>
      <c r="G178" s="68"/>
      <c r="H178" s="68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">
      <c r="A179" s="63"/>
      <c r="B179" s="53"/>
      <c r="C179" s="63"/>
      <c r="D179" s="63"/>
      <c r="E179" s="57"/>
      <c r="F179" s="57"/>
      <c r="G179" s="57"/>
      <c r="H179" s="57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">
      <c r="A180" s="63"/>
      <c r="B180" s="53"/>
      <c r="C180" s="63"/>
      <c r="D180" s="63"/>
      <c r="E180" s="57"/>
      <c r="F180" s="57"/>
      <c r="G180" s="57"/>
      <c r="H180" s="57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">
      <c r="A181" s="63"/>
      <c r="B181" s="53"/>
      <c r="C181" s="63"/>
      <c r="D181" s="53"/>
      <c r="E181" s="57"/>
      <c r="F181" s="57"/>
      <c r="G181" s="57"/>
      <c r="H181" s="57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">
      <c r="A182" s="63"/>
      <c r="B182" s="53"/>
      <c r="C182" s="63"/>
      <c r="D182" s="53"/>
      <c r="E182" s="57"/>
      <c r="F182" s="57"/>
      <c r="G182" s="57"/>
      <c r="H182" s="57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">
      <c r="A188" s="49" t="s">
        <v>171</v>
      </c>
      <c r="B188" s="55" t="str">
        <f>IF(B15="","",B15)</f>
        <v/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">
      <c r="A189" s="49"/>
      <c r="B189" s="106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">
      <c r="A190" s="5"/>
      <c r="B190" s="91" t="s">
        <v>185</v>
      </c>
      <c r="C190" s="272" t="s">
        <v>186</v>
      </c>
      <c r="D190" s="272"/>
      <c r="E190" s="273" t="s">
        <v>187</v>
      </c>
      <c r="F190" s="274"/>
      <c r="G190" s="274"/>
      <c r="H190" s="275"/>
      <c r="I190" s="10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 x14ac:dyDescent="0.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">
      <c r="A192" s="53"/>
      <c r="B192" s="53"/>
      <c r="C192" s="53"/>
      <c r="D192" s="5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">
      <c r="A193" s="53"/>
      <c r="B193" s="53"/>
      <c r="C193" s="53"/>
      <c r="D193" s="5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">
      <c r="A194" s="53"/>
      <c r="B194" s="53"/>
      <c r="C194" s="53"/>
      <c r="D194" s="5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">
      <c r="A195" s="53"/>
      <c r="B195" s="53"/>
      <c r="C195" s="53"/>
      <c r="D195" s="5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">
      <c r="A196" s="53"/>
      <c r="B196" s="53"/>
      <c r="C196" s="53"/>
      <c r="D196" s="5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">
      <c r="A197" s="53"/>
      <c r="B197" s="53"/>
      <c r="C197" s="53"/>
      <c r="D197" s="5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">
      <c r="A198" s="53"/>
      <c r="B198" s="53"/>
      <c r="C198" s="53"/>
      <c r="D198" s="5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">
      <c r="A214" s="49" t="s">
        <v>172</v>
      </c>
      <c r="B214" s="55" t="str">
        <f>IF(B16="","",B16)</f>
        <v/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">
      <c r="A215" s="49"/>
      <c r="B215" s="106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">
      <c r="A216" s="5"/>
      <c r="B216" s="91" t="s">
        <v>185</v>
      </c>
      <c r="C216" s="272" t="s">
        <v>186</v>
      </c>
      <c r="D216" s="272"/>
      <c r="E216" s="273" t="s">
        <v>187</v>
      </c>
      <c r="F216" s="274"/>
      <c r="G216" s="274"/>
      <c r="H216" s="275"/>
      <c r="I216" s="10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 x14ac:dyDescent="0.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">
      <c r="A218" s="58"/>
      <c r="B218" s="58"/>
      <c r="C218" s="58"/>
      <c r="D218" s="58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">
      <c r="A219" s="58"/>
      <c r="B219" s="58"/>
      <c r="C219" s="58"/>
      <c r="D219" s="58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">
      <c r="A220" s="58"/>
      <c r="B220" s="58"/>
      <c r="C220" s="58"/>
      <c r="D220" s="58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">
      <c r="A231" s="95"/>
      <c r="B231" s="63"/>
      <c r="C231" s="95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">
      <c r="A240" s="49" t="s">
        <v>173</v>
      </c>
      <c r="B240" s="55" t="str">
        <f>IF(B17="","",B17)</f>
        <v/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">
      <c r="A241" s="49"/>
      <c r="B241" s="106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">
      <c r="A242" s="5"/>
      <c r="B242" s="91" t="s">
        <v>185</v>
      </c>
      <c r="C242" s="272" t="s">
        <v>186</v>
      </c>
      <c r="D242" s="272"/>
      <c r="E242" s="273" t="s">
        <v>187</v>
      </c>
      <c r="F242" s="274"/>
      <c r="G242" s="274"/>
      <c r="H242" s="275"/>
      <c r="I242" s="10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 x14ac:dyDescent="0.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">
      <c r="A244" s="53"/>
      <c r="B244" s="63"/>
      <c r="C244" s="58"/>
      <c r="D244" s="58"/>
      <c r="E244" s="66"/>
      <c r="F244" s="66"/>
      <c r="G244" s="66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">
      <c r="A245" s="53"/>
      <c r="B245" s="63"/>
      <c r="C245" s="58"/>
      <c r="D245" s="58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">
      <c r="A246" s="58"/>
      <c r="B246" s="58"/>
      <c r="C246" s="58"/>
      <c r="D246" s="58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">
      <c r="A247" s="58"/>
      <c r="B247" s="58"/>
      <c r="C247" s="58"/>
      <c r="D247" s="58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">
      <c r="A248" s="58"/>
      <c r="B248" s="58"/>
      <c r="C248" s="58"/>
      <c r="D248" s="58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">
      <c r="A249" s="58"/>
      <c r="B249" s="58"/>
      <c r="C249" s="58"/>
      <c r="D249" s="58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">
      <c r="A250" s="58"/>
      <c r="B250" s="58"/>
      <c r="C250" s="58"/>
      <c r="D250" s="58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">
      <c r="A257" s="95"/>
      <c r="B257" s="63"/>
      <c r="C257" s="95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">
      <c r="A266" s="49" t="s">
        <v>174</v>
      </c>
      <c r="B266" s="55" t="str">
        <f>IF(B18="","",B18)</f>
        <v/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">
      <c r="A267" s="49"/>
      <c r="B267" s="106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">
      <c r="A268" s="5"/>
      <c r="B268" s="91" t="s">
        <v>185</v>
      </c>
      <c r="C268" s="272" t="s">
        <v>186</v>
      </c>
      <c r="D268" s="272"/>
      <c r="E268" s="273" t="s">
        <v>187</v>
      </c>
      <c r="F268" s="274"/>
      <c r="G268" s="274"/>
      <c r="H268" s="275"/>
      <c r="I268" s="10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 x14ac:dyDescent="0.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">
      <c r="A270" s="53"/>
      <c r="B270" s="53"/>
      <c r="C270" s="53"/>
      <c r="D270" s="5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">
      <c r="A271" s="53"/>
      <c r="B271" s="53"/>
      <c r="C271" s="53"/>
      <c r="D271" s="5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">
      <c r="A272" s="53"/>
      <c r="B272" s="53"/>
      <c r="C272" s="53"/>
      <c r="D272" s="5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">
      <c r="A273" s="53"/>
      <c r="B273" s="53"/>
      <c r="C273" s="53"/>
      <c r="D273" s="5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">
      <c r="A274" s="53"/>
      <c r="B274" s="53"/>
      <c r="C274" s="53"/>
      <c r="D274" s="5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">
      <c r="A275" s="58"/>
      <c r="B275" s="58"/>
      <c r="C275" s="58"/>
      <c r="D275" s="58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">
      <c r="A276" s="58"/>
      <c r="B276" s="58"/>
      <c r="C276" s="58"/>
      <c r="D276" s="58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">
      <c r="A283" s="95"/>
      <c r="B283" s="63"/>
      <c r="C283" s="95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0vR/ItYTgB1fcMl7Lq5IzSneJmj6usEjmnNbQkd5TZPWE4tYJrrlx/mDwIRXIqFquXsTisTOzm+Xq5jhbhAQ/g==" saltValue="IcRi5emByQj2CJ3t//ZvmA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4">
    <dataValidation type="list" allowBlank="1" showInputMessage="1" showErrorMessage="1" sqref="B9:B18" xr:uid="{00000000-0002-0000-0100-000000000000}">
      <formula1>Essence</formula1>
    </dataValidation>
    <dataValidation type="list" allowBlank="1" showInputMessage="1" showErrorMessage="1" sqref="C24" xr:uid="{00000000-0002-0000-0100-000001000000}">
      <formula1>VAN</formula1>
    </dataValidation>
    <dataValidation type="list" allowBlank="1" showInputMessage="1" showErrorMessage="1" sqref="C26" xr:uid="{00000000-0002-0000-0100-000002000000}">
      <formula1>Incendie</formula1>
    </dataValidation>
    <dataValidation type="list" allowBlank="1" showInputMessage="1" showErrorMessage="1" sqref="C27" xr:uid="{00000000-0002-0000-0100-000003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B18" sqref="B18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5"/>
      <c r="B1" s="5"/>
      <c r="C1" s="5"/>
      <c r="D1" s="5"/>
      <c r="E1" s="5"/>
      <c r="F1" s="5"/>
      <c r="G1" s="5"/>
      <c r="H1" s="5"/>
      <c r="I1" s="5"/>
      <c r="J1" s="107"/>
      <c r="K1" s="107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35">
      <c r="A2" s="5"/>
      <c r="B2" s="286" t="s">
        <v>191</v>
      </c>
      <c r="C2" s="287"/>
      <c r="D2" s="287"/>
      <c r="E2" s="287"/>
      <c r="F2" s="287"/>
      <c r="G2" s="28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">
      <c r="A4" s="5"/>
      <c r="B4" s="285"/>
      <c r="C4" s="285"/>
      <c r="D4" s="285"/>
      <c r="E4" s="285"/>
      <c r="F4" s="285"/>
      <c r="G4" s="28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">
      <c r="A5" s="5"/>
      <c r="B5" s="108" t="s">
        <v>301</v>
      </c>
      <c r="C5" s="108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">
      <c r="A6" s="25"/>
      <c r="B6" s="251"/>
      <c r="C6" s="251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">
      <c r="A7" s="109"/>
      <c r="B7" s="29" t="s">
        <v>300</v>
      </c>
      <c r="C7" s="110" t="s">
        <v>214</v>
      </c>
      <c r="D7" s="249"/>
      <c r="E7" s="111"/>
      <c r="F7" s="29" t="s">
        <v>300</v>
      </c>
      <c r="G7" s="110" t="s">
        <v>215</v>
      </c>
      <c r="H7" s="250"/>
      <c r="I7" s="250"/>
      <c r="J7" s="250"/>
      <c r="K7" s="250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</row>
    <row r="8" spans="1:38" ht="17.25" customHeight="1" x14ac:dyDescent="0.2">
      <c r="A8" s="115">
        <v>1</v>
      </c>
      <c r="B8" s="64">
        <v>1</v>
      </c>
      <c r="C8" s="52" t="s">
        <v>177</v>
      </c>
      <c r="D8" s="25"/>
      <c r="E8" s="115">
        <v>4</v>
      </c>
      <c r="F8" s="64">
        <v>0</v>
      </c>
      <c r="G8" s="112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">
      <c r="A9" s="115">
        <v>2</v>
      </c>
      <c r="B9" s="64">
        <v>0</v>
      </c>
      <c r="C9" s="118" t="s">
        <v>216</v>
      </c>
      <c r="D9" s="25"/>
      <c r="E9" s="115">
        <v>5</v>
      </c>
      <c r="F9" s="64">
        <v>0</v>
      </c>
      <c r="G9" s="113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">
      <c r="A10" s="115">
        <v>3</v>
      </c>
      <c r="B10" s="64">
        <v>0</v>
      </c>
      <c r="C10" s="119" t="s">
        <v>217</v>
      </c>
      <c r="D10" s="25"/>
      <c r="E10" s="5"/>
      <c r="F10" s="116">
        <f>SUM(F7:F9)</f>
        <v>0</v>
      </c>
      <c r="G10" s="114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">
      <c r="A11" s="25"/>
      <c r="B11" s="116">
        <v>0</v>
      </c>
      <c r="C11" s="114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">
      <c r="A13" s="250"/>
      <c r="B13" s="117"/>
      <c r="C13" s="108" t="s">
        <v>274</v>
      </c>
      <c r="D13" s="250"/>
      <c r="E13" s="109"/>
      <c r="F13" s="117"/>
      <c r="G13" s="108" t="s">
        <v>307</v>
      </c>
      <c r="H13" s="250"/>
      <c r="I13" s="250"/>
      <c r="J13" s="250"/>
      <c r="K13" s="250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</row>
    <row r="14" spans="1:38" s="4" customFormat="1" ht="21" customHeight="1" x14ac:dyDescent="0.2">
      <c r="A14" s="250"/>
      <c r="B14" s="117"/>
      <c r="C14" s="108" t="s">
        <v>306</v>
      </c>
      <c r="D14" s="250"/>
      <c r="E14" s="109"/>
      <c r="F14" s="117"/>
      <c r="G14" s="108" t="s">
        <v>299</v>
      </c>
      <c r="H14" s="250"/>
      <c r="I14" s="250"/>
      <c r="J14" s="250"/>
      <c r="K14" s="250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</row>
    <row r="15" spans="1:38" x14ac:dyDescent="0.2">
      <c r="A15" s="25"/>
      <c r="B15" s="29" t="s">
        <v>300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">
      <c r="A16" s="25"/>
      <c r="B16" s="64">
        <v>0.33</v>
      </c>
      <c r="C16" s="120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">
      <c r="A17" s="25"/>
      <c r="B17" s="64">
        <v>0.67</v>
      </c>
      <c r="C17" s="120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">
      <c r="A18" s="25"/>
      <c r="B18" s="64">
        <v>0</v>
      </c>
      <c r="C18" s="120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">
      <c r="A19" s="25"/>
      <c r="B19" s="116">
        <f>SUM(B16:B18)</f>
        <v>1</v>
      </c>
      <c r="C19" s="114" t="str">
        <f>IF(SUM(B16:B18)=B8,"OK","ERREUR : corrigez ; le total n'est pas égal à celui de la cellule A8")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">
      <c r="A25" s="5"/>
      <c r="B25" s="25"/>
      <c r="C25" s="25"/>
      <c r="D25" s="27"/>
      <c r="E25" s="100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">
      <c r="A29" s="5"/>
      <c r="B29" s="5"/>
      <c r="C29" s="5"/>
      <c r="D29" s="5"/>
      <c r="E29" s="5"/>
      <c r="F29" s="100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">
      <c r="C104" s="5"/>
      <c r="F104" s="5"/>
    </row>
    <row r="105" spans="3:35" x14ac:dyDescent="0.2">
      <c r="C105" s="5"/>
      <c r="F105" s="5"/>
    </row>
    <row r="106" spans="3:35" x14ac:dyDescent="0.2">
      <c r="C106" s="5"/>
      <c r="F106" s="5"/>
    </row>
    <row r="107" spans="3:35" x14ac:dyDescent="0.2">
      <c r="C107" s="5"/>
      <c r="F107" s="5"/>
    </row>
    <row r="108" spans="3:35" x14ac:dyDescent="0.2">
      <c r="C108" s="5"/>
      <c r="F108" s="5"/>
    </row>
    <row r="109" spans="3:35" x14ac:dyDescent="0.2">
      <c r="C109" s="5"/>
      <c r="F109" s="5"/>
    </row>
    <row r="110" spans="3:35" x14ac:dyDescent="0.2">
      <c r="C110" s="5"/>
      <c r="F110" s="5"/>
    </row>
    <row r="111" spans="3:35" x14ac:dyDescent="0.2">
      <c r="C111" s="5"/>
      <c r="F111" s="5"/>
    </row>
    <row r="112" spans="3:35" x14ac:dyDescent="0.2">
      <c r="C112" s="5"/>
      <c r="F112" s="5"/>
    </row>
    <row r="113" spans="3:6" x14ac:dyDescent="0.2">
      <c r="C113" s="5"/>
      <c r="F113" s="5"/>
    </row>
    <row r="114" spans="3:6" x14ac:dyDescent="0.2">
      <c r="C114" s="5"/>
      <c r="F114" s="5"/>
    </row>
    <row r="115" spans="3:6" x14ac:dyDescent="0.2">
      <c r="C115" s="5"/>
      <c r="F115" s="5"/>
    </row>
    <row r="116" spans="3:6" x14ac:dyDescent="0.2">
      <c r="C116" s="5"/>
      <c r="F116" s="5"/>
    </row>
    <row r="117" spans="3:6" x14ac:dyDescent="0.2">
      <c r="C117" s="5"/>
      <c r="F117" s="5"/>
    </row>
    <row r="118" spans="3:6" x14ac:dyDescent="0.2">
      <c r="C118" s="5"/>
      <c r="F118" s="5"/>
    </row>
    <row r="119" spans="3:6" x14ac:dyDescent="0.2">
      <c r="C119" s="5"/>
      <c r="F119" s="5"/>
    </row>
    <row r="120" spans="3:6" x14ac:dyDescent="0.2">
      <c r="C120" s="5"/>
      <c r="F120" s="5"/>
    </row>
    <row r="121" spans="3:6" x14ac:dyDescent="0.2">
      <c r="C121" s="5"/>
      <c r="F121" s="5"/>
    </row>
    <row r="122" spans="3:6" x14ac:dyDescent="0.2">
      <c r="C122" s="5"/>
      <c r="F122" s="5"/>
    </row>
    <row r="123" spans="3:6" x14ac:dyDescent="0.2">
      <c r="C123" s="5"/>
      <c r="F123" s="5"/>
    </row>
    <row r="124" spans="3:6" x14ac:dyDescent="0.2">
      <c r="C124" s="5"/>
      <c r="F124" s="5"/>
    </row>
    <row r="125" spans="3:6" x14ac:dyDescent="0.2">
      <c r="C125" s="5"/>
      <c r="F125" s="5"/>
    </row>
    <row r="126" spans="3:6" x14ac:dyDescent="0.2">
      <c r="C126" s="5"/>
      <c r="F126" s="5"/>
    </row>
    <row r="127" spans="3:6" x14ac:dyDescent="0.2">
      <c r="C127" s="5"/>
      <c r="F127" s="5"/>
    </row>
    <row r="128" spans="3:6" x14ac:dyDescent="0.2">
      <c r="C128" s="5"/>
      <c r="F128" s="5"/>
    </row>
    <row r="129" spans="3:6" x14ac:dyDescent="0.2">
      <c r="C129" s="5"/>
      <c r="F129" s="5"/>
    </row>
    <row r="130" spans="3:6" x14ac:dyDescent="0.2">
      <c r="C130" s="5"/>
      <c r="F130" s="5"/>
    </row>
    <row r="131" spans="3:6" x14ac:dyDescent="0.2">
      <c r="C131" s="5"/>
      <c r="F131" s="5"/>
    </row>
    <row r="132" spans="3:6" x14ac:dyDescent="0.2">
      <c r="F132" s="5"/>
    </row>
    <row r="133" spans="3:6" x14ac:dyDescent="0.2">
      <c r="F133" s="5"/>
    </row>
    <row r="134" spans="3:6" x14ac:dyDescent="0.2">
      <c r="F134" s="5"/>
    </row>
    <row r="135" spans="3:6" x14ac:dyDescent="0.2">
      <c r="F135" s="5"/>
    </row>
    <row r="136" spans="3:6" x14ac:dyDescent="0.2">
      <c r="F136" s="5"/>
    </row>
    <row r="137" spans="3:6" x14ac:dyDescent="0.2">
      <c r="F137" s="5"/>
    </row>
    <row r="138" spans="3:6" x14ac:dyDescent="0.2">
      <c r="F138" s="5"/>
    </row>
    <row r="139" spans="3:6" x14ac:dyDescent="0.2">
      <c r="F139" s="5"/>
    </row>
    <row r="140" spans="3:6" x14ac:dyDescent="0.2">
      <c r="F140" s="5"/>
    </row>
    <row r="141" spans="3:6" x14ac:dyDescent="0.2">
      <c r="F141" s="5"/>
    </row>
    <row r="142" spans="3:6" x14ac:dyDescent="0.2">
      <c r="F142" s="5"/>
    </row>
    <row r="143" spans="3:6" x14ac:dyDescent="0.2">
      <c r="F143" s="5"/>
    </row>
    <row r="144" spans="3:6" x14ac:dyDescent="0.2">
      <c r="F144" s="5"/>
    </row>
    <row r="145" spans="6:6" x14ac:dyDescent="0.2">
      <c r="F145" s="5"/>
    </row>
    <row r="146" spans="6:6" x14ac:dyDescent="0.2">
      <c r="F146" s="5"/>
    </row>
    <row r="147" spans="6:6" x14ac:dyDescent="0.2">
      <c r="F147" s="5"/>
    </row>
    <row r="148" spans="6:6" x14ac:dyDescent="0.2">
      <c r="F148" s="5"/>
    </row>
    <row r="149" spans="6:6" x14ac:dyDescent="0.2">
      <c r="F149" s="5"/>
    </row>
    <row r="150" spans="6:6" x14ac:dyDescent="0.2">
      <c r="F150" s="5"/>
    </row>
    <row r="151" spans="6:6" x14ac:dyDescent="0.2">
      <c r="F151" s="5"/>
    </row>
    <row r="152" spans="6:6" x14ac:dyDescent="0.2">
      <c r="F152" s="5"/>
    </row>
    <row r="153" spans="6:6" x14ac:dyDescent="0.2">
      <c r="F153" s="5"/>
    </row>
    <row r="154" spans="6:6" x14ac:dyDescent="0.2">
      <c r="F154" s="5"/>
    </row>
    <row r="155" spans="6:6" x14ac:dyDescent="0.2">
      <c r="F155" s="5"/>
    </row>
    <row r="156" spans="6:6" x14ac:dyDescent="0.2">
      <c r="F156" s="5"/>
    </row>
    <row r="157" spans="6:6" x14ac:dyDescent="0.2">
      <c r="F157" s="5"/>
    </row>
    <row r="158" spans="6:6" x14ac:dyDescent="0.2">
      <c r="F158" s="5"/>
    </row>
    <row r="159" spans="6:6" x14ac:dyDescent="0.2">
      <c r="F159" s="5"/>
    </row>
    <row r="160" spans="6:6" x14ac:dyDescent="0.2">
      <c r="F160" s="5"/>
    </row>
    <row r="161" spans="6:6" x14ac:dyDescent="0.2">
      <c r="F161" s="5"/>
    </row>
    <row r="162" spans="6:6" x14ac:dyDescent="0.2">
      <c r="F162" s="5"/>
    </row>
    <row r="163" spans="6:6" x14ac:dyDescent="0.2">
      <c r="F163" s="5"/>
    </row>
  </sheetData>
  <sheetProtection algorithmName="SHA-512" hashValue="O+4SOX10rzZgfp5GaCnEsrI5deuBv952lnLFIqn6tLHYaerLyRUW9fgoLqxvGPs6Yj91WOqd6Nc9aEOdh6kHkA==" saltValue="ae6eRUeZYd5WtUV5EWPfQ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BV1" zoomScaleNormal="100" workbookViewId="0">
      <selection activeCell="CC4" sqref="CC4"/>
    </sheetView>
  </sheetViews>
  <sheetFormatPr baseColWidth="10" defaultColWidth="11.5" defaultRowHeight="15" x14ac:dyDescent="0.2"/>
  <cols>
    <col min="1" max="1" width="6.83203125" style="71" bestFit="1" customWidth="1"/>
    <col min="2" max="4" width="11.5" style="71"/>
    <col min="5" max="5" width="9.5" style="71" customWidth="1"/>
    <col min="6" max="7" width="11.5" style="71"/>
    <col min="8" max="8" width="10.6640625" style="71" customWidth="1"/>
    <col min="9" max="9" width="9.5" style="71" customWidth="1"/>
    <col min="10" max="11" width="10.5" style="71" bestFit="1" customWidth="1"/>
    <col min="12" max="12" width="14" style="71" bestFit="1" customWidth="1"/>
    <col min="13" max="13" width="14" style="71" customWidth="1"/>
    <col min="14" max="23" width="11.5" style="71"/>
    <col min="24" max="24" width="11.6640625" style="71" bestFit="1" customWidth="1"/>
    <col min="25" max="25" width="14.5" style="71" bestFit="1" customWidth="1"/>
    <col min="26" max="26" width="12.5" style="71" bestFit="1" customWidth="1"/>
    <col min="27" max="27" width="9.6640625" style="71" bestFit="1" customWidth="1"/>
    <col min="28" max="28" width="11" style="71" bestFit="1" customWidth="1"/>
    <col min="29" max="29" width="9.5" style="71" bestFit="1" customWidth="1"/>
    <col min="30" max="31" width="9.5" style="71" customWidth="1"/>
    <col min="32" max="32" width="11.5" style="71"/>
    <col min="33" max="34" width="14" style="71" bestFit="1" customWidth="1"/>
    <col min="35" max="35" width="10.5" style="71" bestFit="1" customWidth="1"/>
    <col min="36" max="36" width="9.5" style="71" bestFit="1" customWidth="1"/>
    <col min="37" max="38" width="10.5" style="71" bestFit="1" customWidth="1"/>
    <col min="39" max="41" width="10.5" style="71" customWidth="1"/>
    <col min="42" max="42" width="9" style="71" bestFit="1" customWidth="1"/>
    <col min="43" max="43" width="10.5" style="71" bestFit="1" customWidth="1"/>
    <col min="44" max="44" width="9.33203125" style="71" bestFit="1" customWidth="1"/>
    <col min="45" max="45" width="11.6640625" style="71" bestFit="1" customWidth="1"/>
    <col min="46" max="46" width="8.5" style="71" bestFit="1" customWidth="1"/>
    <col min="47" max="47" width="9.5" style="71" bestFit="1" customWidth="1"/>
    <col min="48" max="48" width="9.6640625" style="71" bestFit="1" customWidth="1"/>
    <col min="49" max="49" width="11" style="71" bestFit="1" customWidth="1"/>
    <col min="50" max="50" width="9.5" style="71" bestFit="1" customWidth="1"/>
    <col min="51" max="52" width="9.5" style="71" customWidth="1"/>
    <col min="53" max="53" width="10.5" style="71" bestFit="1" customWidth="1"/>
    <col min="54" max="54" width="14.33203125" style="71" customWidth="1"/>
    <col min="55" max="55" width="14" style="71" customWidth="1"/>
    <col min="56" max="56" width="10.5" style="71" bestFit="1" customWidth="1"/>
    <col min="57" max="57" width="9.5" style="71" bestFit="1" customWidth="1"/>
    <col min="58" max="59" width="10.5" style="71" bestFit="1" customWidth="1"/>
    <col min="60" max="62" width="10.5" style="71" customWidth="1"/>
    <col min="63" max="63" width="9" style="71" bestFit="1" customWidth="1"/>
    <col min="64" max="64" width="10.5" style="71" bestFit="1" customWidth="1"/>
    <col min="65" max="65" width="9.33203125" style="71" bestFit="1" customWidth="1"/>
    <col min="66" max="66" width="11.6640625" style="71" bestFit="1" customWidth="1"/>
    <col min="67" max="67" width="8.5" style="71" bestFit="1" customWidth="1"/>
    <col min="68" max="68" width="9.5" style="71" bestFit="1" customWidth="1"/>
    <col min="69" max="69" width="9.6640625" style="71" bestFit="1" customWidth="1"/>
    <col min="70" max="70" width="11" style="71" bestFit="1" customWidth="1"/>
    <col min="71" max="71" width="9.5" style="71" bestFit="1" customWidth="1"/>
    <col min="72" max="73" width="9.5" style="71" customWidth="1"/>
    <col min="74" max="74" width="10.5" style="71" bestFit="1" customWidth="1"/>
    <col min="75" max="75" width="14" style="71" bestFit="1" customWidth="1"/>
    <col min="76" max="76" width="13.83203125" style="71" customWidth="1"/>
    <col min="77" max="77" width="10.5" style="71" bestFit="1" customWidth="1"/>
    <col min="78" max="78" width="9.5" style="71" bestFit="1" customWidth="1"/>
    <col min="79" max="80" width="10.5" style="71" bestFit="1" customWidth="1"/>
    <col min="81" max="83" width="10.5" style="71" customWidth="1"/>
    <col min="84" max="84" width="11.5" style="71"/>
    <col min="85" max="85" width="10.5" style="71" bestFit="1" customWidth="1"/>
    <col min="86" max="86" width="9.33203125" style="71" bestFit="1" customWidth="1"/>
    <col min="87" max="87" width="11.6640625" style="71" bestFit="1" customWidth="1"/>
    <col min="88" max="88" width="8.5" style="71" bestFit="1" customWidth="1"/>
    <col min="89" max="89" width="9.5" style="71" bestFit="1" customWidth="1"/>
    <col min="90" max="90" width="9.6640625" style="71" bestFit="1" customWidth="1"/>
    <col min="91" max="91" width="11" style="71" bestFit="1" customWidth="1"/>
    <col min="92" max="92" width="9.5" style="71" bestFit="1" customWidth="1"/>
    <col min="93" max="94" width="9.5" style="71" customWidth="1"/>
    <col min="95" max="95" width="11.5" style="71"/>
    <col min="96" max="97" width="14" style="71" customWidth="1"/>
    <col min="98" max="98" width="10.5" style="71" bestFit="1" customWidth="1"/>
    <col min="99" max="99" width="9.5" style="71" bestFit="1" customWidth="1"/>
    <col min="100" max="101" width="10.5" style="71" bestFit="1" customWidth="1"/>
    <col min="102" max="104" width="10.5" style="71" customWidth="1"/>
    <col min="105" max="105" width="9" style="71" bestFit="1" customWidth="1"/>
    <col min="106" max="106" width="10.5" style="71" bestFit="1" customWidth="1"/>
    <col min="107" max="107" width="9.33203125" style="71" bestFit="1" customWidth="1"/>
    <col min="108" max="108" width="11.6640625" style="71" bestFit="1" customWidth="1"/>
    <col min="109" max="109" width="8.5" style="71" bestFit="1" customWidth="1"/>
    <col min="110" max="110" width="9.5" style="71" bestFit="1" customWidth="1"/>
    <col min="111" max="111" width="9.6640625" style="71" bestFit="1" customWidth="1"/>
    <col min="112" max="112" width="11" style="71" bestFit="1" customWidth="1"/>
    <col min="113" max="113" width="9.5" style="71" bestFit="1" customWidth="1"/>
    <col min="114" max="115" width="9.5" style="71" customWidth="1"/>
    <col min="116" max="116" width="10.5" style="71" bestFit="1" customWidth="1"/>
    <col min="117" max="117" width="14.33203125" style="71" customWidth="1"/>
    <col min="118" max="118" width="14" style="71" bestFit="1" customWidth="1"/>
    <col min="119" max="119" width="10.5" style="71" bestFit="1" customWidth="1"/>
    <col min="120" max="120" width="9.5" style="71" bestFit="1" customWidth="1"/>
    <col min="121" max="122" width="10.5" style="71" bestFit="1" customWidth="1"/>
    <col min="123" max="125" width="10.5" style="71" customWidth="1"/>
    <col min="126" max="126" width="9" style="71" bestFit="1" customWidth="1"/>
    <col min="127" max="127" width="10.5" style="71" bestFit="1" customWidth="1"/>
    <col min="128" max="128" width="9.33203125" style="71" bestFit="1" customWidth="1"/>
    <col min="129" max="129" width="11.6640625" style="71" bestFit="1" customWidth="1"/>
    <col min="130" max="130" width="8.5" style="71" bestFit="1" customWidth="1"/>
    <col min="131" max="131" width="9.5" style="71" bestFit="1" customWidth="1"/>
    <col min="132" max="132" width="9.6640625" style="71" bestFit="1" customWidth="1"/>
    <col min="133" max="133" width="11" style="71" bestFit="1" customWidth="1"/>
    <col min="134" max="134" width="9.5" style="71" bestFit="1" customWidth="1"/>
    <col min="135" max="136" width="9.5" style="71" customWidth="1"/>
    <col min="137" max="137" width="10.5" style="71" bestFit="1" customWidth="1"/>
    <col min="138" max="139" width="14" style="71" customWidth="1"/>
    <col min="140" max="140" width="10.5" style="71" bestFit="1" customWidth="1"/>
    <col min="141" max="141" width="9.5" style="71" bestFit="1" customWidth="1"/>
    <col min="142" max="143" width="10.5" style="71" bestFit="1" customWidth="1"/>
    <col min="144" max="146" width="10.5" style="71" customWidth="1"/>
    <col min="147" max="147" width="9" style="71" bestFit="1" customWidth="1"/>
    <col min="148" max="148" width="10.5" style="71" bestFit="1" customWidth="1"/>
    <col min="149" max="149" width="9.33203125" style="71" bestFit="1" customWidth="1"/>
    <col min="150" max="150" width="11.6640625" style="71" bestFit="1" customWidth="1"/>
    <col min="151" max="151" width="8.5" style="71" bestFit="1" customWidth="1"/>
    <col min="152" max="152" width="9.5" style="71" bestFit="1" customWidth="1"/>
    <col min="153" max="153" width="9.6640625" style="71" bestFit="1" customWidth="1"/>
    <col min="154" max="154" width="11" style="71" bestFit="1" customWidth="1"/>
    <col min="155" max="155" width="9.5" style="71" bestFit="1" customWidth="1"/>
    <col min="156" max="157" width="9.5" style="71" customWidth="1"/>
    <col min="158" max="158" width="11.5" style="71"/>
    <col min="159" max="160" width="14" style="71" bestFit="1" customWidth="1"/>
    <col min="161" max="161" width="10.5" style="71" bestFit="1" customWidth="1"/>
    <col min="162" max="162" width="9.5" style="71" bestFit="1" customWidth="1"/>
    <col min="163" max="164" width="10.5" style="71" bestFit="1" customWidth="1"/>
    <col min="165" max="167" width="10.5" style="71" customWidth="1"/>
    <col min="168" max="168" width="9" style="71" bestFit="1" customWidth="1"/>
    <col min="169" max="169" width="10.5" style="71" bestFit="1" customWidth="1"/>
    <col min="170" max="170" width="9.33203125" style="71" bestFit="1" customWidth="1"/>
    <col min="171" max="171" width="11.6640625" style="71" bestFit="1" customWidth="1"/>
    <col min="172" max="172" width="8.1640625" style="71" bestFit="1" customWidth="1"/>
    <col min="173" max="173" width="9.5" style="71" bestFit="1" customWidth="1"/>
    <col min="174" max="174" width="9.6640625" style="71" bestFit="1" customWidth="1"/>
    <col min="175" max="175" width="11" style="71" bestFit="1" customWidth="1"/>
    <col min="176" max="176" width="9.5" style="71" bestFit="1" customWidth="1"/>
    <col min="177" max="178" width="9.5" style="71" customWidth="1"/>
    <col min="179" max="179" width="10.5" style="71" bestFit="1" customWidth="1"/>
    <col min="180" max="181" width="14" style="71" bestFit="1" customWidth="1"/>
    <col min="182" max="182" width="10.5" style="71" bestFit="1" customWidth="1"/>
    <col min="183" max="183" width="9.5" style="71" bestFit="1" customWidth="1"/>
    <col min="184" max="185" width="10.5" style="71" bestFit="1" customWidth="1"/>
    <col min="186" max="188" width="10.5" style="71" customWidth="1"/>
    <col min="189" max="189" width="9" style="71" bestFit="1" customWidth="1"/>
    <col min="190" max="190" width="10.5" style="71" bestFit="1" customWidth="1"/>
    <col min="191" max="191" width="9.33203125" style="71" bestFit="1" customWidth="1"/>
    <col min="192" max="192" width="11.5" style="71"/>
    <col min="193" max="193" width="8.5" style="71" bestFit="1" customWidth="1"/>
    <col min="194" max="194" width="9.5" style="71" bestFit="1" customWidth="1"/>
    <col min="195" max="195" width="9.6640625" style="71" bestFit="1" customWidth="1"/>
    <col min="196" max="196" width="11" style="71" bestFit="1" customWidth="1"/>
    <col min="197" max="197" width="9.5" style="71" bestFit="1" customWidth="1"/>
    <col min="198" max="199" width="9.5" style="71" customWidth="1"/>
    <col min="200" max="200" width="10.5" style="71" bestFit="1" customWidth="1"/>
    <col min="201" max="201" width="14" style="71" customWidth="1"/>
    <col min="202" max="202" width="14.33203125" style="71" customWidth="1"/>
    <col min="203" max="203" width="10.5" style="71" bestFit="1" customWidth="1"/>
    <col min="204" max="204" width="9.5" style="71" bestFit="1" customWidth="1"/>
    <col min="205" max="206" width="10.5" style="71" bestFit="1" customWidth="1"/>
    <col min="207" max="209" width="10.5" style="71" customWidth="1"/>
    <col min="210" max="210" width="9" style="71" bestFit="1" customWidth="1"/>
    <col min="211" max="211" width="10.5" style="71" bestFit="1" customWidth="1"/>
    <col min="212" max="212" width="9.33203125" style="71" bestFit="1" customWidth="1"/>
    <col min="213" max="213" width="11.6640625" style="71" bestFit="1" customWidth="1"/>
    <col min="214" max="214" width="8.5" style="71" bestFit="1" customWidth="1"/>
    <col min="215" max="215" width="9.5" style="71" bestFit="1" customWidth="1"/>
    <col min="216" max="216" width="9.6640625" style="71" bestFit="1" customWidth="1"/>
    <col min="217" max="217" width="11" style="71" bestFit="1" customWidth="1"/>
    <col min="218" max="218" width="9.5" style="71" bestFit="1" customWidth="1"/>
    <col min="219" max="16384" width="11.5" style="71"/>
  </cols>
  <sheetData>
    <row r="1" spans="1:218" s="5" customFormat="1" ht="27" thickBot="1" x14ac:dyDescent="0.35">
      <c r="B1" s="292" t="s">
        <v>176</v>
      </c>
      <c r="C1" s="293"/>
      <c r="D1" s="293"/>
      <c r="E1" s="293"/>
      <c r="F1" s="293"/>
      <c r="G1" s="293"/>
      <c r="H1" s="294"/>
      <c r="I1" s="289" t="str">
        <f>IF('Données projet'!$B$9="","",'Données projet'!$B$9)</f>
        <v>Pin laricio</v>
      </c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1"/>
      <c r="AD1" s="290" t="str">
        <f>IF('Données projet'!$B$10="","",'Données projet'!$B$10)</f>
        <v>Pin maritime</v>
      </c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291"/>
      <c r="AY1" s="289" t="str">
        <f>IF('Données projet'!$B$11="","",'Données projet'!$B$11)</f>
        <v>Chêne vert</v>
      </c>
      <c r="AZ1" s="290"/>
      <c r="BA1" s="290"/>
      <c r="BB1" s="290"/>
      <c r="BC1" s="290"/>
      <c r="BD1" s="290"/>
      <c r="BE1" s="290"/>
      <c r="BF1" s="290"/>
      <c r="BG1" s="290"/>
      <c r="BH1" s="290"/>
      <c r="BI1" s="290"/>
      <c r="BJ1" s="290"/>
      <c r="BK1" s="290"/>
      <c r="BL1" s="290"/>
      <c r="BM1" s="290"/>
      <c r="BN1" s="290"/>
      <c r="BO1" s="290"/>
      <c r="BP1" s="290"/>
      <c r="BQ1" s="290"/>
      <c r="BR1" s="290"/>
      <c r="BS1" s="291"/>
      <c r="BT1" s="289" t="str">
        <f>IF('Données projet'!$B$12="","",'Données projet'!$B$12)</f>
        <v>Aulne glutineux</v>
      </c>
      <c r="BU1" s="290"/>
      <c r="BV1" s="290"/>
      <c r="BW1" s="290"/>
      <c r="BX1" s="290"/>
      <c r="BY1" s="290"/>
      <c r="BZ1" s="290"/>
      <c r="CA1" s="290"/>
      <c r="CB1" s="290"/>
      <c r="CC1" s="290"/>
      <c r="CD1" s="290"/>
      <c r="CE1" s="290"/>
      <c r="CF1" s="290"/>
      <c r="CG1" s="290"/>
      <c r="CH1" s="290"/>
      <c r="CI1" s="290"/>
      <c r="CJ1" s="290"/>
      <c r="CK1" s="290"/>
      <c r="CL1" s="290"/>
      <c r="CM1" s="290"/>
      <c r="CN1" s="291"/>
      <c r="CO1" s="289" t="str">
        <f>IF('Données projet'!$B$13="","",'Données projet'!$B$13)</f>
        <v>Erable sycomore</v>
      </c>
      <c r="CP1" s="290"/>
      <c r="CQ1" s="290"/>
      <c r="CR1" s="290"/>
      <c r="CS1" s="290"/>
      <c r="CT1" s="290"/>
      <c r="CU1" s="290"/>
      <c r="CV1" s="290"/>
      <c r="CW1" s="290"/>
      <c r="CX1" s="290"/>
      <c r="CY1" s="290"/>
      <c r="CZ1" s="290"/>
      <c r="DA1" s="290"/>
      <c r="DB1" s="290"/>
      <c r="DC1" s="290"/>
      <c r="DD1" s="290"/>
      <c r="DE1" s="290"/>
      <c r="DF1" s="290"/>
      <c r="DG1" s="290"/>
      <c r="DH1" s="290"/>
      <c r="DI1" s="291"/>
      <c r="DJ1" s="289" t="str">
        <f>IF('Données projet'!$B$14="","",'Données projet'!$B$14)</f>
        <v>Peuplier Koster</v>
      </c>
      <c r="DK1" s="290"/>
      <c r="DL1" s="290"/>
      <c r="DM1" s="290"/>
      <c r="DN1" s="290"/>
      <c r="DO1" s="290"/>
      <c r="DP1" s="290"/>
      <c r="DQ1" s="290"/>
      <c r="DR1" s="290"/>
      <c r="DS1" s="290"/>
      <c r="DT1" s="290"/>
      <c r="DU1" s="290"/>
      <c r="DV1" s="290"/>
      <c r="DW1" s="290"/>
      <c r="DX1" s="290"/>
      <c r="DY1" s="290"/>
      <c r="DZ1" s="290"/>
      <c r="EA1" s="290"/>
      <c r="EB1" s="290"/>
      <c r="EC1" s="290"/>
      <c r="ED1" s="291"/>
      <c r="EE1" s="289" t="str">
        <f>IF('Données projet'!$B$15="","",'Données projet'!$B$15)</f>
        <v/>
      </c>
      <c r="EF1" s="290"/>
      <c r="EG1" s="290"/>
      <c r="EH1" s="290"/>
      <c r="EI1" s="290"/>
      <c r="EJ1" s="290"/>
      <c r="EK1" s="290"/>
      <c r="EL1" s="290"/>
      <c r="EM1" s="290"/>
      <c r="EN1" s="290"/>
      <c r="EO1" s="290"/>
      <c r="EP1" s="290"/>
      <c r="EQ1" s="290"/>
      <c r="ER1" s="290"/>
      <c r="ES1" s="290"/>
      <c r="ET1" s="290"/>
      <c r="EU1" s="290"/>
      <c r="EV1" s="290"/>
      <c r="EW1" s="290"/>
      <c r="EX1" s="290"/>
      <c r="EY1" s="291"/>
      <c r="EZ1" s="289" t="str">
        <f>IF('Données projet'!$B$16="","",'Données projet'!$B$16)</f>
        <v/>
      </c>
      <c r="FA1" s="290"/>
      <c r="FB1" s="290"/>
      <c r="FC1" s="290"/>
      <c r="FD1" s="290"/>
      <c r="FE1" s="290"/>
      <c r="FF1" s="290"/>
      <c r="FG1" s="290"/>
      <c r="FH1" s="290"/>
      <c r="FI1" s="290"/>
      <c r="FJ1" s="290"/>
      <c r="FK1" s="290"/>
      <c r="FL1" s="290"/>
      <c r="FM1" s="290"/>
      <c r="FN1" s="290"/>
      <c r="FO1" s="290"/>
      <c r="FP1" s="290"/>
      <c r="FQ1" s="290"/>
      <c r="FR1" s="290"/>
      <c r="FS1" s="290"/>
      <c r="FT1" s="291"/>
      <c r="FU1" s="289" t="str">
        <f>IF('Données projet'!$B$17="","",'Données projet'!$B$17)</f>
        <v/>
      </c>
      <c r="FV1" s="290"/>
      <c r="FW1" s="290"/>
      <c r="FX1" s="290"/>
      <c r="FY1" s="290"/>
      <c r="FZ1" s="290"/>
      <c r="GA1" s="290"/>
      <c r="GB1" s="290"/>
      <c r="GC1" s="290"/>
      <c r="GD1" s="290"/>
      <c r="GE1" s="290"/>
      <c r="GF1" s="290"/>
      <c r="GG1" s="290"/>
      <c r="GH1" s="290"/>
      <c r="GI1" s="290"/>
      <c r="GJ1" s="290"/>
      <c r="GK1" s="290"/>
      <c r="GL1" s="290"/>
      <c r="GM1" s="290"/>
      <c r="GN1" s="290"/>
      <c r="GO1" s="291"/>
      <c r="GP1" s="289" t="str">
        <f>IF('Données projet'!$B$18="","",'Données projet'!$B$18)</f>
        <v/>
      </c>
      <c r="GQ1" s="290"/>
      <c r="GR1" s="290"/>
      <c r="GS1" s="290"/>
      <c r="GT1" s="290"/>
      <c r="GU1" s="290"/>
      <c r="GV1" s="290"/>
      <c r="GW1" s="290"/>
      <c r="GX1" s="290"/>
      <c r="GY1" s="290"/>
      <c r="GZ1" s="290"/>
      <c r="HA1" s="290"/>
      <c r="HB1" s="290"/>
      <c r="HC1" s="290"/>
      <c r="HD1" s="290"/>
      <c r="HE1" s="290"/>
      <c r="HF1" s="290"/>
      <c r="HG1" s="290"/>
      <c r="HH1" s="290"/>
      <c r="HI1" s="290"/>
      <c r="HJ1" s="291"/>
    </row>
    <row r="2" spans="1:218" s="5" customFormat="1" ht="65" thickBot="1" x14ac:dyDescent="0.25">
      <c r="A2" s="75" t="s">
        <v>178</v>
      </c>
      <c r="B2" s="76" t="s">
        <v>194</v>
      </c>
      <c r="C2" s="6" t="s">
        <v>195</v>
      </c>
      <c r="D2" s="6" t="s">
        <v>287</v>
      </c>
      <c r="E2" s="6" t="s">
        <v>303</v>
      </c>
      <c r="F2" s="6" t="s">
        <v>302</v>
      </c>
      <c r="G2" s="6" t="s">
        <v>308</v>
      </c>
      <c r="H2" s="69" t="s">
        <v>304</v>
      </c>
      <c r="I2" s="72" t="s">
        <v>303</v>
      </c>
      <c r="J2" s="73" t="s">
        <v>302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308</v>
      </c>
      <c r="R2" s="7" t="s">
        <v>305</v>
      </c>
      <c r="S2" s="7" t="s">
        <v>309</v>
      </c>
      <c r="T2" s="7" t="s">
        <v>310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303</v>
      </c>
      <c r="AE2" s="73" t="s">
        <v>302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308</v>
      </c>
      <c r="AM2" s="7" t="s">
        <v>305</v>
      </c>
      <c r="AN2" s="7" t="s">
        <v>309</v>
      </c>
      <c r="AO2" s="7" t="s">
        <v>310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303</v>
      </c>
      <c r="AZ2" s="73" t="s">
        <v>302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308</v>
      </c>
      <c r="BH2" s="7" t="s">
        <v>305</v>
      </c>
      <c r="BI2" s="7" t="s">
        <v>309</v>
      </c>
      <c r="BJ2" s="7" t="s">
        <v>310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303</v>
      </c>
      <c r="BU2" s="73" t="s">
        <v>302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308</v>
      </c>
      <c r="CC2" s="7" t="s">
        <v>305</v>
      </c>
      <c r="CD2" s="7" t="s">
        <v>309</v>
      </c>
      <c r="CE2" s="7" t="s">
        <v>310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303</v>
      </c>
      <c r="CP2" s="73" t="s">
        <v>302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308</v>
      </c>
      <c r="CX2" s="7" t="s">
        <v>305</v>
      </c>
      <c r="CY2" s="7" t="s">
        <v>309</v>
      </c>
      <c r="CZ2" s="7" t="s">
        <v>310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303</v>
      </c>
      <c r="DK2" s="73" t="s">
        <v>302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308</v>
      </c>
      <c r="DS2" s="7" t="s">
        <v>305</v>
      </c>
      <c r="DT2" s="7" t="s">
        <v>309</v>
      </c>
      <c r="DU2" s="7" t="s">
        <v>310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303</v>
      </c>
      <c r="EF2" s="73" t="s">
        <v>302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308</v>
      </c>
      <c r="EN2" s="7" t="s">
        <v>305</v>
      </c>
      <c r="EO2" s="7" t="s">
        <v>309</v>
      </c>
      <c r="EP2" s="7" t="s">
        <v>310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303</v>
      </c>
      <c r="FA2" s="73" t="s">
        <v>302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308</v>
      </c>
      <c r="FI2" s="7" t="s">
        <v>305</v>
      </c>
      <c r="FJ2" s="7" t="s">
        <v>309</v>
      </c>
      <c r="FK2" s="7" t="s">
        <v>310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303</v>
      </c>
      <c r="FV2" s="73" t="s">
        <v>302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308</v>
      </c>
      <c r="GD2" s="7" t="s">
        <v>305</v>
      </c>
      <c r="GE2" s="7" t="s">
        <v>309</v>
      </c>
      <c r="GF2" s="7" t="s">
        <v>310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303</v>
      </c>
      <c r="GQ2" s="73" t="s">
        <v>302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308</v>
      </c>
      <c r="GY2" s="7" t="s">
        <v>305</v>
      </c>
      <c r="GZ2" s="7" t="s">
        <v>309</v>
      </c>
      <c r="HA2" s="7" t="s">
        <v>310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">
      <c r="A3" s="11">
        <v>0</v>
      </c>
      <c r="B3" s="77">
        <f>'Scénario référence'!$B$16*5+'Scénario référence'!$B$17*0+'Scénario référence'!$B$18*5</f>
        <v>1.6500000000000001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6.0500000000000007</v>
      </c>
      <c r="H3" s="70">
        <f>(B3+E3+F3)*44/12+(C3+D3)*0.475*44/12</f>
        <v>232.4666666666667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61.750000000000007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226.41666666666671</v>
      </c>
      <c r="S3" s="62">
        <f ca="1">AVERAGE(OFFSET($R$3,0,0,'Données projet'!$E$9+1,1))-AVERAGE(OFFSET($H$3,0,0,'Données projet'!$E$9+1,1))</f>
        <v>354.71367224254021</v>
      </c>
      <c r="T3" s="62">
        <f>IF('Données projet'!E9&gt;30,$R$33-$H$33,LOOKUP('Données projet'!$E$9,$A$3:$A$203,R3:R203)-LOOKUP('Données projet'!$E$9,$A$3:$A$203,$H$3:$H$203))</f>
        <v>490.074370133397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61.750000000000007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2">
        <f>AL3+(AD3+AE3)*44/12</f>
        <v>226.41666666666671</v>
      </c>
      <c r="AN3" s="62">
        <f ca="1">AVERAGE(OFFSET($AM$3,0,0,'Données projet'!$E$10+1,1))-AVERAGE(OFFSET($H$3,0,0,'Données projet'!$E$10+1,1))</f>
        <v>264.73276096087574</v>
      </c>
      <c r="AO3" s="62">
        <f>IF('Données projet'!E10&gt;30,$AM$33-$H$33,LOOKUP('Données projet'!$E$10,$A$3:$A$203,AM3:AM203)-LOOKUP('Données projet'!$E$10,$A$3:$A$203,$H$3:$H$203))</f>
        <v>381.84464918049662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61.750000000000007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projet'!$B$11,Paramètres!$A$1:$I$88,3,0)*VLOOKUP('Données projet'!$B$11,Paramètres!$A$1:$I$88,5,0)</f>
        <v>0</v>
      </c>
      <c r="BF3" s="13">
        <v>0</v>
      </c>
      <c r="BG3" s="15">
        <f>(BE3+BF3)*0.475*44/12</f>
        <v>0</v>
      </c>
      <c r="BH3" s="62">
        <f>BG3+(AY3+AZ3)*44/12</f>
        <v>226.41666666666671</v>
      </c>
      <c r="BI3" s="62">
        <f ca="1">AVERAGE(OFFSET($BH$3,0,0,'Données projet'!$E$11+1,1))-AVERAGE(OFFSET($H$3,0,0,'Données projet'!$E$11+1,1))</f>
        <v>470.57532875732056</v>
      </c>
      <c r="BJ3" s="62">
        <f>IF('Données projet'!E11&gt;30,$BH$33-$H$33,LOOKUP('Données projet'!$E$11,$A$3:$A$203,BH3:BH203)-LOOKUP('Données projet'!$E$11,$A$3:$A$203,$H$3:$H$203))</f>
        <v>286.63787681165888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61.750000000000007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projet'!$B$12,Paramètres!$A$1:$I$88,3,0)*VLOOKUP('Données projet'!$B$12,Paramètres!$A$1:$I$88,5,0)</f>
        <v>0</v>
      </c>
      <c r="CA3" s="13">
        <v>0</v>
      </c>
      <c r="CB3" s="15">
        <f>(BZ3+CA3)*0.475*44/12</f>
        <v>0</v>
      </c>
      <c r="CC3" s="62">
        <f>CB3+(BT3+BU3)*44/12</f>
        <v>226.41666666666671</v>
      </c>
      <c r="CD3" s="62">
        <f ca="1">AVERAGE(OFFSET($CC$3,0,0,'Données projet'!$E$12+1,1))-AVERAGE(OFFSET($H$3,0,0,'Données projet'!$E$12+1,1))</f>
        <v>305.38855494899906</v>
      </c>
      <c r="CE3" s="62">
        <f>IF('Données projet'!E12&gt;30,$CC$33-$H$33,LOOKUP('Données projet'!$E$12,$A$3:$A$203,CC3:CC203)-LOOKUP('Données projet'!$E$12,$A$3:$A$203,$H$3:$H$203))</f>
        <v>298.48106301229177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61.750000000000007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projet'!$B$13,Paramètres!$A$1:$I$88,3,0)*VLOOKUP('Données projet'!$B$13,Paramètres!$A$1:$I$88,5,0)</f>
        <v>0</v>
      </c>
      <c r="CV3" s="13">
        <v>0</v>
      </c>
      <c r="CW3" s="15">
        <f>(CU3+CV3)*0.475*44/12</f>
        <v>0</v>
      </c>
      <c r="CX3" s="62">
        <f>CW3+(CO3+CP3)*44/12</f>
        <v>226.41666666666671</v>
      </c>
      <c r="CY3" s="62">
        <f ca="1">AVERAGE(OFFSET($CX$3,0,0,'Données projet'!$E$13+1,1))-AVERAGE(OFFSET($H$3,0,0,'Données projet'!$E$13+1,1))</f>
        <v>361.30066984973894</v>
      </c>
      <c r="CZ3" s="62">
        <f>IF('Données projet'!E13&gt;30,$CX$33-$H$33,LOOKUP('Données projet'!$E$13,$A$3:$A$203,CX3:CX203)-LOOKUP('Données projet'!$E$13,$A$3:$A$203,$H$3:$H$203))</f>
        <v>351.78053157121622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61.750000000000007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projet'!$B$14,Paramètres!$A$1:$I$88,3,0)*VLOOKUP('Données projet'!$B$14,Paramètres!$A$1:$I$88,5,0)</f>
        <v>0</v>
      </c>
      <c r="DQ3" s="13">
        <v>0</v>
      </c>
      <c r="DR3" s="15">
        <f>(DP3+DQ3)*0.475*44/12</f>
        <v>0</v>
      </c>
      <c r="DS3" s="62">
        <f>DR3+(DJ3+DK3)*44/12</f>
        <v>226.41666666666671</v>
      </c>
      <c r="DT3" s="62">
        <f ca="1">AVERAGE(OFFSET($DS$3,0,0,'Données projet'!$E$14+1,1))-AVERAGE(OFFSET($H$3,0,0,'Données projet'!$E$14+1,1))</f>
        <v>91.201152634762423</v>
      </c>
      <c r="DU3" s="62">
        <f>IF('Données projet'!E14&gt;30,$DS$33-$H$33,LOOKUP('Données projet'!$E$14,$A$3:$A$203,DS3:DS203)-LOOKUP('Données projet'!$E$14,$A$3:$A$203,$H$3:$H$203))</f>
        <v>233.36981992862445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61.750000000000007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61.750000000000007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61.750000000000007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61.750000000000007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">
      <c r="A4" s="11">
        <f>A3+1</f>
        <v>1</v>
      </c>
      <c r="B4" s="77">
        <f>'Scénario référence'!$B$16*5+'Scénario référence'!$B$17*0+'Scénario référence'!$B$18*5</f>
        <v>1.6500000000000001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6.0500000000000007</v>
      </c>
      <c r="H4" s="70">
        <f t="shared" ref="H4:H67" si="1">(B4+E4+F4)*44/12+(C4+D4)*0.475*44/12</f>
        <v>232.4666666666667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61.893119055763151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8.6</v>
      </c>
      <c r="N4" s="14">
        <f>IF('Données projet'!$A$36&gt;35,N3+M4-V3,IF(A4&lt;'Données projet'!$A$36,$K$205^A4,IF(A4='Données projet'!$A$36,'Données projet'!$B$36,N3+M4-V3)))</f>
        <v>1.3826300153206645</v>
      </c>
      <c r="O4" s="14">
        <f>N4*VLOOKUP('Données projet'!$B$9,Paramètres!$A$1:$I$88,3,0)*VLOOKUP('Données projet'!$B$9,Paramètres!$A$1:$I$88,5,0)</f>
        <v>0.82681274916175751</v>
      </c>
      <c r="P4" s="14">
        <f>EXP(-1.0587+0.8836*LN(O4)+0.284)</f>
        <v>0.38955881454640179</v>
      </c>
      <c r="Q4" s="22">
        <f t="shared" ref="Q4:Q34" si="2">(O4+P4)*0.475*44/12</f>
        <v>2.1185138067917109</v>
      </c>
      <c r="R4" s="62">
        <f t="shared" si="0"/>
        <v>230.28217256681216</v>
      </c>
      <c r="S4" s="62">
        <f ca="1">AVERAGE(OFFSET($R$3,0,0,'Données projet'!$E$9+1,1))-AVERAGE(OFFSET($H$3,0,0,'Données projet'!$E$9+1,1))</f>
        <v>354.71367224254021</v>
      </c>
      <c r="T4" s="62">
        <f>$T$3</f>
        <v>490.074370133397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61.893119055763151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5.5333333333333332</v>
      </c>
      <c r="AI4" s="14">
        <f>IF('Données projet'!$A$62&gt;35,AI3+AH4-AQ3,IF(A4&lt;'Données projet'!$A$62,$AF$205^A4,IF(A4='Données projet'!$A$62,'Données projet'!$B$62,AI3+AH4-AQ3)))</f>
        <v>1.3425749491041623</v>
      </c>
      <c r="AJ4" s="14">
        <f>AI4*VLOOKUP('Données projet'!$B$10,Paramètres!$A$1:$I$88,3,0)*VLOOKUP('Données projet'!$B$10,Paramètres!$A$1:$I$88,5,0)</f>
        <v>0.8028598195642892</v>
      </c>
      <c r="AK4" s="14">
        <f>EXP(-1.0587+0.8836*LN(AJ4)+0.284)</f>
        <v>0.37956986424555855</v>
      </c>
      <c r="AL4" s="22">
        <f t="shared" ref="AL4:AL67" si="4">(AJ4+AK4)*0.475*44/12</f>
        <v>2.0593983659688182</v>
      </c>
      <c r="AM4" s="62">
        <f t="shared" ref="AM4:AM67" si="5">AL4+(AD4+AE4)*44/12</f>
        <v>230.22305712598927</v>
      </c>
      <c r="AN4" s="62">
        <f ca="1">AVERAGE(OFFSET($AM$3,0,0,'Données projet'!$E$10+1,1))-AVERAGE(OFFSET($H$3,0,0,'Données projet'!$E$10+1,1))</f>
        <v>264.73276096087574</v>
      </c>
      <c r="AO4" s="62">
        <f>$AO$3</f>
        <v>381.84464918049662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projet'!$B$10,Paramètres!$A$1:$I$88,3,0)*0.475*44/12</f>
        <v>0</v>
      </c>
      <c r="AV4" s="23">
        <f>EXP(-LN(2)/25)*AV3+(1-EXP(-LN(2)/25))/(LN(2)/25)*Calculateur!AQ4*Calculateur!AS4*VLOOKUP('Données projet'!$B$10,Paramètres!$A$1:$I$88,3,0)*0.475*44/12</f>
        <v>0</v>
      </c>
      <c r="AW4" s="23">
        <f>EXP(-LN(2)/2)*AW3+(1-EXP(-LN(2)/2))/(LN(2)/2)*AQ4*AT4*VLOOKUP('Données projet'!$B$10,Paramètres!$A$1:$I$88,3,0)*0.475*44/12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61.893119055763151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2.1</v>
      </c>
      <c r="BD4" s="13">
        <f>IF('Données projet'!$A$88&gt;35,BD3+BC4-BL3,IF(A4&lt;'Données projet'!$A$88,$BA$205^A4,IF(A4='Données projet'!$A$88,'Données projet'!$B$88,BD3+BC4-BL3)))</f>
        <v>1.2054868146447177</v>
      </c>
      <c r="BE4" s="14">
        <f>BD4*VLOOKUP('Données projet'!$B$11,Paramètres!$A$1:$I$88,3,0)*VLOOKUP('Données projet'!$B$11,Paramètres!$A$1:$I$88,5,0)</f>
        <v>1.3728083845174046</v>
      </c>
      <c r="BF4" s="14">
        <f>EXP(-1.0587+0.8836*LN(BE4)+0.284)</f>
        <v>0.60973930699832779</v>
      </c>
      <c r="BG4" s="22">
        <f t="shared" ref="BG4:BG67" si="7">(BE4+BF4)*0.475*44/12</f>
        <v>3.4529372293899008</v>
      </c>
      <c r="BH4" s="62">
        <f t="shared" ref="BH4:BH67" si="8">BG4+(AY4+AZ4)*44/12</f>
        <v>231.61659598941034</v>
      </c>
      <c r="BI4" s="62">
        <f ca="1">AVERAGE(OFFSET($BH$3,0,0,'Données projet'!$E$11+1,1))-AVERAGE(OFFSET($H$3,0,0,'Données projet'!$E$11+1,1))</f>
        <v>470.57532875732056</v>
      </c>
      <c r="BJ4" s="62">
        <f>$BJ$3</f>
        <v>286.63787681165888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projet'!$B$11,Paramètres!$A$1:$I$88,3,0)*0.475*44/12</f>
        <v>0</v>
      </c>
      <c r="BQ4" s="23">
        <f>EXP(-LN(2)/25)*BQ3+(1-EXP(-LN(2)/25))/(LN(2)/25)*Calculateur!BL4*Calculateur!BN4*VLOOKUP('Données projet'!$B$11,Paramètres!$A$1:$I$88,3,0)*0.475*44/12</f>
        <v>0</v>
      </c>
      <c r="BR4" s="23">
        <f>EXP(-LN(2)/2)*BR3+(1-EXP(-LN(2)/2))/(LN(2)/2)*BL4*BO4*VLOOKUP('Données projet'!$B$11,Paramètres!$A$1:$I$88,3,0)*0.475*44/12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61.893119055763151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1.1000000000000001</v>
      </c>
      <c r="BY4" s="13">
        <f>IF('Données projet'!$A$114&gt;35,BY3+BX4-CG3,IF(A4&lt;'Données projet'!$A$114,$BV$205^A4,IF(A4='Données projet'!$A$114,'Données projet'!$B$114,BY3+BX4-CG3)))</f>
        <v>1.2709816152101407</v>
      </c>
      <c r="BZ4" s="14">
        <f>BY4*VLOOKUP('Données projet'!$B$12,Paramètres!$A$1:$I$88,3,0)*VLOOKUP('Données projet'!$B$12,Paramètres!$A$1:$I$88,5,0)</f>
        <v>0.83274715428568413</v>
      </c>
      <c r="CA4" s="14">
        <f>EXP(-1.0587+0.8836*LN(BZ4)+0.284)</f>
        <v>0.39202836439738087</v>
      </c>
      <c r="CB4" s="22">
        <f t="shared" ref="CB4:CB67" si="10">(BZ4+CA4)*0.475*44/12</f>
        <v>2.1331506950396717</v>
      </c>
      <c r="CC4" s="62">
        <f t="shared" ref="CC4:CC67" si="11">CB4+(BT4+BU4)*44/12</f>
        <v>230.2968094550601</v>
      </c>
      <c r="CD4" s="62">
        <f ca="1">AVERAGE(OFFSET($CC$3,0,0,'Données projet'!$E$12+1,1))-AVERAGE(OFFSET($H$3,0,0,'Données projet'!$E$12+1,1))</f>
        <v>305.38855494899906</v>
      </c>
      <c r="CE4" s="62">
        <f>$CE$3</f>
        <v>298.48106301229177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projet'!$B$12,Paramètres!$A$1:$I$88,3,0)*0.475*44/12</f>
        <v>0</v>
      </c>
      <c r="CL4" s="23">
        <f>EXP(-LN(2)/25)*CL3+(1-EXP(-LN(2)/25))/(LN(2)/25)*Calculateur!CG4*Calculateur!CI4*VLOOKUP('Données projet'!$B$12,Paramètres!$A$1:$I$88,3,0)*0.475*44/12</f>
        <v>0</v>
      </c>
      <c r="CM4" s="23">
        <f>EXP(-LN(2)/2)*CM3+(1-EXP(-LN(2)/2))/(LN(2)/2)*CG4*CJ4*VLOOKUP('Données projet'!$B$12,Paramètres!$A$1:$I$88,3,0)*0.475*44/12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61.893119055763151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1.1000000000000001</v>
      </c>
      <c r="CT4" s="13">
        <f>IF('Données projet'!$A$140&gt;35,CT3+CS4-DB3,IF(A4&lt;'Données projet'!$A$140,$CQ$205^A4,IF(A4='Données projet'!$A$140,'Données projet'!$B$140,CT3+CS4-DB3)))</f>
        <v>1.2709816152101407</v>
      </c>
      <c r="CU4" s="18">
        <f>CT4*VLOOKUP('Données projet'!$B$13,Paramètres!$A$1:$I$88,3,0)*VLOOKUP('Données projet'!$B$13,Paramètres!$A$1:$I$88,5,0)</f>
        <v>1.0111929730611879</v>
      </c>
      <c r="CV4" s="14">
        <f>EXP(-1.0587+0.8836*LN(CU4)+0.284)</f>
        <v>0.46539683474213156</v>
      </c>
      <c r="CW4" s="22">
        <f t="shared" ref="CW4:CW67" si="13">(CU4+CV4)*0.475*44/12</f>
        <v>2.5717272485907814</v>
      </c>
      <c r="CX4" s="62">
        <f t="shared" ref="CX4:CX67" si="14">CW4+(CO4+CP4)*44/12</f>
        <v>230.73538600861121</v>
      </c>
      <c r="CY4" s="62">
        <f ca="1">AVERAGE(OFFSET($CX$3,0,0,'Données projet'!$E$13+1,1))-AVERAGE(OFFSET($H$3,0,0,'Données projet'!$E$13+1,1))</f>
        <v>361.30066984973894</v>
      </c>
      <c r="CZ4" s="62">
        <f>$CZ$3</f>
        <v>351.78053157121622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projet'!$B$13,Paramètres!$A$1:$I$88,3,0)*0.475*44/12</f>
        <v>0</v>
      </c>
      <c r="DG4" s="23">
        <f>EXP(-LN(2)/25)*DG3+(1-EXP(-LN(2)/25))/(LN(2)/25)*Calculateur!DB4*Calculateur!DD4*VLOOKUP('Données projet'!$B$13,Paramètres!$A$1:$I$88,3,0)*0.475*44/12</f>
        <v>0</v>
      </c>
      <c r="DH4" s="23">
        <f>EXP(-LN(2)/2)*DH3+(1-EXP(-LN(2)/2))/(LN(2)/2)*DB4*DE4*VLOOKUP('Données projet'!$B$13,Paramètres!$A$1:$I$88,3,0)*0.475*44/12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61.893119055763151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1.2</v>
      </c>
      <c r="DO4" s="13">
        <f>IF('Données projet'!$A$166&gt;35,DO3+DN4-DW3,IF(A4&lt;'Données projet'!$A$166,$DL$205^A4,IF(A4='Données projet'!$A$166,'Données projet'!$B$166,DO3+DN4-DW3)))</f>
        <v>1.4309690811052556</v>
      </c>
      <c r="DP4" s="18">
        <f>DO4*VLOOKUP('Données projet'!$B$14,Paramètres!$A$1:$I$88,3,0)*VLOOKUP('Données projet'!$B$14,Paramètres!$A$1:$I$88,5,0)</f>
        <v>0.72773363588688889</v>
      </c>
      <c r="DQ4" s="14">
        <f>EXP(-1.0587+0.8836*LN(DP4)+0.284)</f>
        <v>0.34800935643403386</v>
      </c>
      <c r="DR4" s="22">
        <f t="shared" ref="DR4:DR67" si="16">(DP4+DQ4)*0.475*44/12</f>
        <v>1.8735857116256069</v>
      </c>
      <c r="DS4" s="62">
        <f t="shared" ref="DS4:DS67" si="17">DR4+(DJ4+DK4)*44/12</f>
        <v>230.03724447164603</v>
      </c>
      <c r="DT4" s="62">
        <f ca="1">AVERAGE(OFFSET($DS$3,0,0,'Données projet'!$E$14+1,1))-AVERAGE(OFFSET($H$3,0,0,'Données projet'!$E$14+1,1))</f>
        <v>91.201152634762423</v>
      </c>
      <c r="DU4" s="62">
        <f>$DU$3</f>
        <v>233.36981992862445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projet'!$B$14,Paramètres!$A$1:$I$88,3,0)*0.475*44/12</f>
        <v>0</v>
      </c>
      <c r="EB4" s="23">
        <f>EXP(-LN(2)/25)*EB3+(1-EXP(-LN(2)/25))/(LN(2)/25)*Calculateur!DW4*Calculateur!DY4*VLOOKUP('Données projet'!$B$14,Paramètres!$A$1:$I$88,3,0)*0.475*44/12</f>
        <v>0</v>
      </c>
      <c r="EC4" s="23">
        <f>EXP(-LN(2)/2)*EC3+(1-EXP(-LN(2)/2))/(LN(2)/2)*DW4*DZ4*VLOOKUP('Données projet'!$B$14,Paramètres!$A$1:$I$88,3,0)*0.475*44/12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61.893119055763151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projet'!$B$15,Paramètres!$A$1:$I$88,3,0)*0.475*44/12</f>
        <v>#N/A</v>
      </c>
      <c r="EW4" s="23" t="e">
        <f>EXP(-LN(2)/25)*EW3+(1-EXP(-LN(2)/25))/(LN(2)/25)*Calculateur!ER4*Calculateur!ET4*VLOOKUP('Données projet'!$B$15,Paramètres!$A$1:$I$88,3,0)*0.475*44/12</f>
        <v>#N/A</v>
      </c>
      <c r="EX4" s="23" t="e">
        <f>EXP(-LN(2)/2)*EX3+(1-EXP(-LN(2)/2))/(LN(2)/2)*ER4*EU4*VLOOKUP('Données projet'!$B$15,Paramètres!$A$1:$I$88,3,0)*0.475*44/12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61.893119055763151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projet'!$B$16,Paramètres!$A$1:$I$88,3,0)*0.475*44/12</f>
        <v>#N/A</v>
      </c>
      <c r="FR4" s="23" t="e">
        <f>EXP(-LN(2)/25)*FR3+(1-EXP(-LN(2)/25))/(LN(2)/25)*Calculateur!FM4*Calculateur!FO4*VLOOKUP('Données projet'!$B$16,Paramètres!$A$1:$I$88,3,0)*0.475*44/12</f>
        <v>#N/A</v>
      </c>
      <c r="FS4" s="23" t="e">
        <f>EXP(-LN(2)/2)*FS3+(1-EXP(-LN(2)/2))/(LN(2)/2)*FM4*FP4*VLOOKUP('Données projet'!$B$16,Paramètres!$A$1:$I$88,3,0)*0.475*44/12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61.893119055763151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projet'!$B$17,Paramètres!$A$1:$I$88,3,0)*0.475*44/12</f>
        <v>#N/A</v>
      </c>
      <c r="GM4" s="23" t="e">
        <f>EXP(-LN(2)/25)*GM3+(1-EXP(-LN(2)/25))/(LN(2)/25)*Calculateur!GH4*Calculateur!GJ4*VLOOKUP('Données projet'!$B$17,Paramètres!$A$1:$I$88,3,0)*0.475*44/12</f>
        <v>#N/A</v>
      </c>
      <c r="GN4" s="23" t="e">
        <f>EXP(-LN(2)/2)*GN3+(1-EXP(-LN(2)/2))/(LN(2)/2)*GH4*GK4*VLOOKUP('Données projet'!$B$17,Paramètres!$A$1:$I$88,3,0)*0.475*44/12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61.893119055763151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projet'!$B$18,Paramètres!$A$1:$I$88,3,0)*0.475*44/12</f>
        <v>#N/A</v>
      </c>
      <c r="HH4" s="23" t="e">
        <f>EXP(-LN(2)/25)*HH3+(1-EXP(-LN(2)/25))/(LN(2)/25)*Calculateur!HC4*Calculateur!HE4*VLOOKUP('Données projet'!$B$18,Paramètres!$A$1:$I$88,3,0)*0.475*44/12</f>
        <v>#N/A</v>
      </c>
      <c r="HI4" s="23" t="e">
        <f>EXP(-LN(2)/2)*HI3+(1-EXP(-LN(2)/2))/(LN(2)/2)*HC4*HF4*VLOOKUP('Données projet'!$B$18,Paramètres!$A$1:$I$88,3,0)*0.475*44/12</f>
        <v>#N/A</v>
      </c>
      <c r="HJ4" s="24" t="e">
        <f t="shared" ref="HJ4:HJ67" si="30">SUM(HG4:HI4)</f>
        <v>#N/A</v>
      </c>
    </row>
    <row r="5" spans="1:218" s="5" customFormat="1" x14ac:dyDescent="0.2">
      <c r="A5" s="11">
        <f t="shared" ref="A5:A68" si="31">A4+1</f>
        <v>2</v>
      </c>
      <c r="B5" s="77">
        <f>'Scénario référence'!$B$16*5+'Scénario référence'!$B$17*0+'Scénario référence'!$B$18*5</f>
        <v>1.6500000000000001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6.0500000000000007</v>
      </c>
      <c r="H5" s="70">
        <f t="shared" si="1"/>
        <v>232.4666666666667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62.033755315875084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8.6</v>
      </c>
      <c r="N5" s="14">
        <f>IF('Données projet'!$A$36&gt;35,N4+M5-V4,IF(A5&lt;'Données projet'!$A$36,$K$205^A5,IF(A5='Données projet'!$A$36,'Données projet'!$B$36,N4+M5-V4)))</f>
        <v>1.911665759265621</v>
      </c>
      <c r="O5" s="14">
        <f>N5*VLOOKUP('Données projet'!$B$9,Paramètres!$A$1:$I$88,3,0)*VLOOKUP('Données projet'!$B$9,Paramètres!$A$1:$I$88,5,0)</f>
        <v>1.1431761240408413</v>
      </c>
      <c r="P5" s="14">
        <f t="shared" ref="P5:P68" si="33">EXP(-1.0587+0.8836*LN(O5)+0.284)</f>
        <v>0.51868159790831159</v>
      </c>
      <c r="Q5" s="22">
        <f t="shared" si="2"/>
        <v>2.894402199061441</v>
      </c>
      <c r="R5" s="62">
        <f t="shared" si="0"/>
        <v>232.79594946838117</v>
      </c>
      <c r="S5" s="62">
        <f ca="1">AVERAGE(OFFSET($R$3,0,0,'Données projet'!$E$9+1,1))-AVERAGE(OFFSET($H$3,0,0,'Données projet'!$E$9+1,1))</f>
        <v>354.71367224254021</v>
      </c>
      <c r="T5" s="62">
        <f t="shared" ref="T5:T68" si="34">$T$3</f>
        <v>490.074370133397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62.033755315875084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5.5333333333333332</v>
      </c>
      <c r="AI5" s="14">
        <f>IF('Données projet'!$A$62&gt;35,AI4+AH5-AQ4,IF(A5&lt;'Données projet'!$A$62,$AF$205^A5,IF(A5='Données projet'!$A$62,'Données projet'!$B$62,AI4+AH5-AQ4)))</f>
        <v>1.802507493962044</v>
      </c>
      <c r="AJ5" s="14">
        <f>AI5*VLOOKUP('Données projet'!$B$10,Paramètres!$A$1:$I$88,3,0)*VLOOKUP('Données projet'!$B$10,Paramètres!$A$1:$I$88,5,0)</f>
        <v>1.0778994813893024</v>
      </c>
      <c r="AK5" s="14">
        <f t="shared" ref="AK5:AK68" si="35">EXP(-1.0587+0.8836*LN(AJ5)+0.284)</f>
        <v>0.49242287341097013</v>
      </c>
      <c r="AL5" s="22">
        <f t="shared" si="4"/>
        <v>2.7349781012771412</v>
      </c>
      <c r="AM5" s="62">
        <f t="shared" si="5"/>
        <v>232.63652537059687</v>
      </c>
      <c r="AN5" s="62">
        <f ca="1">AVERAGE(OFFSET($AM$3,0,0,'Données projet'!$E$10+1,1))-AVERAGE(OFFSET($H$3,0,0,'Données projet'!$E$10+1,1))</f>
        <v>264.73276096087574</v>
      </c>
      <c r="AO5" s="62">
        <f t="shared" ref="AO5:AO68" si="36">$AO$3</f>
        <v>381.84464918049662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projet'!$B$10,Paramètres!$A$1:$I$88,3,0)*0.475*44/12</f>
        <v>0</v>
      </c>
      <c r="AV5" s="23">
        <f>EXP(-LN(2)/25)*AV4+(1-EXP(-LN(2)/25))/(LN(2)/25)*Calculateur!AQ5*Calculateur!AS5*VLOOKUP('Données projet'!$B$10,Paramètres!$A$1:$I$88,3,0)*0.475*44/12</f>
        <v>0</v>
      </c>
      <c r="AW5" s="23">
        <f>EXP(-LN(2)/2)*AW4+(1-EXP(-LN(2)/2))/(LN(2)/2)*AQ5*AT5*VLOOKUP('Données projet'!$B$10,Paramètres!$A$1:$I$88,3,0)*0.475*44/12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62.033755315875084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2.1</v>
      </c>
      <c r="BD5" s="13">
        <f>IF('Données projet'!$A$88&gt;35,BD4+BC5-BL4,IF(A5&lt;'Données projet'!$A$88,$BA$205^A5,IF(A5='Données projet'!$A$88,'Données projet'!$B$88,BD4+BC5-BL4)))</f>
        <v>1.4531984602822681</v>
      </c>
      <c r="BE5" s="14">
        <f>BD5*VLOOKUP('Données projet'!$B$11,Paramètres!$A$1:$I$88,3,0)*VLOOKUP('Données projet'!$B$11,Paramètres!$A$1:$I$88,5,0)</f>
        <v>1.6549024065694471</v>
      </c>
      <c r="BF5" s="14">
        <f t="shared" ref="BF5:BF68" si="37">EXP(-1.0587+0.8836*LN(BE5)+0.284)</f>
        <v>0.71921601016174064</v>
      </c>
      <c r="BG5" s="22">
        <f t="shared" si="7"/>
        <v>4.134922909140152</v>
      </c>
      <c r="BH5" s="62">
        <f t="shared" si="8"/>
        <v>234.03647017845989</v>
      </c>
      <c r="BI5" s="62">
        <f ca="1">AVERAGE(OFFSET($BH$3,0,0,'Données projet'!$E$11+1,1))-AVERAGE(OFFSET($H$3,0,0,'Données projet'!$E$11+1,1))</f>
        <v>470.57532875732056</v>
      </c>
      <c r="BJ5" s="62">
        <f t="shared" ref="BJ5:BJ68" si="38">$BJ$3</f>
        <v>286.63787681165888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projet'!$B$11,Paramètres!$A$1:$I$88,3,0)*0.475*44/12</f>
        <v>0</v>
      </c>
      <c r="BQ5" s="23">
        <f>EXP(-LN(2)/25)*BQ4+(1-EXP(-LN(2)/25))/(LN(2)/25)*Calculateur!BL5*Calculateur!BN5*VLOOKUP('Données projet'!$B$11,Paramètres!$A$1:$I$88,3,0)*0.475*44/12</f>
        <v>0</v>
      </c>
      <c r="BR5" s="23">
        <f>EXP(-LN(2)/2)*BR4+(1-EXP(-LN(2)/2))/(LN(2)/2)*BL5*BO5*VLOOKUP('Données projet'!$B$11,Paramètres!$A$1:$I$88,3,0)*0.475*44/12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62.033755315875084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1.1000000000000001</v>
      </c>
      <c r="BY5" s="13">
        <f>IF('Données projet'!$A$114&gt;35,BY4+BX5-CG4,IF(A5&lt;'Données projet'!$A$114,$BV$205^A5,IF(A5='Données projet'!$A$114,'Données projet'!$B$114,BY4+BX5-CG4)))</f>
        <v>1.6153942662021783</v>
      </c>
      <c r="BZ5" s="14">
        <f>BY5*VLOOKUP('Données projet'!$B$12,Paramètres!$A$1:$I$88,3,0)*VLOOKUP('Données projet'!$B$12,Paramètres!$A$1:$I$88,5,0)</f>
        <v>1.0584063232156671</v>
      </c>
      <c r="CA5" s="14">
        <f t="shared" ref="CA5:CA68" si="39">EXP(-1.0587+0.8836*LN(BZ5)+0.284)</f>
        <v>0.48454592807852009</v>
      </c>
      <c r="CB5" s="22">
        <f t="shared" si="10"/>
        <v>2.6873085043373757</v>
      </c>
      <c r="CC5" s="62">
        <f t="shared" si="11"/>
        <v>232.58885577365712</v>
      </c>
      <c r="CD5" s="62">
        <f ca="1">AVERAGE(OFFSET($CC$3,0,0,'Données projet'!$E$12+1,1))-AVERAGE(OFFSET($H$3,0,0,'Données projet'!$E$12+1,1))</f>
        <v>305.38855494899906</v>
      </c>
      <c r="CE5" s="62">
        <f t="shared" ref="CE5:CE68" si="40">$CE$3</f>
        <v>298.48106301229177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projet'!$B$12,Paramètres!$A$1:$I$88,3,0)*0.475*44/12</f>
        <v>0</v>
      </c>
      <c r="CL5" s="23">
        <f>EXP(-LN(2)/25)*CL4+(1-EXP(-LN(2)/25))/(LN(2)/25)*Calculateur!CG5*Calculateur!CI5*VLOOKUP('Données projet'!$B$12,Paramètres!$A$1:$I$88,3,0)*0.475*44/12</f>
        <v>0</v>
      </c>
      <c r="CM5" s="23">
        <f>EXP(-LN(2)/2)*CM4+(1-EXP(-LN(2)/2))/(LN(2)/2)*CG5*CJ5*VLOOKUP('Données projet'!$B$12,Paramètres!$A$1:$I$88,3,0)*0.475*44/12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62.033755315875084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1.1000000000000001</v>
      </c>
      <c r="CT5" s="13">
        <f>IF('Données projet'!$A$140&gt;35,CT4+CS5-DB4,IF(A5&lt;'Données projet'!$A$140,$CQ$205^A5,IF(A5='Données projet'!$A$140,'Données projet'!$B$140,CT4+CS5-DB4)))</f>
        <v>1.6153942662021783</v>
      </c>
      <c r="CU5" s="18">
        <f>CT5*VLOOKUP('Données projet'!$B$13,Paramètres!$A$1:$I$88,3,0)*VLOOKUP('Données projet'!$B$13,Paramètres!$A$1:$I$88,5,0)</f>
        <v>1.2852076781904531</v>
      </c>
      <c r="CV5" s="14">
        <f t="shared" ref="CV5:CV68" si="41">EXP(-1.0587+0.8836*LN(CU5)+0.284)</f>
        <v>0.57522914588482876</v>
      </c>
      <c r="CW5" s="22">
        <f t="shared" si="13"/>
        <v>3.2402608019311159</v>
      </c>
      <c r="CX5" s="62">
        <f t="shared" si="14"/>
        <v>233.14180807125086</v>
      </c>
      <c r="CY5" s="62">
        <f ca="1">AVERAGE(OFFSET($CX$3,0,0,'Données projet'!$E$13+1,1))-AVERAGE(OFFSET($H$3,0,0,'Données projet'!$E$13+1,1))</f>
        <v>361.30066984973894</v>
      </c>
      <c r="CZ5" s="62">
        <f t="shared" ref="CZ5:CZ68" si="42">$CZ$3</f>
        <v>351.78053157121622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projet'!$B$13,Paramètres!$A$1:$I$88,3,0)*0.475*44/12</f>
        <v>0</v>
      </c>
      <c r="DG5" s="23">
        <f>EXP(-LN(2)/25)*DG4+(1-EXP(-LN(2)/25))/(LN(2)/25)*Calculateur!DB5*Calculateur!DD5*VLOOKUP('Données projet'!$B$13,Paramètres!$A$1:$I$88,3,0)*0.475*44/12</f>
        <v>0</v>
      </c>
      <c r="DH5" s="23">
        <f>EXP(-LN(2)/2)*DH4+(1-EXP(-LN(2)/2))/(LN(2)/2)*DB5*DE5*VLOOKUP('Données projet'!$B$13,Paramètres!$A$1:$I$88,3,0)*0.475*44/12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62.033755315875084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1.2</v>
      </c>
      <c r="DO5" s="13">
        <f>IF('Données projet'!$A$166&gt;35,DO4+DN5-DW4,IF(A5&lt;'Données projet'!$A$166,$DL$205^A5,IF(A5='Données projet'!$A$166,'Données projet'!$B$166,DO4+DN5-DW4)))</f>
        <v>2.0476725110792193</v>
      </c>
      <c r="DP5" s="18">
        <f>DO5*VLOOKUP('Données projet'!$B$14,Paramètres!$A$1:$I$88,3,0)*VLOOKUP('Données projet'!$B$14,Paramètres!$A$1:$I$88,5,0)</f>
        <v>1.0413643322344479</v>
      </c>
      <c r="DQ5" s="14">
        <f t="shared" ref="DQ5:DQ68" si="43">EXP(-1.0587+0.8836*LN(DP5)+0.284)</f>
        <v>0.4776456306706135</v>
      </c>
      <c r="DR5" s="22">
        <f t="shared" si="16"/>
        <v>2.645609018726315</v>
      </c>
      <c r="DS5" s="62">
        <f t="shared" si="17"/>
        <v>232.54715628804604</v>
      </c>
      <c r="DT5" s="62">
        <f ca="1">AVERAGE(OFFSET($DS$3,0,0,'Données projet'!$E$14+1,1))-AVERAGE(OFFSET($H$3,0,0,'Données projet'!$E$14+1,1))</f>
        <v>91.201152634762423</v>
      </c>
      <c r="DU5" s="62">
        <f t="shared" ref="DU5:DU68" si="44">$DU$3</f>
        <v>233.36981992862445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projet'!$B$14,Paramètres!$A$1:$I$88,3,0)*0.475*44/12</f>
        <v>0</v>
      </c>
      <c r="EB5" s="23">
        <f>EXP(-LN(2)/25)*EB4+(1-EXP(-LN(2)/25))/(LN(2)/25)*Calculateur!DW5*Calculateur!DY5*VLOOKUP('Données projet'!$B$14,Paramètres!$A$1:$I$88,3,0)*0.475*44/12</f>
        <v>0</v>
      </c>
      <c r="EC5" s="23">
        <f>EXP(-LN(2)/2)*EC4+(1-EXP(-LN(2)/2))/(LN(2)/2)*DW5*DZ5*VLOOKUP('Données projet'!$B$14,Paramètres!$A$1:$I$88,3,0)*0.475*44/12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62.033755315875084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projet'!$B$15,Paramètres!$A$1:$I$88,3,0)*0.475*44/12</f>
        <v>#N/A</v>
      </c>
      <c r="EW5" s="23" t="e">
        <f>EXP(-LN(2)/25)*EW4+(1-EXP(-LN(2)/25))/(LN(2)/25)*Calculateur!ER5*Calculateur!ET5*VLOOKUP('Données projet'!$B$15,Paramètres!$A$1:$I$88,3,0)*0.475*44/12</f>
        <v>#N/A</v>
      </c>
      <c r="EX5" s="23" t="e">
        <f>EXP(-LN(2)/2)*EX4+(1-EXP(-LN(2)/2))/(LN(2)/2)*ER5*EU5*VLOOKUP('Données projet'!$B$15,Paramètres!$A$1:$I$88,3,0)*0.475*44/12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62.033755315875084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projet'!$B$16,Paramètres!$A$1:$I$88,3,0)*0.475*44/12</f>
        <v>#N/A</v>
      </c>
      <c r="FR5" s="23" t="e">
        <f>EXP(-LN(2)/25)*FR4+(1-EXP(-LN(2)/25))/(LN(2)/25)*Calculateur!FM5*Calculateur!FO5*VLOOKUP('Données projet'!$B$16,Paramètres!$A$1:$I$88,3,0)*0.475*44/12</f>
        <v>#N/A</v>
      </c>
      <c r="FS5" s="23" t="e">
        <f>EXP(-LN(2)/2)*FS4+(1-EXP(-LN(2)/2))/(LN(2)/2)*FM5*FP5*VLOOKUP('Données projet'!$B$16,Paramètres!$A$1:$I$88,3,0)*0.475*44/12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62.033755315875084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projet'!$B$17,Paramètres!$A$1:$I$88,3,0)*0.475*44/12</f>
        <v>#N/A</v>
      </c>
      <c r="GM5" s="23" t="e">
        <f>EXP(-LN(2)/25)*GM4+(1-EXP(-LN(2)/25))/(LN(2)/25)*Calculateur!GH5*Calculateur!GJ5*VLOOKUP('Données projet'!$B$17,Paramètres!$A$1:$I$88,3,0)*0.475*44/12</f>
        <v>#N/A</v>
      </c>
      <c r="GN5" s="23" t="e">
        <f>EXP(-LN(2)/2)*GN4+(1-EXP(-LN(2)/2))/(LN(2)/2)*GH5*GK5*VLOOKUP('Données projet'!$B$17,Paramètres!$A$1:$I$88,3,0)*0.475*44/12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62.033755315875084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projet'!$B$18,Paramètres!$A$1:$I$88,3,0)*0.475*44/12</f>
        <v>#N/A</v>
      </c>
      <c r="HH5" s="23" t="e">
        <f>EXP(-LN(2)/25)*HH4+(1-EXP(-LN(2)/25))/(LN(2)/25)*Calculateur!HC5*Calculateur!HE5*VLOOKUP('Données projet'!$B$18,Paramètres!$A$1:$I$88,3,0)*0.475*44/12</f>
        <v>#N/A</v>
      </c>
      <c r="HI5" s="23" t="e">
        <f>EXP(-LN(2)/2)*HI4+(1-EXP(-LN(2)/2))/(LN(2)/2)*HC5*HF5*VLOOKUP('Données projet'!$B$18,Paramètres!$A$1:$I$88,3,0)*0.475*44/12</f>
        <v>#N/A</v>
      </c>
      <c r="HJ5" s="24" t="e">
        <f t="shared" si="30"/>
        <v>#N/A</v>
      </c>
    </row>
    <row r="6" spans="1:218" s="5" customFormat="1" x14ac:dyDescent="0.2">
      <c r="A6" s="11">
        <f t="shared" si="31"/>
        <v>3</v>
      </c>
      <c r="B6" s="77">
        <f>'Scénario référence'!$B$16*5+'Scénario référence'!$B$17*0+'Scénario référence'!$B$18*5</f>
        <v>1.6500000000000001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6.0500000000000007</v>
      </c>
      <c r="H6" s="70">
        <f t="shared" si="1"/>
        <v>232.4666666666667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62.171951851289649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8.6</v>
      </c>
      <c r="N6" s="14">
        <f>IF('Données projet'!$A$36&gt;35,N5+M6-V5,IF(A6&lt;'Données projet'!$A$36,$K$205^A6,IF(A6='Données projet'!$A$36,'Données projet'!$B$36,N5+M6-V5)))</f>
        <v>2.6431264580214155</v>
      </c>
      <c r="O6" s="14">
        <f>N6*VLOOKUP('Données projet'!$B$9,Paramètres!$A$1:$I$88,3,0)*VLOOKUP('Données projet'!$B$9,Paramètres!$A$1:$I$88,5,0)</f>
        <v>1.5805896218968065</v>
      </c>
      <c r="P6" s="14">
        <f t="shared" si="33"/>
        <v>0.69060329265550291</v>
      </c>
      <c r="Q6" s="22">
        <f t="shared" si="2"/>
        <v>3.9556609928452722</v>
      </c>
      <c r="R6" s="62">
        <f t="shared" si="0"/>
        <v>235.58615111424066</v>
      </c>
      <c r="S6" s="62">
        <f ca="1">AVERAGE(OFFSET($R$3,0,0,'Données projet'!$E$9+1,1))-AVERAGE(OFFSET($H$3,0,0,'Données projet'!$E$9+1,1))</f>
        <v>354.71367224254021</v>
      </c>
      <c r="T6" s="62">
        <f t="shared" si="34"/>
        <v>490.074370133397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62.171951851289649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5.5333333333333332</v>
      </c>
      <c r="AI6" s="14">
        <f>IF('Données projet'!$A$62&gt;35,AI5+AH6-AQ5,IF(A6&lt;'Données projet'!$A$62,$AF$205^A6,IF(A6='Données projet'!$A$62,'Données projet'!$B$62,AI5+AH6-AQ5)))</f>
        <v>2.4200014069659623</v>
      </c>
      <c r="AJ6" s="14">
        <f>AI6*VLOOKUP('Données projet'!$B$10,Paramètres!$A$1:$I$88,3,0)*VLOOKUP('Données projet'!$B$10,Paramètres!$A$1:$I$88,5,0)</f>
        <v>1.4471608413656456</v>
      </c>
      <c r="AK6" s="14">
        <f t="shared" si="35"/>
        <v>0.63882913028481747</v>
      </c>
      <c r="AL6" s="22">
        <f t="shared" si="4"/>
        <v>3.6330992006245562</v>
      </c>
      <c r="AM6" s="62">
        <f t="shared" si="5"/>
        <v>235.26358932201993</v>
      </c>
      <c r="AN6" s="62">
        <f ca="1">AVERAGE(OFFSET($AM$3,0,0,'Données projet'!$E$10+1,1))-AVERAGE(OFFSET($H$3,0,0,'Données projet'!$E$10+1,1))</f>
        <v>264.73276096087574</v>
      </c>
      <c r="AO6" s="62">
        <f t="shared" si="36"/>
        <v>381.84464918049662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projet'!$B$10,Paramètres!$A$1:$I$88,3,0)*0.475*44/12</f>
        <v>0</v>
      </c>
      <c r="AV6" s="23">
        <f>EXP(-LN(2)/25)*AV5+(1-EXP(-LN(2)/25))/(LN(2)/25)*Calculateur!AQ6*Calculateur!AS6*VLOOKUP('Données projet'!$B$10,Paramètres!$A$1:$I$88,3,0)*0.475*44/12</f>
        <v>0</v>
      </c>
      <c r="AW6" s="23">
        <f>EXP(-LN(2)/2)*AW5+(1-EXP(-LN(2)/2))/(LN(2)/2)*AQ6*AT6*VLOOKUP('Données projet'!$B$10,Paramètres!$A$1:$I$88,3,0)*0.475*44/12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62.171951851289649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2.1</v>
      </c>
      <c r="BD6" s="13">
        <f>IF('Données projet'!$A$88&gt;35,BD5+BC6-BL5,IF(A6&lt;'Données projet'!$A$88,$BA$205^A6,IF(A6='Données projet'!$A$88,'Données projet'!$B$88,BD5+BC6-BL5)))</f>
        <v>1.7518115829322798</v>
      </c>
      <c r="BE6" s="14">
        <f>BD6*VLOOKUP('Données projet'!$B$11,Paramètres!$A$1:$I$88,3,0)*VLOOKUP('Données projet'!$B$11,Paramètres!$A$1:$I$88,5,0)</f>
        <v>1.9949630306432804</v>
      </c>
      <c r="BF6" s="14">
        <f t="shared" si="37"/>
        <v>0.84834889818640413</v>
      </c>
      <c r="BG6" s="22">
        <f t="shared" si="7"/>
        <v>4.9521016093783672</v>
      </c>
      <c r="BH6" s="62">
        <f t="shared" si="8"/>
        <v>236.58259173077374</v>
      </c>
      <c r="BI6" s="62">
        <f ca="1">AVERAGE(OFFSET($BH$3,0,0,'Données projet'!$E$11+1,1))-AVERAGE(OFFSET($H$3,0,0,'Données projet'!$E$11+1,1))</f>
        <v>470.57532875732056</v>
      </c>
      <c r="BJ6" s="62">
        <f t="shared" si="38"/>
        <v>286.63787681165888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projet'!$B$11,Paramètres!$A$1:$I$88,3,0)*0.475*44/12</f>
        <v>0</v>
      </c>
      <c r="BQ6" s="23">
        <f>EXP(-LN(2)/25)*BQ5+(1-EXP(-LN(2)/25))/(LN(2)/25)*Calculateur!BL6*Calculateur!BN6*VLOOKUP('Données projet'!$B$11,Paramètres!$A$1:$I$88,3,0)*0.475*44/12</f>
        <v>0</v>
      </c>
      <c r="BR6" s="23">
        <f>EXP(-LN(2)/2)*BR5+(1-EXP(-LN(2)/2))/(LN(2)/2)*BL6*BO6*VLOOKUP('Données projet'!$B$11,Paramètres!$A$1:$I$88,3,0)*0.475*44/12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62.171951851289649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1.1000000000000001</v>
      </c>
      <c r="BY6" s="13">
        <f>IF('Données projet'!$A$114&gt;35,BY5+BX6-CG5,IF(A6&lt;'Données projet'!$A$114,$BV$205^A6,IF(A6='Données projet'!$A$114,'Données projet'!$B$114,BY5+BX6-CG5)))</f>
        <v>2.0531364136588448</v>
      </c>
      <c r="BZ6" s="14">
        <f>BY6*VLOOKUP('Données projet'!$B$12,Paramètres!$A$1:$I$88,3,0)*VLOOKUP('Données projet'!$B$12,Paramètres!$A$1:$I$88,5,0)</f>
        <v>1.3452149782292753</v>
      </c>
      <c r="CA6" s="14">
        <f t="shared" si="39"/>
        <v>0.59889737003693966</v>
      </c>
      <c r="CB6" s="22">
        <f t="shared" si="10"/>
        <v>3.3859956732303242</v>
      </c>
      <c r="CC6" s="62">
        <f t="shared" si="11"/>
        <v>235.01648579462571</v>
      </c>
      <c r="CD6" s="62">
        <f ca="1">AVERAGE(OFFSET($CC$3,0,0,'Données projet'!$E$12+1,1))-AVERAGE(OFFSET($H$3,0,0,'Données projet'!$E$12+1,1))</f>
        <v>305.38855494899906</v>
      </c>
      <c r="CE6" s="62">
        <f t="shared" si="40"/>
        <v>298.48106301229177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projet'!$B$12,Paramètres!$A$1:$I$88,3,0)*0.475*44/12</f>
        <v>0</v>
      </c>
      <c r="CL6" s="23">
        <f>EXP(-LN(2)/25)*CL5+(1-EXP(-LN(2)/25))/(LN(2)/25)*Calculateur!CG6*Calculateur!CI6*VLOOKUP('Données projet'!$B$12,Paramètres!$A$1:$I$88,3,0)*0.475*44/12</f>
        <v>0</v>
      </c>
      <c r="CM6" s="23">
        <f>EXP(-LN(2)/2)*CM5+(1-EXP(-LN(2)/2))/(LN(2)/2)*CG6*CJ6*VLOOKUP('Données projet'!$B$12,Paramètres!$A$1:$I$88,3,0)*0.475*44/12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62.171951851289649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1.1000000000000001</v>
      </c>
      <c r="CT6" s="13">
        <f>IF('Données projet'!$A$140&gt;35,CT5+CS6-DB5,IF(A6&lt;'Données projet'!$A$140,$CQ$205^A6,IF(A6='Données projet'!$A$140,'Données projet'!$B$140,CT5+CS6-DB5)))</f>
        <v>2.0531364136588448</v>
      </c>
      <c r="CU6" s="18">
        <f>CT6*VLOOKUP('Données projet'!$B$13,Paramètres!$A$1:$I$88,3,0)*VLOOKUP('Données projet'!$B$13,Paramètres!$A$1:$I$88,5,0)</f>
        <v>1.6334753307069771</v>
      </c>
      <c r="CV6" s="14">
        <f t="shared" si="41"/>
        <v>0.71098156578295024</v>
      </c>
      <c r="CW6" s="22">
        <f t="shared" si="13"/>
        <v>4.0832624280532892</v>
      </c>
      <c r="CX6" s="62">
        <f t="shared" si="14"/>
        <v>235.71375254944869</v>
      </c>
      <c r="CY6" s="62">
        <f ca="1">AVERAGE(OFFSET($CX$3,0,0,'Données projet'!$E$13+1,1))-AVERAGE(OFFSET($H$3,0,0,'Données projet'!$E$13+1,1))</f>
        <v>361.30066984973894</v>
      </c>
      <c r="CZ6" s="62">
        <f t="shared" si="42"/>
        <v>351.78053157121622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projet'!$B$13,Paramètres!$A$1:$I$88,3,0)*0.475*44/12</f>
        <v>0</v>
      </c>
      <c r="DG6" s="23">
        <f>EXP(-LN(2)/25)*DG5+(1-EXP(-LN(2)/25))/(LN(2)/25)*Calculateur!DB6*Calculateur!DD6*VLOOKUP('Données projet'!$B$13,Paramètres!$A$1:$I$88,3,0)*0.475*44/12</f>
        <v>0</v>
      </c>
      <c r="DH6" s="23">
        <f>EXP(-LN(2)/2)*DH5+(1-EXP(-LN(2)/2))/(LN(2)/2)*DB6*DE6*VLOOKUP('Données projet'!$B$13,Paramètres!$A$1:$I$88,3,0)*0.475*44/12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62.171951851289649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1.2</v>
      </c>
      <c r="DO6" s="13">
        <f>IF('Données projet'!$A$166&gt;35,DO5+DN6-DW5,IF(A6&lt;'Données projet'!$A$166,$DL$205^A6,IF(A6='Données projet'!$A$166,'Données projet'!$B$166,DO5+DN6-DW5)))</f>
        <v>2.9301560515835217</v>
      </c>
      <c r="DP6" s="18">
        <f>DO6*VLOOKUP('Données projet'!$B$14,Paramètres!$A$1:$I$88,3,0)*VLOOKUP('Données projet'!$B$14,Paramètres!$A$1:$I$88,5,0)</f>
        <v>1.4901601615933158</v>
      </c>
      <c r="DQ6" s="14">
        <f t="shared" si="43"/>
        <v>0.65557245597209579</v>
      </c>
      <c r="DR6" s="22">
        <f t="shared" si="16"/>
        <v>3.737150975593091</v>
      </c>
      <c r="DS6" s="62">
        <f t="shared" si="17"/>
        <v>235.36764109698848</v>
      </c>
      <c r="DT6" s="62">
        <f ca="1">AVERAGE(OFFSET($DS$3,0,0,'Données projet'!$E$14+1,1))-AVERAGE(OFFSET($H$3,0,0,'Données projet'!$E$14+1,1))</f>
        <v>91.201152634762423</v>
      </c>
      <c r="DU6" s="62">
        <f t="shared" si="44"/>
        <v>233.36981992862445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projet'!$B$14,Paramètres!$A$1:$I$88,3,0)*0.475*44/12</f>
        <v>0</v>
      </c>
      <c r="EB6" s="23">
        <f>EXP(-LN(2)/25)*EB5+(1-EXP(-LN(2)/25))/(LN(2)/25)*Calculateur!DW6*Calculateur!DY6*VLOOKUP('Données projet'!$B$14,Paramètres!$A$1:$I$88,3,0)*0.475*44/12</f>
        <v>0</v>
      </c>
      <c r="EC6" s="23">
        <f>EXP(-LN(2)/2)*EC5+(1-EXP(-LN(2)/2))/(LN(2)/2)*DW6*DZ6*VLOOKUP('Données projet'!$B$14,Paramètres!$A$1:$I$88,3,0)*0.475*44/12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62.171951851289649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projet'!$B$15,Paramètres!$A$1:$I$88,3,0)*0.475*44/12</f>
        <v>#N/A</v>
      </c>
      <c r="EW6" s="23" t="e">
        <f>EXP(-LN(2)/25)*EW5+(1-EXP(-LN(2)/25))/(LN(2)/25)*Calculateur!ER6*Calculateur!ET6*VLOOKUP('Données projet'!$B$15,Paramètres!$A$1:$I$88,3,0)*0.475*44/12</f>
        <v>#N/A</v>
      </c>
      <c r="EX6" s="23" t="e">
        <f>EXP(-LN(2)/2)*EX5+(1-EXP(-LN(2)/2))/(LN(2)/2)*ER6*EU6*VLOOKUP('Données projet'!$B$15,Paramètres!$A$1:$I$88,3,0)*0.475*44/12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62.171951851289649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projet'!$B$16,Paramètres!$A$1:$I$88,3,0)*0.475*44/12</f>
        <v>#N/A</v>
      </c>
      <c r="FR6" s="23" t="e">
        <f>EXP(-LN(2)/25)*FR5+(1-EXP(-LN(2)/25))/(LN(2)/25)*Calculateur!FM6*Calculateur!FO6*VLOOKUP('Données projet'!$B$16,Paramètres!$A$1:$I$88,3,0)*0.475*44/12</f>
        <v>#N/A</v>
      </c>
      <c r="FS6" s="23" t="e">
        <f>EXP(-LN(2)/2)*FS5+(1-EXP(-LN(2)/2))/(LN(2)/2)*FM6*FP6*VLOOKUP('Données projet'!$B$16,Paramètres!$A$1:$I$88,3,0)*0.475*44/12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62.171951851289649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projet'!$B$17,Paramètres!$A$1:$I$88,3,0)*0.475*44/12</f>
        <v>#N/A</v>
      </c>
      <c r="GM6" s="23" t="e">
        <f>EXP(-LN(2)/25)*GM5+(1-EXP(-LN(2)/25))/(LN(2)/25)*Calculateur!GH6*Calculateur!GJ6*VLOOKUP('Données projet'!$B$17,Paramètres!$A$1:$I$88,3,0)*0.475*44/12</f>
        <v>#N/A</v>
      </c>
      <c r="GN6" s="23" t="e">
        <f>EXP(-LN(2)/2)*GN5+(1-EXP(-LN(2)/2))/(LN(2)/2)*GH6*GK6*VLOOKUP('Données projet'!$B$17,Paramètres!$A$1:$I$88,3,0)*0.475*44/12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62.171951851289649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projet'!$B$18,Paramètres!$A$1:$I$88,3,0)*0.475*44/12</f>
        <v>#N/A</v>
      </c>
      <c r="HH6" s="23" t="e">
        <f>EXP(-LN(2)/25)*HH5+(1-EXP(-LN(2)/25))/(LN(2)/25)*Calculateur!HC6*Calculateur!HE6*VLOOKUP('Données projet'!$B$18,Paramètres!$A$1:$I$88,3,0)*0.475*44/12</f>
        <v>#N/A</v>
      </c>
      <c r="HI6" s="23" t="e">
        <f>EXP(-LN(2)/2)*HI5+(1-EXP(-LN(2)/2))/(LN(2)/2)*HC6*HF6*VLOOKUP('Données projet'!$B$18,Paramètres!$A$1:$I$88,3,0)*0.475*44/12</f>
        <v>#N/A</v>
      </c>
      <c r="HJ6" s="24" t="e">
        <f t="shared" si="30"/>
        <v>#N/A</v>
      </c>
    </row>
    <row r="7" spans="1:218" s="5" customFormat="1" x14ac:dyDescent="0.2">
      <c r="A7" s="11">
        <f t="shared" si="31"/>
        <v>4</v>
      </c>
      <c r="B7" s="77">
        <f>'Scénario référence'!$B$16*5+'Scénario référence'!$B$17*0+'Scénario référence'!$B$18*5</f>
        <v>1.6500000000000001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6.0500000000000007</v>
      </c>
      <c r="H7" s="70">
        <f t="shared" si="1"/>
        <v>232.4666666666667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62.307750985775932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8.6</v>
      </c>
      <c r="N7" s="14">
        <f>IF('Données projet'!$A$36&gt;35,N6+M7-V6,IF(A7&lt;'Données projet'!$A$36,$K$205^A7,IF(A7='Données projet'!$A$36,'Données projet'!$B$36,N6+M7-V6)))</f>
        <v>3.6544659751486033</v>
      </c>
      <c r="O7" s="14">
        <f>N7*VLOOKUP('Données projet'!$B$9,Paramètres!$A$1:$I$88,3,0)*VLOOKUP('Données projet'!$B$9,Paramètres!$A$1:$I$88,5,0)</f>
        <v>2.185370653138865</v>
      </c>
      <c r="P7" s="14">
        <f t="shared" si="33"/>
        <v>0.9195099840633455</v>
      </c>
      <c r="Q7" s="22">
        <f t="shared" si="2"/>
        <v>5.4076671097938496</v>
      </c>
      <c r="R7" s="62">
        <f t="shared" si="0"/>
        <v>238.75830961319451</v>
      </c>
      <c r="S7" s="62">
        <f ca="1">AVERAGE(OFFSET($R$3,0,0,'Données projet'!$E$9+1,1))-AVERAGE(OFFSET($H$3,0,0,'Données projet'!$E$9+1,1))</f>
        <v>354.71367224254021</v>
      </c>
      <c r="T7" s="62">
        <f t="shared" si="34"/>
        <v>490.074370133397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62.307750985775932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5.5333333333333332</v>
      </c>
      <c r="AI7" s="14">
        <f>IF('Données projet'!$A$62&gt;35,AI6+AH7-AQ6,IF(A7&lt;'Données projet'!$A$62,$AF$205^A7,IF(A7='Données projet'!$A$62,'Données projet'!$B$62,AI6+AH7-AQ6)))</f>
        <v>3.2490332657893282</v>
      </c>
      <c r="AJ7" s="14">
        <f>AI7*VLOOKUP('Données projet'!$B$10,Paramètres!$A$1:$I$88,3,0)*VLOOKUP('Données projet'!$B$10,Paramètres!$A$1:$I$88,5,0)</f>
        <v>1.9429218929420184</v>
      </c>
      <c r="AK7" s="14">
        <f t="shared" si="35"/>
        <v>0.82876462434322928</v>
      </c>
      <c r="AL7" s="22">
        <f t="shared" si="4"/>
        <v>4.8273540176051393</v>
      </c>
      <c r="AM7" s="62">
        <f t="shared" si="5"/>
        <v>238.17799652100578</v>
      </c>
      <c r="AN7" s="62">
        <f ca="1">AVERAGE(OFFSET($AM$3,0,0,'Données projet'!$E$10+1,1))-AVERAGE(OFFSET($H$3,0,0,'Données projet'!$E$10+1,1))</f>
        <v>264.73276096087574</v>
      </c>
      <c r="AO7" s="62">
        <f t="shared" si="36"/>
        <v>381.84464918049662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projet'!$B$10,Paramètres!$A$1:$I$88,3,0)*0.475*44/12</f>
        <v>0</v>
      </c>
      <c r="AV7" s="23">
        <f>EXP(-LN(2)/25)*AV6+(1-EXP(-LN(2)/25))/(LN(2)/25)*Calculateur!AQ7*Calculateur!AS7*VLOOKUP('Données projet'!$B$10,Paramètres!$A$1:$I$88,3,0)*0.475*44/12</f>
        <v>0</v>
      </c>
      <c r="AW7" s="23">
        <f>EXP(-LN(2)/2)*AW6+(1-EXP(-LN(2)/2))/(LN(2)/2)*AQ7*AT7*VLOOKUP('Données projet'!$B$10,Paramètres!$A$1:$I$88,3,0)*0.475*44/12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62.307750985775932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2.1</v>
      </c>
      <c r="BD7" s="13">
        <f>IF('Données projet'!$A$88&gt;35,BD6+BC7-BL6,IF(A7&lt;'Données projet'!$A$88,$BA$205^A7,IF(A7='Données projet'!$A$88,'Données projet'!$B$88,BD6+BC7-BL6)))</f>
        <v>2.1117857649667546</v>
      </c>
      <c r="BE7" s="14">
        <f>BD7*VLOOKUP('Données projet'!$B$11,Paramètres!$A$1:$I$88,3,0)*VLOOKUP('Données projet'!$B$11,Paramètres!$A$1:$I$88,5,0)</f>
        <v>2.4049016291441401</v>
      </c>
      <c r="BF7" s="14">
        <f t="shared" si="37"/>
        <v>1.0006671749315441</v>
      </c>
      <c r="BG7" s="22">
        <f t="shared" si="7"/>
        <v>5.9313656670984827</v>
      </c>
      <c r="BH7" s="62">
        <f t="shared" si="8"/>
        <v>239.28200817049913</v>
      </c>
      <c r="BI7" s="62">
        <f ca="1">AVERAGE(OFFSET($BH$3,0,0,'Données projet'!$E$11+1,1))-AVERAGE(OFFSET($H$3,0,0,'Données projet'!$E$11+1,1))</f>
        <v>470.57532875732056</v>
      </c>
      <c r="BJ7" s="62">
        <f t="shared" si="38"/>
        <v>286.63787681165888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projet'!$B$11,Paramètres!$A$1:$I$88,3,0)*0.475*44/12</f>
        <v>0</v>
      </c>
      <c r="BQ7" s="23">
        <f>EXP(-LN(2)/25)*BQ6+(1-EXP(-LN(2)/25))/(LN(2)/25)*Calculateur!BL7*Calculateur!BN7*VLOOKUP('Données projet'!$B$11,Paramètres!$A$1:$I$88,3,0)*0.475*44/12</f>
        <v>0</v>
      </c>
      <c r="BR7" s="23">
        <f>EXP(-LN(2)/2)*BR6+(1-EXP(-LN(2)/2))/(LN(2)/2)*BL7*BO7*VLOOKUP('Données projet'!$B$11,Paramètres!$A$1:$I$88,3,0)*0.475*44/12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62.307750985775932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1.1000000000000001</v>
      </c>
      <c r="BY7" s="13">
        <f>IF('Données projet'!$A$114&gt;35,BY6+BX7-CG6,IF(A7&lt;'Données projet'!$A$114,$BV$205^A7,IF(A7='Données projet'!$A$114,'Données projet'!$B$114,BY6+BX7-CG6)))</f>
        <v>2.6094986352788743</v>
      </c>
      <c r="BZ7" s="14">
        <f>BY7*VLOOKUP('Données projet'!$B$12,Paramètres!$A$1:$I$88,3,0)*VLOOKUP('Données projet'!$B$12,Paramètres!$A$1:$I$88,5,0)</f>
        <v>1.7097435058347183</v>
      </c>
      <c r="CA7" s="14">
        <f t="shared" si="39"/>
        <v>0.74023542259349984</v>
      </c>
      <c r="CB7" s="22">
        <f t="shared" si="10"/>
        <v>4.2670466336791462</v>
      </c>
      <c r="CC7" s="62">
        <f t="shared" si="11"/>
        <v>237.61768913707979</v>
      </c>
      <c r="CD7" s="62">
        <f ca="1">AVERAGE(OFFSET($CC$3,0,0,'Données projet'!$E$12+1,1))-AVERAGE(OFFSET($H$3,0,0,'Données projet'!$E$12+1,1))</f>
        <v>305.38855494899906</v>
      </c>
      <c r="CE7" s="62">
        <f t="shared" si="40"/>
        <v>298.48106301229177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projet'!$B$12,Paramètres!$A$1:$I$88,3,0)*0.475*44/12</f>
        <v>0</v>
      </c>
      <c r="CL7" s="23">
        <f>EXP(-LN(2)/25)*CL6+(1-EXP(-LN(2)/25))/(LN(2)/25)*Calculateur!CG7*Calculateur!CI7*VLOOKUP('Données projet'!$B$12,Paramètres!$A$1:$I$88,3,0)*0.475*44/12</f>
        <v>0</v>
      </c>
      <c r="CM7" s="23">
        <f>EXP(-LN(2)/2)*CM6+(1-EXP(-LN(2)/2))/(LN(2)/2)*CG7*CJ7*VLOOKUP('Données projet'!$B$12,Paramètres!$A$1:$I$88,3,0)*0.475*44/12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62.307750985775932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1.1000000000000001</v>
      </c>
      <c r="CT7" s="13">
        <f>IF('Données projet'!$A$140&gt;35,CT6+CS7-DB6,IF(A7&lt;'Données projet'!$A$140,$CQ$205^A7,IF(A7='Données projet'!$A$140,'Données projet'!$B$140,CT6+CS7-DB6)))</f>
        <v>2.6094986352788743</v>
      </c>
      <c r="CU7" s="18">
        <f>CT7*VLOOKUP('Données projet'!$B$13,Paramètres!$A$1:$I$88,3,0)*VLOOKUP('Données projet'!$B$13,Paramètres!$A$1:$I$88,5,0)</f>
        <v>2.0761171142278725</v>
      </c>
      <c r="CV7" s="14">
        <f t="shared" si="41"/>
        <v>0.87877116536856548</v>
      </c>
      <c r="CW7" s="22">
        <f t="shared" si="13"/>
        <v>5.14643042029713</v>
      </c>
      <c r="CX7" s="62">
        <f t="shared" si="14"/>
        <v>238.49707292369777</v>
      </c>
      <c r="CY7" s="62">
        <f ca="1">AVERAGE(OFFSET($CX$3,0,0,'Données projet'!$E$13+1,1))-AVERAGE(OFFSET($H$3,0,0,'Données projet'!$E$13+1,1))</f>
        <v>361.30066984973894</v>
      </c>
      <c r="CZ7" s="62">
        <f t="shared" si="42"/>
        <v>351.78053157121622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projet'!$B$13,Paramètres!$A$1:$I$88,3,0)*0.475*44/12</f>
        <v>0</v>
      </c>
      <c r="DG7" s="23">
        <f>EXP(-LN(2)/25)*DG6+(1-EXP(-LN(2)/25))/(LN(2)/25)*Calculateur!DB7*Calculateur!DD7*VLOOKUP('Données projet'!$B$13,Paramètres!$A$1:$I$88,3,0)*0.475*44/12</f>
        <v>0</v>
      </c>
      <c r="DH7" s="23">
        <f>EXP(-LN(2)/2)*DH6+(1-EXP(-LN(2)/2))/(LN(2)/2)*DB7*DE7*VLOOKUP('Données projet'!$B$13,Paramètres!$A$1:$I$88,3,0)*0.475*44/12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62.307750985775932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1.2</v>
      </c>
      <c r="DO7" s="13">
        <f>IF('Données projet'!$A$166&gt;35,DO6+DN7-DW6,IF(A7&lt;'Données projet'!$A$166,$DL$205^A7,IF(A7='Données projet'!$A$166,'Données projet'!$B$166,DO6+DN7-DW6)))</f>
        <v>4.192962712629476</v>
      </c>
      <c r="DP7" s="18">
        <f>DO7*VLOOKUP('Données projet'!$B$14,Paramètres!$A$1:$I$88,3,0)*VLOOKUP('Données projet'!$B$14,Paramètres!$A$1:$I$88,5,0)</f>
        <v>2.1323731171348466</v>
      </c>
      <c r="DQ7" s="14">
        <f t="shared" si="43"/>
        <v>0.89977844961312048</v>
      </c>
      <c r="DR7" s="22">
        <f t="shared" si="16"/>
        <v>5.2809973120860425</v>
      </c>
      <c r="DS7" s="62">
        <f t="shared" si="17"/>
        <v>238.63163981548669</v>
      </c>
      <c r="DT7" s="62">
        <f ca="1">AVERAGE(OFFSET($DS$3,0,0,'Données projet'!$E$14+1,1))-AVERAGE(OFFSET($H$3,0,0,'Données projet'!$E$14+1,1))</f>
        <v>91.201152634762423</v>
      </c>
      <c r="DU7" s="62">
        <f t="shared" si="44"/>
        <v>233.36981992862445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projet'!$B$14,Paramètres!$A$1:$I$88,3,0)*0.475*44/12</f>
        <v>0</v>
      </c>
      <c r="EB7" s="23">
        <f>EXP(-LN(2)/25)*EB6+(1-EXP(-LN(2)/25))/(LN(2)/25)*Calculateur!DW7*Calculateur!DY7*VLOOKUP('Données projet'!$B$14,Paramètres!$A$1:$I$88,3,0)*0.475*44/12</f>
        <v>0</v>
      </c>
      <c r="EC7" s="23">
        <f>EXP(-LN(2)/2)*EC6+(1-EXP(-LN(2)/2))/(LN(2)/2)*DW7*DZ7*VLOOKUP('Données projet'!$B$14,Paramètres!$A$1:$I$88,3,0)*0.475*44/12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62.307750985775932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projet'!$B$15,Paramètres!$A$1:$I$88,3,0)*0.475*44/12</f>
        <v>#N/A</v>
      </c>
      <c r="EW7" s="23" t="e">
        <f>EXP(-LN(2)/25)*EW6+(1-EXP(-LN(2)/25))/(LN(2)/25)*Calculateur!ER7*Calculateur!ET7*VLOOKUP('Données projet'!$B$15,Paramètres!$A$1:$I$88,3,0)*0.475*44/12</f>
        <v>#N/A</v>
      </c>
      <c r="EX7" s="23" t="e">
        <f>EXP(-LN(2)/2)*EX6+(1-EXP(-LN(2)/2))/(LN(2)/2)*ER7*EU7*VLOOKUP('Données projet'!$B$15,Paramètres!$A$1:$I$88,3,0)*0.475*44/12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62.307750985775932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projet'!$B$16,Paramètres!$A$1:$I$88,3,0)*0.475*44/12</f>
        <v>#N/A</v>
      </c>
      <c r="FR7" s="23" t="e">
        <f>EXP(-LN(2)/25)*FR6+(1-EXP(-LN(2)/25))/(LN(2)/25)*Calculateur!FM7*Calculateur!FO7*VLOOKUP('Données projet'!$B$16,Paramètres!$A$1:$I$88,3,0)*0.475*44/12</f>
        <v>#N/A</v>
      </c>
      <c r="FS7" s="23" t="e">
        <f>EXP(-LN(2)/2)*FS6+(1-EXP(-LN(2)/2))/(LN(2)/2)*FM7*FP7*VLOOKUP('Données projet'!$B$16,Paramètres!$A$1:$I$88,3,0)*0.475*44/12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62.307750985775932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projet'!$B$17,Paramètres!$A$1:$I$88,3,0)*0.475*44/12</f>
        <v>#N/A</v>
      </c>
      <c r="GM7" s="23" t="e">
        <f>EXP(-LN(2)/25)*GM6+(1-EXP(-LN(2)/25))/(LN(2)/25)*Calculateur!GH7*Calculateur!GJ7*VLOOKUP('Données projet'!$B$17,Paramètres!$A$1:$I$88,3,0)*0.475*44/12</f>
        <v>#N/A</v>
      </c>
      <c r="GN7" s="23" t="e">
        <f>EXP(-LN(2)/2)*GN6+(1-EXP(-LN(2)/2))/(LN(2)/2)*GH7*GK7*VLOOKUP('Données projet'!$B$17,Paramètres!$A$1:$I$88,3,0)*0.475*44/12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62.307750985775932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projet'!$B$18,Paramètres!$A$1:$I$88,3,0)*0.475*44/12</f>
        <v>#N/A</v>
      </c>
      <c r="HH7" s="23" t="e">
        <f>EXP(-LN(2)/25)*HH6+(1-EXP(-LN(2)/25))/(LN(2)/25)*Calculateur!HC7*Calculateur!HE7*VLOOKUP('Données projet'!$B$18,Paramètres!$A$1:$I$88,3,0)*0.475*44/12</f>
        <v>#N/A</v>
      </c>
      <c r="HI7" s="23" t="e">
        <f>EXP(-LN(2)/2)*HI6+(1-EXP(-LN(2)/2))/(LN(2)/2)*HC7*HF7*VLOOKUP('Données projet'!$B$18,Paramètres!$A$1:$I$88,3,0)*0.475*44/12</f>
        <v>#N/A</v>
      </c>
      <c r="HJ7" s="24" t="e">
        <f t="shared" si="30"/>
        <v>#N/A</v>
      </c>
    </row>
    <row r="8" spans="1:218" s="5" customFormat="1" x14ac:dyDescent="0.2">
      <c r="A8" s="11">
        <f t="shared" si="31"/>
        <v>5</v>
      </c>
      <c r="B8" s="77">
        <f>'Scénario référence'!$B$16*5+'Scénario référence'!$B$17*0+'Scénario référence'!$B$18*5</f>
        <v>1.6500000000000001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6.0500000000000007</v>
      </c>
      <c r="H8" s="70">
        <f t="shared" si="1"/>
        <v>232.4666666666667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62.44119430888027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8.6</v>
      </c>
      <c r="N8" s="14">
        <f>IF('Données projet'!$A$36&gt;35,N7+M8-V7,IF(A8&lt;'Données projet'!$A$36,$K$205^A8,IF(A8='Données projet'!$A$36,'Données projet'!$B$36,N7+M8-V7)))</f>
        <v>5.0527743472085609</v>
      </c>
      <c r="O8" s="14">
        <f>N8*VLOOKUP('Données projet'!$B$9,Paramètres!$A$1:$I$88,3,0)*VLOOKUP('Données projet'!$B$9,Paramètres!$A$1:$I$88,5,0)</f>
        <v>3.0215590596307198</v>
      </c>
      <c r="P8" s="14">
        <f t="shared" si="33"/>
        <v>1.2242898633469712</v>
      </c>
      <c r="Q8" s="22">
        <f t="shared" si="2"/>
        <v>7.3948535408528118</v>
      </c>
      <c r="R8" s="62">
        <f t="shared" si="0"/>
        <v>242.45701045119159</v>
      </c>
      <c r="S8" s="62">
        <f ca="1">AVERAGE(OFFSET($R$3,0,0,'Données projet'!$E$9+1,1))-AVERAGE(OFFSET($H$3,0,0,'Données projet'!$E$9+1,1))</f>
        <v>354.71367224254021</v>
      </c>
      <c r="T8" s="62">
        <f t="shared" si="34"/>
        <v>490.074370133397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62.44119430888027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5.5333333333333332</v>
      </c>
      <c r="AI8" s="14">
        <f>IF('Données projet'!$A$62&gt;35,AI7+AH8-AQ7,IF(A8&lt;'Données projet'!$A$62,$AF$205^A8,IF(A8='Données projet'!$A$62,'Données projet'!$B$62,AI7+AH8-AQ7)))</f>
        <v>4.3620706714548376</v>
      </c>
      <c r="AJ8" s="14">
        <f>AI8*VLOOKUP('Données projet'!$B$10,Paramètres!$A$1:$I$88,3,0)*VLOOKUP('Données projet'!$B$10,Paramètres!$A$1:$I$88,5,0)</f>
        <v>2.6085182615299933</v>
      </c>
      <c r="AK8" s="14">
        <f t="shared" si="35"/>
        <v>1.0751713877802449</v>
      </c>
      <c r="AL8" s="22">
        <f t="shared" si="4"/>
        <v>6.4157594725486646</v>
      </c>
      <c r="AM8" s="62">
        <f t="shared" si="5"/>
        <v>241.47791638288746</v>
      </c>
      <c r="AN8" s="62">
        <f ca="1">AVERAGE(OFFSET($AM$3,0,0,'Données projet'!$E$10+1,1))-AVERAGE(OFFSET($H$3,0,0,'Données projet'!$E$10+1,1))</f>
        <v>264.73276096087574</v>
      </c>
      <c r="AO8" s="62">
        <f t="shared" si="36"/>
        <v>381.84464918049662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projet'!$B$10,Paramètres!$A$1:$I$88,3,0)*0.475*44/12</f>
        <v>0</v>
      </c>
      <c r="AV8" s="23">
        <f>EXP(-LN(2)/25)*AV7+(1-EXP(-LN(2)/25))/(LN(2)/25)*Calculateur!AQ8*Calculateur!AS8*VLOOKUP('Données projet'!$B$10,Paramètres!$A$1:$I$88,3,0)*0.475*44/12</f>
        <v>0</v>
      </c>
      <c r="AW8" s="23">
        <f>EXP(-LN(2)/2)*AW7+(1-EXP(-LN(2)/2))/(LN(2)/2)*AQ8*AT8*VLOOKUP('Données projet'!$B$10,Paramètres!$A$1:$I$88,3,0)*0.475*44/12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62.44119430888027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2.1</v>
      </c>
      <c r="BD8" s="13">
        <f>IF('Données projet'!$A$88&gt;35,BD7+BC8-BL7,IF(A8&lt;'Données projet'!$A$88,$BA$205^A8,IF(A8='Données projet'!$A$88,'Données projet'!$B$88,BD7+BC8-BL7)))</f>
        <v>2.5457298950218314</v>
      </c>
      <c r="BE8" s="14">
        <f>BD8*VLOOKUP('Données projet'!$B$11,Paramètres!$A$1:$I$88,3,0)*VLOOKUP('Données projet'!$B$11,Paramètres!$A$1:$I$88,5,0)</f>
        <v>2.8990772044508617</v>
      </c>
      <c r="BF8" s="14">
        <f t="shared" si="37"/>
        <v>1.1803337012945099</v>
      </c>
      <c r="BG8" s="22">
        <f t="shared" si="7"/>
        <v>7.1049739941731884</v>
      </c>
      <c r="BH8" s="62">
        <f t="shared" si="8"/>
        <v>242.16713090451196</v>
      </c>
      <c r="BI8" s="62">
        <f ca="1">AVERAGE(OFFSET($BH$3,0,0,'Données projet'!$E$11+1,1))-AVERAGE(OFFSET($H$3,0,0,'Données projet'!$E$11+1,1))</f>
        <v>470.57532875732056</v>
      </c>
      <c r="BJ8" s="62">
        <f t="shared" si="38"/>
        <v>286.63787681165888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projet'!$B$11,Paramètres!$A$1:$I$88,3,0)*0.475*44/12</f>
        <v>0</v>
      </c>
      <c r="BQ8" s="23">
        <f>EXP(-LN(2)/25)*BQ7+(1-EXP(-LN(2)/25))/(LN(2)/25)*Calculateur!BL8*Calculateur!BN8*VLOOKUP('Données projet'!$B$11,Paramètres!$A$1:$I$88,3,0)*0.475*44/12</f>
        <v>0</v>
      </c>
      <c r="BR8" s="23">
        <f>EXP(-LN(2)/2)*BR7+(1-EXP(-LN(2)/2))/(LN(2)/2)*BL8*BO8*VLOOKUP('Données projet'!$B$11,Paramètres!$A$1:$I$88,3,0)*0.475*44/12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62.44119430888027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1.1000000000000001</v>
      </c>
      <c r="BY8" s="13">
        <f>IF('Données projet'!$A$114&gt;35,BY7+BX8-CG7,IF(A8&lt;'Données projet'!$A$114,$BV$205^A8,IF(A8='Données projet'!$A$114,'Données projet'!$B$114,BY7+BX8-CG7)))</f>
        <v>3.3166247903554016</v>
      </c>
      <c r="BZ8" s="14">
        <f>BY8*VLOOKUP('Données projet'!$B$12,Paramètres!$A$1:$I$88,3,0)*VLOOKUP('Données projet'!$B$12,Paramètres!$A$1:$I$88,5,0)</f>
        <v>2.173052562640859</v>
      </c>
      <c r="CA8" s="14">
        <f t="shared" si="39"/>
        <v>0.91492884804015795</v>
      </c>
      <c r="CB8" s="22">
        <f t="shared" si="10"/>
        <v>5.3782342902694369</v>
      </c>
      <c r="CC8" s="62">
        <f t="shared" si="11"/>
        <v>240.44039120060822</v>
      </c>
      <c r="CD8" s="62">
        <f ca="1">AVERAGE(OFFSET($CC$3,0,0,'Données projet'!$E$12+1,1))-AVERAGE(OFFSET($H$3,0,0,'Données projet'!$E$12+1,1))</f>
        <v>305.38855494899906</v>
      </c>
      <c r="CE8" s="62">
        <f t="shared" si="40"/>
        <v>298.48106301229177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projet'!$B$12,Paramètres!$A$1:$I$88,3,0)*0.475*44/12</f>
        <v>0</v>
      </c>
      <c r="CL8" s="23">
        <f>EXP(-LN(2)/25)*CL7+(1-EXP(-LN(2)/25))/(LN(2)/25)*Calculateur!CG8*Calculateur!CI8*VLOOKUP('Données projet'!$B$12,Paramètres!$A$1:$I$88,3,0)*0.475*44/12</f>
        <v>0</v>
      </c>
      <c r="CM8" s="23">
        <f>EXP(-LN(2)/2)*CM7+(1-EXP(-LN(2)/2))/(LN(2)/2)*CG8*CJ8*VLOOKUP('Données projet'!$B$12,Paramètres!$A$1:$I$88,3,0)*0.475*44/12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62.44119430888027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1.1000000000000001</v>
      </c>
      <c r="CT8" s="13">
        <f>IF('Données projet'!$A$140&gt;35,CT7+CS8-DB7,IF(A8&lt;'Données projet'!$A$140,$CQ$205^A8,IF(A8='Données projet'!$A$140,'Données projet'!$B$140,CT7+CS8-DB7)))</f>
        <v>3.3166247903554016</v>
      </c>
      <c r="CU8" s="18">
        <f>CT8*VLOOKUP('Données projet'!$B$13,Paramètres!$A$1:$I$88,3,0)*VLOOKUP('Données projet'!$B$13,Paramètres!$A$1:$I$88,5,0)</f>
        <v>2.6387066832067574</v>
      </c>
      <c r="CV8" s="14">
        <f t="shared" si="41"/>
        <v>1.0861586266766543</v>
      </c>
      <c r="CW8" s="22">
        <f t="shared" si="13"/>
        <v>6.4874737480469413</v>
      </c>
      <c r="CX8" s="62">
        <f t="shared" si="14"/>
        <v>241.54963065838572</v>
      </c>
      <c r="CY8" s="62">
        <f ca="1">AVERAGE(OFFSET($CX$3,0,0,'Données projet'!$E$13+1,1))-AVERAGE(OFFSET($H$3,0,0,'Données projet'!$E$13+1,1))</f>
        <v>361.30066984973894</v>
      </c>
      <c r="CZ8" s="62">
        <f t="shared" si="42"/>
        <v>351.78053157121622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projet'!$B$13,Paramètres!$A$1:$I$88,3,0)*0.475*44/12</f>
        <v>0</v>
      </c>
      <c r="DG8" s="23">
        <f>EXP(-LN(2)/25)*DG7+(1-EXP(-LN(2)/25))/(LN(2)/25)*Calculateur!DB8*Calculateur!DD8*VLOOKUP('Données projet'!$B$13,Paramètres!$A$1:$I$88,3,0)*0.475*44/12</f>
        <v>0</v>
      </c>
      <c r="DH8" s="23">
        <f>EXP(-LN(2)/2)*DH7+(1-EXP(-LN(2)/2))/(LN(2)/2)*DB8*DE8*VLOOKUP('Données projet'!$B$13,Paramètres!$A$1:$I$88,3,0)*0.475*44/12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62.44119430888027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>
        <f>VLOOKUP(A8,'Données projet'!$A$165:$I$185,2,0)</f>
        <v>6</v>
      </c>
      <c r="DM8" s="13">
        <f>VLOOKUP(A8,'Données projet'!$A$165:$I$185,9,0)</f>
        <v>1.2</v>
      </c>
      <c r="DN8" s="13">
        <f t="array" ref="DN8">INDEX(DM:DM,MIN(IF(ISNUMBER(DM8:DM204),ROW(DM8:DM204),"")))</f>
        <v>1.2</v>
      </c>
      <c r="DO8" s="13">
        <f>IF('Données projet'!$A$166&gt;35,DO7+DN8-DW7,IF(A8&lt;'Données projet'!$A$166,$DL$205^A8,IF(A8='Données projet'!$A$166,'Données projet'!$B$166,DO7+DN8-DW7)))</f>
        <v>6</v>
      </c>
      <c r="DP8" s="18">
        <f>DO8*VLOOKUP('Données projet'!$B$14,Paramètres!$A$1:$I$88,3,0)*VLOOKUP('Données projet'!$B$14,Paramètres!$A$1:$I$88,5,0)</f>
        <v>3.0513599999999999</v>
      </c>
      <c r="DQ8" s="14">
        <f t="shared" si="43"/>
        <v>1.2349531329648338</v>
      </c>
      <c r="DR8" s="22">
        <f t="shared" si="16"/>
        <v>7.4653287065804186</v>
      </c>
      <c r="DS8" s="62">
        <f t="shared" si="17"/>
        <v>242.52748561691919</v>
      </c>
      <c r="DT8" s="62">
        <f ca="1">AVERAGE(OFFSET($DS$3,0,0,'Données projet'!$E$14+1,1))-AVERAGE(OFFSET($H$3,0,0,'Données projet'!$E$14+1,1))</f>
        <v>91.201152634762423</v>
      </c>
      <c r="DU8" s="62">
        <f t="shared" si="44"/>
        <v>233.36981992862445</v>
      </c>
      <c r="DV8" s="16">
        <f>IF(ISNA(VLOOKUP(A8,'Données projet'!$A$165:$I$185,3,0)),0,VLOOKUP(A8,'Données projet'!$A$165:$I$185,3,0))</f>
        <v>1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projet'!$B$14,Paramètres!$A$1:$I$88,3,0)*0.475*44/12</f>
        <v>0</v>
      </c>
      <c r="EB8" s="23">
        <f>EXP(-LN(2)/25)*EB7+(1-EXP(-LN(2)/25))/(LN(2)/25)*Calculateur!DW8*Calculateur!DY8*VLOOKUP('Données projet'!$B$14,Paramètres!$A$1:$I$88,3,0)*0.475*44/12</f>
        <v>0</v>
      </c>
      <c r="EC8" s="23">
        <f>EXP(-LN(2)/2)*EC7+(1-EXP(-LN(2)/2))/(LN(2)/2)*DW8*DZ8*VLOOKUP('Données projet'!$B$14,Paramètres!$A$1:$I$88,3,0)*0.475*44/12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62.44119430888027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projet'!$B$15,Paramètres!$A$1:$I$88,3,0)*0.475*44/12</f>
        <v>#N/A</v>
      </c>
      <c r="EW8" s="23" t="e">
        <f>EXP(-LN(2)/25)*EW7+(1-EXP(-LN(2)/25))/(LN(2)/25)*Calculateur!ER8*Calculateur!ET8*VLOOKUP('Données projet'!$B$15,Paramètres!$A$1:$I$88,3,0)*0.475*44/12</f>
        <v>#N/A</v>
      </c>
      <c r="EX8" s="23" t="e">
        <f>EXP(-LN(2)/2)*EX7+(1-EXP(-LN(2)/2))/(LN(2)/2)*ER8*EU8*VLOOKUP('Données projet'!$B$15,Paramètres!$A$1:$I$88,3,0)*0.475*44/12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62.44119430888027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projet'!$B$16,Paramètres!$A$1:$I$88,3,0)*0.475*44/12</f>
        <v>#N/A</v>
      </c>
      <c r="FR8" s="23" t="e">
        <f>EXP(-LN(2)/25)*FR7+(1-EXP(-LN(2)/25))/(LN(2)/25)*Calculateur!FM8*Calculateur!FO8*VLOOKUP('Données projet'!$B$16,Paramètres!$A$1:$I$88,3,0)*0.475*44/12</f>
        <v>#N/A</v>
      </c>
      <c r="FS8" s="23" t="e">
        <f>EXP(-LN(2)/2)*FS7+(1-EXP(-LN(2)/2))/(LN(2)/2)*FM8*FP8*VLOOKUP('Données projet'!$B$16,Paramètres!$A$1:$I$88,3,0)*0.475*44/12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62.44119430888027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projet'!$B$17,Paramètres!$A$1:$I$88,3,0)*0.475*44/12</f>
        <v>#N/A</v>
      </c>
      <c r="GM8" s="23" t="e">
        <f>EXP(-LN(2)/25)*GM7+(1-EXP(-LN(2)/25))/(LN(2)/25)*Calculateur!GH8*Calculateur!GJ8*VLOOKUP('Données projet'!$B$17,Paramètres!$A$1:$I$88,3,0)*0.475*44/12</f>
        <v>#N/A</v>
      </c>
      <c r="GN8" s="23" t="e">
        <f>EXP(-LN(2)/2)*GN7+(1-EXP(-LN(2)/2))/(LN(2)/2)*GH8*GK8*VLOOKUP('Données projet'!$B$17,Paramètres!$A$1:$I$88,3,0)*0.475*44/12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62.44119430888027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projet'!$B$18,Paramètres!$A$1:$I$88,3,0)*0.475*44/12</f>
        <v>#N/A</v>
      </c>
      <c r="HH8" s="23" t="e">
        <f>EXP(-LN(2)/25)*HH7+(1-EXP(-LN(2)/25))/(LN(2)/25)*Calculateur!HC8*Calculateur!HE8*VLOOKUP('Données projet'!$B$18,Paramètres!$A$1:$I$88,3,0)*0.475*44/12</f>
        <v>#N/A</v>
      </c>
      <c r="HI8" s="23" t="e">
        <f>EXP(-LN(2)/2)*HI7+(1-EXP(-LN(2)/2))/(LN(2)/2)*HC8*HF8*VLOOKUP('Données projet'!$B$18,Paramètres!$A$1:$I$88,3,0)*0.475*44/12</f>
        <v>#N/A</v>
      </c>
      <c r="HJ8" s="24" t="e">
        <f t="shared" si="30"/>
        <v>#N/A</v>
      </c>
    </row>
    <row r="9" spans="1:218" s="5" customFormat="1" x14ac:dyDescent="0.2">
      <c r="A9" s="11">
        <f t="shared" si="31"/>
        <v>6</v>
      </c>
      <c r="B9" s="77">
        <f>'Scénario référence'!$B$16*5+'Scénario référence'!$B$17*0+'Scénario référence'!$B$18*5</f>
        <v>1.6500000000000001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6.0500000000000007</v>
      </c>
      <c r="H9" s="70">
        <f t="shared" si="1"/>
        <v>232.4666666666667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62.572322688663313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8.6</v>
      </c>
      <c r="N9" s="14">
        <f>IF('Données projet'!$A$36&gt;35,N8+M9-V8,IF(A9&lt;'Données projet'!$A$36,$K$205^A9,IF(A9='Données projet'!$A$36,'Données projet'!$B$36,N8+M9-V8)))</f>
        <v>6.9861174730928326</v>
      </c>
      <c r="O9" s="14">
        <f>N9*VLOOKUP('Données projet'!$B$9,Paramètres!$A$1:$I$88,3,0)*VLOOKUP('Données projet'!$B$9,Paramètres!$A$1:$I$88,5,0)</f>
        <v>4.1776982489095138</v>
      </c>
      <c r="P9" s="14">
        <f t="shared" si="33"/>
        <v>1.6300917830935544</v>
      </c>
      <c r="Q9" s="22">
        <f t="shared" si="2"/>
        <v>10.115234305738676</v>
      </c>
      <c r="R9" s="62">
        <f t="shared" si="0"/>
        <v>246.88041749750417</v>
      </c>
      <c r="S9" s="62">
        <f ca="1">AVERAGE(OFFSET($R$3,0,0,'Données projet'!$E$9+1,1))-AVERAGE(OFFSET($H$3,0,0,'Données projet'!$E$9+1,1))</f>
        <v>354.71367224254021</v>
      </c>
      <c r="T9" s="62">
        <f t="shared" si="34"/>
        <v>490.074370133397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62.572322688663313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5.5333333333333332</v>
      </c>
      <c r="AI9" s="14">
        <f>IF('Données projet'!$A$62&gt;35,AI8+AH9-AQ8,IF(A9&lt;'Données projet'!$A$62,$AF$205^A9,IF(A9='Données projet'!$A$62,'Données projet'!$B$62,AI8+AH9-AQ8)))</f>
        <v>5.8564068097172379</v>
      </c>
      <c r="AJ9" s="14">
        <f>AI9*VLOOKUP('Données projet'!$B$10,Paramètres!$A$1:$I$88,3,0)*VLOOKUP('Données projet'!$B$10,Paramètres!$A$1:$I$88,5,0)</f>
        <v>3.5021312722109088</v>
      </c>
      <c r="AK9" s="14">
        <f t="shared" si="35"/>
        <v>1.3948393538363044</v>
      </c>
      <c r="AL9" s="22">
        <f t="shared" si="4"/>
        <v>8.5288905070322318</v>
      </c>
      <c r="AM9" s="62">
        <f t="shared" si="5"/>
        <v>245.29407369879772</v>
      </c>
      <c r="AN9" s="62">
        <f ca="1">AVERAGE(OFFSET($AM$3,0,0,'Données projet'!$E$10+1,1))-AVERAGE(OFFSET($H$3,0,0,'Données projet'!$E$10+1,1))</f>
        <v>264.73276096087574</v>
      </c>
      <c r="AO9" s="62">
        <f t="shared" si="36"/>
        <v>381.84464918049662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projet'!$B$10,Paramètres!$A$1:$I$88,3,0)*0.475*44/12</f>
        <v>0</v>
      </c>
      <c r="AV9" s="23">
        <f>EXP(-LN(2)/25)*AV8+(1-EXP(-LN(2)/25))/(LN(2)/25)*Calculateur!AQ9*Calculateur!AS9*VLOOKUP('Données projet'!$B$10,Paramètres!$A$1:$I$88,3,0)*0.475*44/12</f>
        <v>0</v>
      </c>
      <c r="AW9" s="23">
        <f>EXP(-LN(2)/2)*AW8+(1-EXP(-LN(2)/2))/(LN(2)/2)*AQ9*AT9*VLOOKUP('Données projet'!$B$10,Paramètres!$A$1:$I$88,3,0)*0.475*44/12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62.572322688663313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2.1</v>
      </c>
      <c r="BD9" s="13">
        <f>IF('Données projet'!$A$88&gt;35,BD8+BC9-BL8,IF(A9&lt;'Données projet'!$A$88,$BA$205^A9,IF(A9='Données projet'!$A$88,'Données projet'!$B$88,BD8+BC9-BL8)))</f>
        <v>3.0688438220956993</v>
      </c>
      <c r="BE9" s="14">
        <f>BD9*VLOOKUP('Données projet'!$B$11,Paramètres!$A$1:$I$88,3,0)*VLOOKUP('Données projet'!$B$11,Paramètres!$A$1:$I$88,5,0)</f>
        <v>3.494799344602582</v>
      </c>
      <c r="BF9" s="14">
        <f t="shared" si="37"/>
        <v>1.3922587662645227</v>
      </c>
      <c r="BG9" s="22">
        <f t="shared" si="7"/>
        <v>8.5116262097602071</v>
      </c>
      <c r="BH9" s="62">
        <f t="shared" si="8"/>
        <v>245.2768094015257</v>
      </c>
      <c r="BI9" s="62">
        <f ca="1">AVERAGE(OFFSET($BH$3,0,0,'Données projet'!$E$11+1,1))-AVERAGE(OFFSET($H$3,0,0,'Données projet'!$E$11+1,1))</f>
        <v>470.57532875732056</v>
      </c>
      <c r="BJ9" s="62">
        <f t="shared" si="38"/>
        <v>286.63787681165888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projet'!$B$11,Paramètres!$A$1:$I$88,3,0)*0.475*44/12</f>
        <v>0</v>
      </c>
      <c r="BQ9" s="23">
        <f>EXP(-LN(2)/25)*BQ8+(1-EXP(-LN(2)/25))/(LN(2)/25)*Calculateur!BL9*Calculateur!BN9*VLOOKUP('Données projet'!$B$11,Paramètres!$A$1:$I$88,3,0)*0.475*44/12</f>
        <v>0</v>
      </c>
      <c r="BR9" s="23">
        <f>EXP(-LN(2)/2)*BR8+(1-EXP(-LN(2)/2))/(LN(2)/2)*BL9*BO9*VLOOKUP('Données projet'!$B$11,Paramètres!$A$1:$I$88,3,0)*0.475*44/12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62.572322688663313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1.1000000000000001</v>
      </c>
      <c r="BY9" s="13">
        <f>IF('Données projet'!$A$114&gt;35,BY8+BX9-CG8,IF(A9&lt;'Données projet'!$A$114,$BV$205^A9,IF(A9='Données projet'!$A$114,'Données projet'!$B$114,BY8+BX9-CG8)))</f>
        <v>4.2153691330919028</v>
      </c>
      <c r="BZ9" s="14">
        <f>BY9*VLOOKUP('Données projet'!$B$12,Paramètres!$A$1:$I$88,3,0)*VLOOKUP('Données projet'!$B$12,Paramètres!$A$1:$I$88,5,0)</f>
        <v>2.7619098560018145</v>
      </c>
      <c r="CA9" s="14">
        <f t="shared" si="39"/>
        <v>1.1308494182070246</v>
      </c>
      <c r="CB9" s="22">
        <f t="shared" si="10"/>
        <v>6.7798890692470613</v>
      </c>
      <c r="CC9" s="62">
        <f t="shared" si="11"/>
        <v>243.54507226101254</v>
      </c>
      <c r="CD9" s="62">
        <f ca="1">AVERAGE(OFFSET($CC$3,0,0,'Données projet'!$E$12+1,1))-AVERAGE(OFFSET($H$3,0,0,'Données projet'!$E$12+1,1))</f>
        <v>305.38855494899906</v>
      </c>
      <c r="CE9" s="62">
        <f t="shared" si="40"/>
        <v>298.48106301229177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projet'!$B$12,Paramètres!$A$1:$I$88,3,0)*0.475*44/12</f>
        <v>0</v>
      </c>
      <c r="CL9" s="23">
        <f>EXP(-LN(2)/25)*CL8+(1-EXP(-LN(2)/25))/(LN(2)/25)*Calculateur!CG9*Calculateur!CI9*VLOOKUP('Données projet'!$B$12,Paramètres!$A$1:$I$88,3,0)*0.475*44/12</f>
        <v>0</v>
      </c>
      <c r="CM9" s="23">
        <f>EXP(-LN(2)/2)*CM8+(1-EXP(-LN(2)/2))/(LN(2)/2)*CG9*CJ9*VLOOKUP('Données projet'!$B$12,Paramètres!$A$1:$I$88,3,0)*0.475*44/12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62.572322688663313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1.1000000000000001</v>
      </c>
      <c r="CT9" s="13">
        <f>IF('Données projet'!$A$140&gt;35,CT8+CS9-DB8,IF(A9&lt;'Données projet'!$A$140,$CQ$205^A9,IF(A9='Données projet'!$A$140,'Données projet'!$B$140,CT8+CS9-DB8)))</f>
        <v>4.2153691330919028</v>
      </c>
      <c r="CU9" s="18">
        <f>CT9*VLOOKUP('Données projet'!$B$13,Paramètres!$A$1:$I$88,3,0)*VLOOKUP('Données projet'!$B$13,Paramètres!$A$1:$I$88,5,0)</f>
        <v>3.353747682287918</v>
      </c>
      <c r="CV9" s="14">
        <f t="shared" si="41"/>
        <v>1.3424889309030987</v>
      </c>
      <c r="CW9" s="22">
        <f t="shared" si="13"/>
        <v>8.1792787679743544</v>
      </c>
      <c r="CX9" s="62">
        <f t="shared" si="14"/>
        <v>244.94446195973984</v>
      </c>
      <c r="CY9" s="62">
        <f ca="1">AVERAGE(OFFSET($CX$3,0,0,'Données projet'!$E$13+1,1))-AVERAGE(OFFSET($H$3,0,0,'Données projet'!$E$13+1,1))</f>
        <v>361.30066984973894</v>
      </c>
      <c r="CZ9" s="62">
        <f t="shared" si="42"/>
        <v>351.78053157121622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projet'!$B$13,Paramètres!$A$1:$I$88,3,0)*0.475*44/12</f>
        <v>0</v>
      </c>
      <c r="DG9" s="23">
        <f>EXP(-LN(2)/25)*DG8+(1-EXP(-LN(2)/25))/(LN(2)/25)*Calculateur!DB9*Calculateur!DD9*VLOOKUP('Données projet'!$B$13,Paramètres!$A$1:$I$88,3,0)*0.475*44/12</f>
        <v>0</v>
      </c>
      <c r="DH9" s="23">
        <f>EXP(-LN(2)/2)*DH8+(1-EXP(-LN(2)/2))/(LN(2)/2)*DB9*DE9*VLOOKUP('Données projet'!$B$13,Paramètres!$A$1:$I$88,3,0)*0.475*44/12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62.572322688663313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7</v>
      </c>
      <c r="DO9" s="13">
        <f>IF('Données projet'!$A$166&gt;35,DO8+DN9-DW8,IF(A9&lt;'Données projet'!$A$166,$DL$205^A9,IF(A9='Données projet'!$A$166,'Données projet'!$B$166,DO8+DN9-DW8)))</f>
        <v>13</v>
      </c>
      <c r="DP9" s="18">
        <f>DO9*VLOOKUP('Données projet'!$B$14,Paramètres!$A$1:$I$88,3,0)*VLOOKUP('Données projet'!$B$14,Paramètres!$A$1:$I$88,5,0)</f>
        <v>6.6112800000000007</v>
      </c>
      <c r="DQ9" s="14">
        <f t="shared" si="43"/>
        <v>2.4454364290495585</v>
      </c>
      <c r="DR9" s="22">
        <f t="shared" si="16"/>
        <v>15.773781113927981</v>
      </c>
      <c r="DS9" s="62">
        <f t="shared" si="17"/>
        <v>252.53896430569347</v>
      </c>
      <c r="DT9" s="62">
        <f ca="1">AVERAGE(OFFSET($DS$3,0,0,'Données projet'!$E$14+1,1))-AVERAGE(OFFSET($H$3,0,0,'Données projet'!$E$14+1,1))</f>
        <v>91.201152634762423</v>
      </c>
      <c r="DU9" s="62">
        <f t="shared" si="44"/>
        <v>233.36981992862445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projet'!$B$14,Paramètres!$A$1:$I$88,3,0)*0.475*44/12</f>
        <v>0</v>
      </c>
      <c r="EB9" s="23">
        <f>EXP(-LN(2)/25)*EB8+(1-EXP(-LN(2)/25))/(LN(2)/25)*Calculateur!DW9*Calculateur!DY9*VLOOKUP('Données projet'!$B$14,Paramètres!$A$1:$I$88,3,0)*0.475*44/12</f>
        <v>0</v>
      </c>
      <c r="EC9" s="23">
        <f>EXP(-LN(2)/2)*EC8+(1-EXP(-LN(2)/2))/(LN(2)/2)*DW9*DZ9*VLOOKUP('Données projet'!$B$14,Paramètres!$A$1:$I$88,3,0)*0.475*44/12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62.572322688663313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projet'!$B$15,Paramètres!$A$1:$I$88,3,0)*0.475*44/12</f>
        <v>#N/A</v>
      </c>
      <c r="EW9" s="23" t="e">
        <f>EXP(-LN(2)/25)*EW8+(1-EXP(-LN(2)/25))/(LN(2)/25)*Calculateur!ER9*Calculateur!ET9*VLOOKUP('Données projet'!$B$15,Paramètres!$A$1:$I$88,3,0)*0.475*44/12</f>
        <v>#N/A</v>
      </c>
      <c r="EX9" s="23" t="e">
        <f>EXP(-LN(2)/2)*EX8+(1-EXP(-LN(2)/2))/(LN(2)/2)*ER9*EU9*VLOOKUP('Données projet'!$B$15,Paramètres!$A$1:$I$88,3,0)*0.475*44/12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62.572322688663313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projet'!$B$16,Paramètres!$A$1:$I$88,3,0)*0.475*44/12</f>
        <v>#N/A</v>
      </c>
      <c r="FR9" s="23" t="e">
        <f>EXP(-LN(2)/25)*FR8+(1-EXP(-LN(2)/25))/(LN(2)/25)*Calculateur!FM9*Calculateur!FO9*VLOOKUP('Données projet'!$B$16,Paramètres!$A$1:$I$88,3,0)*0.475*44/12</f>
        <v>#N/A</v>
      </c>
      <c r="FS9" s="23" t="e">
        <f>EXP(-LN(2)/2)*FS8+(1-EXP(-LN(2)/2))/(LN(2)/2)*FM9*FP9*VLOOKUP('Données projet'!$B$16,Paramètres!$A$1:$I$88,3,0)*0.475*44/12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62.572322688663313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projet'!$B$17,Paramètres!$A$1:$I$88,3,0)*0.475*44/12</f>
        <v>#N/A</v>
      </c>
      <c r="GM9" s="23" t="e">
        <f>EXP(-LN(2)/25)*GM8+(1-EXP(-LN(2)/25))/(LN(2)/25)*Calculateur!GH9*Calculateur!GJ9*VLOOKUP('Données projet'!$B$17,Paramètres!$A$1:$I$88,3,0)*0.475*44/12</f>
        <v>#N/A</v>
      </c>
      <c r="GN9" s="23" t="e">
        <f>EXP(-LN(2)/2)*GN8+(1-EXP(-LN(2)/2))/(LN(2)/2)*GH9*GK9*VLOOKUP('Données projet'!$B$17,Paramètres!$A$1:$I$88,3,0)*0.475*44/12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62.572322688663313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projet'!$B$18,Paramètres!$A$1:$I$88,3,0)*0.475*44/12</f>
        <v>#N/A</v>
      </c>
      <c r="HH9" s="23" t="e">
        <f>EXP(-LN(2)/25)*HH8+(1-EXP(-LN(2)/25))/(LN(2)/25)*Calculateur!HC9*Calculateur!HE9*VLOOKUP('Données projet'!$B$18,Paramètres!$A$1:$I$88,3,0)*0.475*44/12</f>
        <v>#N/A</v>
      </c>
      <c r="HI9" s="23" t="e">
        <f>EXP(-LN(2)/2)*HI8+(1-EXP(-LN(2)/2))/(LN(2)/2)*HC9*HF9*VLOOKUP('Données projet'!$B$18,Paramètres!$A$1:$I$88,3,0)*0.475*44/12</f>
        <v>#N/A</v>
      </c>
      <c r="HJ9" s="24" t="e">
        <f t="shared" si="30"/>
        <v>#N/A</v>
      </c>
    </row>
    <row r="10" spans="1:218" s="5" customFormat="1" x14ac:dyDescent="0.2">
      <c r="A10" s="11">
        <f t="shared" si="31"/>
        <v>7</v>
      </c>
      <c r="B10" s="77">
        <f>'Scénario référence'!$B$16*5+'Scénario référence'!$B$17*0+'Scénario référence'!$B$18*5</f>
        <v>1.6500000000000001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6.0500000000000007</v>
      </c>
      <c r="H10" s="70">
        <f t="shared" si="1"/>
        <v>232.4666666666667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62.701176284216267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8.6</v>
      </c>
      <c r="N10" s="14">
        <f>IF('Données projet'!$A$36&gt;35,N9+M10-V9,IF(A10&lt;'Données projet'!$A$36,$K$205^A10,IF(A10='Données projet'!$A$36,'Données projet'!$B$36,N9+M10-V9)))</f>
        <v>9.6592157088543065</v>
      </c>
      <c r="O10" s="14">
        <f>N10*VLOOKUP('Données projet'!$B$9,Paramètres!$A$1:$I$88,3,0)*VLOOKUP('Données projet'!$B$9,Paramètres!$A$1:$I$88,5,0)</f>
        <v>5.7762109938948756</v>
      </c>
      <c r="P10" s="14">
        <f t="shared" si="33"/>
        <v>2.1704004099526384</v>
      </c>
      <c r="Q10" s="22">
        <f t="shared" si="2"/>
        <v>13.840348195034421</v>
      </c>
      <c r="R10" s="62">
        <f t="shared" si="0"/>
        <v>252.30021679271627</v>
      </c>
      <c r="S10" s="62">
        <f ca="1">AVERAGE(OFFSET($R$3,0,0,'Données projet'!$E$9+1,1))-AVERAGE(OFFSET($H$3,0,0,'Données projet'!$E$9+1,1))</f>
        <v>354.71367224254021</v>
      </c>
      <c r="T10" s="62">
        <f t="shared" si="34"/>
        <v>490.074370133397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62.701176284216267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5.5333333333333332</v>
      </c>
      <c r="AI10" s="14">
        <f>IF('Données projet'!$A$62&gt;35,AI9+AH10-AQ9,IF(A10&lt;'Données projet'!$A$62,$AF$205^A10,IF(A10='Données projet'!$A$62,'Données projet'!$B$62,AI9+AH10-AQ9)))</f>
        <v>7.8626650744893896</v>
      </c>
      <c r="AJ10" s="14">
        <f>AI10*VLOOKUP('Données projet'!$B$10,Paramètres!$A$1:$I$88,3,0)*VLOOKUP('Données projet'!$B$10,Paramètres!$A$1:$I$88,5,0)</f>
        <v>4.7018737145446554</v>
      </c>
      <c r="AK10" s="14">
        <f t="shared" si="35"/>
        <v>1.8095504076119793</v>
      </c>
      <c r="AL10" s="22">
        <f t="shared" si="4"/>
        <v>11.340730346089472</v>
      </c>
      <c r="AM10" s="62">
        <f t="shared" si="5"/>
        <v>249.80059894377132</v>
      </c>
      <c r="AN10" s="62">
        <f ca="1">AVERAGE(OFFSET($AM$3,0,0,'Données projet'!$E$10+1,1))-AVERAGE(OFFSET($H$3,0,0,'Données projet'!$E$10+1,1))</f>
        <v>264.73276096087574</v>
      </c>
      <c r="AO10" s="62">
        <f t="shared" si="36"/>
        <v>381.84464918049662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projet'!$B$10,Paramètres!$A$1:$I$88,3,0)*0.475*44/12</f>
        <v>0</v>
      </c>
      <c r="AV10" s="23">
        <f>EXP(-LN(2)/25)*AV9+(1-EXP(-LN(2)/25))/(LN(2)/25)*Calculateur!AQ10*Calculateur!AS10*VLOOKUP('Données projet'!$B$10,Paramètres!$A$1:$I$88,3,0)*0.475*44/12</f>
        <v>0</v>
      </c>
      <c r="AW10" s="23">
        <f>EXP(-LN(2)/2)*AW9+(1-EXP(-LN(2)/2))/(LN(2)/2)*AQ10*AT10*VLOOKUP('Données projet'!$B$10,Paramètres!$A$1:$I$88,3,0)*0.475*44/12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62.701176284216267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2.1</v>
      </c>
      <c r="BD10" s="13">
        <f>IF('Données projet'!$A$88&gt;35,BD9+BC10-BL9,IF(A10&lt;'Données projet'!$A$88,$BA$205^A10,IF(A10='Données projet'!$A$88,'Données projet'!$B$88,BD9+BC10-BL9)))</f>
        <v>3.6994507637402658</v>
      </c>
      <c r="BE10" s="14">
        <f>BD10*VLOOKUP('Données projet'!$B$11,Paramètres!$A$1:$I$88,3,0)*VLOOKUP('Données projet'!$B$11,Paramètres!$A$1:$I$88,5,0)</f>
        <v>4.2129345297474154</v>
      </c>
      <c r="BF10" s="14">
        <f t="shared" si="37"/>
        <v>1.6422342851979264</v>
      </c>
      <c r="BG10" s="22">
        <f t="shared" si="7"/>
        <v>10.197752352696471</v>
      </c>
      <c r="BH10" s="62">
        <f t="shared" si="8"/>
        <v>248.65762095037834</v>
      </c>
      <c r="BI10" s="62">
        <f ca="1">AVERAGE(OFFSET($BH$3,0,0,'Données projet'!$E$11+1,1))-AVERAGE(OFFSET($H$3,0,0,'Données projet'!$E$11+1,1))</f>
        <v>470.57532875732056</v>
      </c>
      <c r="BJ10" s="62">
        <f t="shared" si="38"/>
        <v>286.63787681165888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projet'!$B$11,Paramètres!$A$1:$I$88,3,0)*0.475*44/12</f>
        <v>0</v>
      </c>
      <c r="BQ10" s="23">
        <f>EXP(-LN(2)/25)*BQ9+(1-EXP(-LN(2)/25))/(LN(2)/25)*Calculateur!BL10*Calculateur!BN10*VLOOKUP('Données projet'!$B$11,Paramètres!$A$1:$I$88,3,0)*0.475*44/12</f>
        <v>0</v>
      </c>
      <c r="BR10" s="23">
        <f>EXP(-LN(2)/2)*BR9+(1-EXP(-LN(2)/2))/(LN(2)/2)*BL10*BO10*VLOOKUP('Données projet'!$B$11,Paramètres!$A$1:$I$88,3,0)*0.475*44/12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62.701176284216267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1.1000000000000001</v>
      </c>
      <c r="BY10" s="13">
        <f>IF('Données projet'!$A$114&gt;35,BY9+BX10-CG9,IF(A10&lt;'Données projet'!$A$114,$BV$205^A10,IF(A10='Données projet'!$A$114,'Données projet'!$B$114,BY9+BX10-CG9)))</f>
        <v>5.3576566694841175</v>
      </c>
      <c r="BZ10" s="14">
        <f>BY10*VLOOKUP('Données projet'!$B$12,Paramètres!$A$1:$I$88,3,0)*VLOOKUP('Données projet'!$B$12,Paramètres!$A$1:$I$88,5,0)</f>
        <v>3.510336649845994</v>
      </c>
      <c r="CA10" s="14">
        <f t="shared" si="39"/>
        <v>1.397726620379814</v>
      </c>
      <c r="CB10" s="22">
        <f t="shared" si="10"/>
        <v>8.5482101956432839</v>
      </c>
      <c r="CC10" s="62">
        <f t="shared" si="11"/>
        <v>247.00807879332515</v>
      </c>
      <c r="CD10" s="62">
        <f ca="1">AVERAGE(OFFSET($CC$3,0,0,'Données projet'!$E$12+1,1))-AVERAGE(OFFSET($H$3,0,0,'Données projet'!$E$12+1,1))</f>
        <v>305.38855494899906</v>
      </c>
      <c r="CE10" s="62">
        <f t="shared" si="40"/>
        <v>298.48106301229177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projet'!$B$12,Paramètres!$A$1:$I$88,3,0)*0.475*44/12</f>
        <v>0</v>
      </c>
      <c r="CL10" s="23">
        <f>EXP(-LN(2)/25)*CL9+(1-EXP(-LN(2)/25))/(LN(2)/25)*Calculateur!CG10*Calculateur!CI10*VLOOKUP('Données projet'!$B$12,Paramètres!$A$1:$I$88,3,0)*0.475*44/12</f>
        <v>0</v>
      </c>
      <c r="CM10" s="23">
        <f>EXP(-LN(2)/2)*CM9+(1-EXP(-LN(2)/2))/(LN(2)/2)*CG10*CJ10*VLOOKUP('Données projet'!$B$12,Paramètres!$A$1:$I$88,3,0)*0.475*44/12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62.701176284216267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1.1000000000000001</v>
      </c>
      <c r="CT10" s="13">
        <f>IF('Données projet'!$A$140&gt;35,CT9+CS10-DB9,IF(A10&lt;'Données projet'!$A$140,$CQ$205^A10,IF(A10='Données projet'!$A$140,'Données projet'!$B$140,CT9+CS10-DB9)))</f>
        <v>5.3576566694841175</v>
      </c>
      <c r="CU10" s="18">
        <f>CT10*VLOOKUP('Données projet'!$B$13,Paramètres!$A$1:$I$88,3,0)*VLOOKUP('Données projet'!$B$13,Paramètres!$A$1:$I$88,5,0)</f>
        <v>4.2625516462415645</v>
      </c>
      <c r="CV10" s="14">
        <f t="shared" si="41"/>
        <v>1.6593124478620722</v>
      </c>
      <c r="CW10" s="22">
        <f t="shared" si="13"/>
        <v>10.313913297230501</v>
      </c>
      <c r="CX10" s="62">
        <f t="shared" si="14"/>
        <v>248.77378189491236</v>
      </c>
      <c r="CY10" s="62">
        <f ca="1">AVERAGE(OFFSET($CX$3,0,0,'Données projet'!$E$13+1,1))-AVERAGE(OFFSET($H$3,0,0,'Données projet'!$E$13+1,1))</f>
        <v>361.30066984973894</v>
      </c>
      <c r="CZ10" s="62">
        <f t="shared" si="42"/>
        <v>351.78053157121622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projet'!$B$13,Paramètres!$A$1:$I$88,3,0)*0.475*44/12</f>
        <v>0</v>
      </c>
      <c r="DG10" s="23">
        <f>EXP(-LN(2)/25)*DG9+(1-EXP(-LN(2)/25))/(LN(2)/25)*Calculateur!DB10*Calculateur!DD10*VLOOKUP('Données projet'!$B$13,Paramètres!$A$1:$I$88,3,0)*0.475*44/12</f>
        <v>0</v>
      </c>
      <c r="DH10" s="23">
        <f>EXP(-LN(2)/2)*DH9+(1-EXP(-LN(2)/2))/(LN(2)/2)*DB10*DE10*VLOOKUP('Données projet'!$B$13,Paramètres!$A$1:$I$88,3,0)*0.475*44/12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62.701176284216267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7</v>
      </c>
      <c r="DO10" s="13">
        <f>IF('Données projet'!$A$166&gt;35,DO9+DN10-DW9,IF(A10&lt;'Données projet'!$A$166,$DL$205^A10,IF(A10='Données projet'!$A$166,'Données projet'!$B$166,DO9+DN10-DW9)))</f>
        <v>20</v>
      </c>
      <c r="DP10" s="18">
        <f>DO10*VLOOKUP('Données projet'!$B$14,Paramètres!$A$1:$I$88,3,0)*VLOOKUP('Données projet'!$B$14,Paramètres!$A$1:$I$88,5,0)</f>
        <v>10.171200000000001</v>
      </c>
      <c r="DQ10" s="14">
        <f t="shared" si="43"/>
        <v>3.5782125579737887</v>
      </c>
      <c r="DR10" s="22">
        <f t="shared" si="16"/>
        <v>23.946893538471016</v>
      </c>
      <c r="DS10" s="62">
        <f t="shared" si="17"/>
        <v>262.40676213615291</v>
      </c>
      <c r="DT10" s="62">
        <f ca="1">AVERAGE(OFFSET($DS$3,0,0,'Données projet'!$E$14+1,1))-AVERAGE(OFFSET($H$3,0,0,'Données projet'!$E$14+1,1))</f>
        <v>91.201152634762423</v>
      </c>
      <c r="DU10" s="62">
        <f t="shared" si="44"/>
        <v>233.36981992862445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projet'!$B$14,Paramètres!$A$1:$I$88,3,0)*0.475*44/12</f>
        <v>0</v>
      </c>
      <c r="EB10" s="23">
        <f>EXP(-LN(2)/25)*EB9+(1-EXP(-LN(2)/25))/(LN(2)/25)*Calculateur!DW10*Calculateur!DY10*VLOOKUP('Données projet'!$B$14,Paramètres!$A$1:$I$88,3,0)*0.475*44/12</f>
        <v>0</v>
      </c>
      <c r="EC10" s="23">
        <f>EXP(-LN(2)/2)*EC9+(1-EXP(-LN(2)/2))/(LN(2)/2)*DW10*DZ10*VLOOKUP('Données projet'!$B$14,Paramètres!$A$1:$I$88,3,0)*0.475*44/12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62.701176284216267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projet'!$B$15,Paramètres!$A$1:$I$88,3,0)*0.475*44/12</f>
        <v>#N/A</v>
      </c>
      <c r="EW10" s="23" t="e">
        <f>EXP(-LN(2)/25)*EW9+(1-EXP(-LN(2)/25))/(LN(2)/25)*Calculateur!ER10*Calculateur!ET10*VLOOKUP('Données projet'!$B$15,Paramètres!$A$1:$I$88,3,0)*0.475*44/12</f>
        <v>#N/A</v>
      </c>
      <c r="EX10" s="23" t="e">
        <f>EXP(-LN(2)/2)*EX9+(1-EXP(-LN(2)/2))/(LN(2)/2)*ER10*EU10*VLOOKUP('Données projet'!$B$15,Paramètres!$A$1:$I$88,3,0)*0.475*44/12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62.701176284216267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projet'!$B$16,Paramètres!$A$1:$I$88,3,0)*0.475*44/12</f>
        <v>#N/A</v>
      </c>
      <c r="FR10" s="23" t="e">
        <f>EXP(-LN(2)/25)*FR9+(1-EXP(-LN(2)/25))/(LN(2)/25)*Calculateur!FM10*Calculateur!FO10*VLOOKUP('Données projet'!$B$16,Paramètres!$A$1:$I$88,3,0)*0.475*44/12</f>
        <v>#N/A</v>
      </c>
      <c r="FS10" s="23" t="e">
        <f>EXP(-LN(2)/2)*FS9+(1-EXP(-LN(2)/2))/(LN(2)/2)*FM10*FP10*VLOOKUP('Données projet'!$B$16,Paramètres!$A$1:$I$88,3,0)*0.475*44/12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62.701176284216267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projet'!$B$17,Paramètres!$A$1:$I$88,3,0)*0.475*44/12</f>
        <v>#N/A</v>
      </c>
      <c r="GM10" s="23" t="e">
        <f>EXP(-LN(2)/25)*GM9+(1-EXP(-LN(2)/25))/(LN(2)/25)*Calculateur!GH10*Calculateur!GJ10*VLOOKUP('Données projet'!$B$17,Paramètres!$A$1:$I$88,3,0)*0.475*44/12</f>
        <v>#N/A</v>
      </c>
      <c r="GN10" s="23" t="e">
        <f>EXP(-LN(2)/2)*GN9+(1-EXP(-LN(2)/2))/(LN(2)/2)*GH10*GK10*VLOOKUP('Données projet'!$B$17,Paramètres!$A$1:$I$88,3,0)*0.475*44/12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62.701176284216267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projet'!$B$18,Paramètres!$A$1:$I$88,3,0)*0.475*44/12</f>
        <v>#N/A</v>
      </c>
      <c r="HH10" s="23" t="e">
        <f>EXP(-LN(2)/25)*HH9+(1-EXP(-LN(2)/25))/(LN(2)/25)*Calculateur!HC10*Calculateur!HE10*VLOOKUP('Données projet'!$B$18,Paramètres!$A$1:$I$88,3,0)*0.475*44/12</f>
        <v>#N/A</v>
      </c>
      <c r="HI10" s="23" t="e">
        <f>EXP(-LN(2)/2)*HI9+(1-EXP(-LN(2)/2))/(LN(2)/2)*HC10*HF10*VLOOKUP('Données projet'!$B$18,Paramètres!$A$1:$I$88,3,0)*0.475*44/12</f>
        <v>#N/A</v>
      </c>
      <c r="HJ10" s="24" t="e">
        <f t="shared" si="30"/>
        <v>#N/A</v>
      </c>
    </row>
    <row r="11" spans="1:218" s="5" customFormat="1" x14ac:dyDescent="0.2">
      <c r="A11" s="11">
        <f t="shared" si="31"/>
        <v>8</v>
      </c>
      <c r="B11" s="77">
        <f>'Scénario référence'!$B$16*5+'Scénario référence'!$B$17*0+'Scénario référence'!$B$18*5</f>
        <v>1.6500000000000001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6.0500000000000007</v>
      </c>
      <c r="H11" s="70">
        <f t="shared" si="1"/>
        <v>232.4666666666667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62.827794557959862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8.6</v>
      </c>
      <c r="N11" s="14">
        <f>IF('Données projet'!$A$36&gt;35,N10+M11-V10,IF(A11&lt;'Données projet'!$A$36,$K$205^A11,IF(A11='Données projet'!$A$36,'Données projet'!$B$36,N10+M11-V10)))</f>
        <v>13.355121563518832</v>
      </c>
      <c r="O11" s="14">
        <f>N11*VLOOKUP('Données projet'!$B$9,Paramètres!$A$1:$I$88,3,0)*VLOOKUP('Données projet'!$B$9,Paramètres!$A$1:$I$88,5,0)</f>
        <v>7.9863626949842619</v>
      </c>
      <c r="P11" s="14">
        <f t="shared" si="33"/>
        <v>2.8897992054059851</v>
      </c>
      <c r="Q11" s="22">
        <f t="shared" si="2"/>
        <v>18.94264864317968</v>
      </c>
      <c r="R11" s="62">
        <f t="shared" si="0"/>
        <v>259.0890064668103</v>
      </c>
      <c r="S11" s="62">
        <f ca="1">AVERAGE(OFFSET($R$3,0,0,'Données projet'!$E$9+1,1))-AVERAGE(OFFSET($H$3,0,0,'Données projet'!$E$9+1,1))</f>
        <v>354.71367224254021</v>
      </c>
      <c r="T11" s="62">
        <f t="shared" si="34"/>
        <v>490.074370133397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62.827794557959862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5.5333333333333332</v>
      </c>
      <c r="AI11" s="14">
        <f>IF('Données projet'!$A$62&gt;35,AI10+AH11-AQ10,IF(A11&lt;'Données projet'!$A$62,$AF$205^A11,IF(A11='Données projet'!$A$62,'Données projet'!$B$62,AI10+AH11-AQ10)))</f>
        <v>10.556217162205668</v>
      </c>
      <c r="AJ11" s="14">
        <f>AI11*VLOOKUP('Données projet'!$B$10,Paramètres!$A$1:$I$88,3,0)*VLOOKUP('Données projet'!$B$10,Paramètres!$A$1:$I$88,5,0)</f>
        <v>6.3126178629989891</v>
      </c>
      <c r="AK11" s="14">
        <f t="shared" si="35"/>
        <v>2.3475625839511305</v>
      </c>
      <c r="AL11" s="22">
        <f t="shared" si="4"/>
        <v>15.083147611771457</v>
      </c>
      <c r="AM11" s="62">
        <f t="shared" si="5"/>
        <v>255.2295054354021</v>
      </c>
      <c r="AN11" s="62">
        <f ca="1">AVERAGE(OFFSET($AM$3,0,0,'Données projet'!$E$10+1,1))-AVERAGE(OFFSET($H$3,0,0,'Données projet'!$E$10+1,1))</f>
        <v>264.73276096087574</v>
      </c>
      <c r="AO11" s="62">
        <f t="shared" si="36"/>
        <v>381.84464918049662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projet'!$B$10,Paramètres!$A$1:$I$88,3,0)*0.475*44/12</f>
        <v>0</v>
      </c>
      <c r="AV11" s="23">
        <f>EXP(-LN(2)/25)*AV10+(1-EXP(-LN(2)/25))/(LN(2)/25)*Calculateur!AQ11*Calculateur!AS11*VLOOKUP('Données projet'!$B$10,Paramètres!$A$1:$I$88,3,0)*0.475*44/12</f>
        <v>0</v>
      </c>
      <c r="AW11" s="23">
        <f>EXP(-LN(2)/2)*AW10+(1-EXP(-LN(2)/2))/(LN(2)/2)*AQ11*AT11*VLOOKUP('Données projet'!$B$10,Paramètres!$A$1:$I$88,3,0)*0.475*44/12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62.827794557959862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2.1</v>
      </c>
      <c r="BD11" s="13">
        <f>IF('Données projet'!$A$88&gt;35,BD10+BC11-BL10,IF(A11&lt;'Données projet'!$A$88,$BA$205^A11,IF(A11='Données projet'!$A$88,'Données projet'!$B$88,BD10+BC11-BL10)))</f>
        <v>4.4596391171162209</v>
      </c>
      <c r="BE11" s="14">
        <f>BD11*VLOOKUP('Données projet'!$B$11,Paramètres!$A$1:$I$88,3,0)*VLOOKUP('Données projet'!$B$11,Paramètres!$A$1:$I$88,5,0)</f>
        <v>5.0786370265719523</v>
      </c>
      <c r="BF11" s="14">
        <f t="shared" si="37"/>
        <v>1.9370920929558988</v>
      </c>
      <c r="BG11" s="22">
        <f t="shared" si="7"/>
        <v>12.219061549844341</v>
      </c>
      <c r="BH11" s="62">
        <f t="shared" si="8"/>
        <v>252.36541937347499</v>
      </c>
      <c r="BI11" s="62">
        <f ca="1">AVERAGE(OFFSET($BH$3,0,0,'Données projet'!$E$11+1,1))-AVERAGE(OFFSET($H$3,0,0,'Données projet'!$E$11+1,1))</f>
        <v>470.57532875732056</v>
      </c>
      <c r="BJ11" s="62">
        <f t="shared" si="38"/>
        <v>286.63787681165888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projet'!$B$11,Paramètres!$A$1:$I$88,3,0)*0.475*44/12</f>
        <v>0</v>
      </c>
      <c r="BQ11" s="23">
        <f>EXP(-LN(2)/25)*BQ10+(1-EXP(-LN(2)/25))/(LN(2)/25)*Calculateur!BL11*Calculateur!BN11*VLOOKUP('Données projet'!$B$11,Paramètres!$A$1:$I$88,3,0)*0.475*44/12</f>
        <v>0</v>
      </c>
      <c r="BR11" s="23">
        <f>EXP(-LN(2)/2)*BR10+(1-EXP(-LN(2)/2))/(LN(2)/2)*BL11*BO11*VLOOKUP('Données projet'!$B$11,Paramètres!$A$1:$I$88,3,0)*0.475*44/12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62.827794557959862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1.1000000000000001</v>
      </c>
      <c r="BY11" s="13">
        <f>IF('Données projet'!$A$114&gt;35,BY10+BX11-CG10,IF(A11&lt;'Données projet'!$A$114,$BV$205^A11,IF(A11='Données projet'!$A$114,'Données projet'!$B$114,BY10+BX11-CG10)))</f>
        <v>6.8094831275223076</v>
      </c>
      <c r="BZ11" s="14">
        <f>BY11*VLOOKUP('Données projet'!$B$12,Paramètres!$A$1:$I$88,3,0)*VLOOKUP('Données projet'!$B$12,Paramètres!$A$1:$I$88,5,0)</f>
        <v>4.4615733451526163</v>
      </c>
      <c r="CA11" s="14">
        <f t="shared" si="39"/>
        <v>1.7275860727911023</v>
      </c>
      <c r="CB11" s="22">
        <f t="shared" si="10"/>
        <v>10.779452652918643</v>
      </c>
      <c r="CC11" s="62">
        <f t="shared" si="11"/>
        <v>250.92581047654929</v>
      </c>
      <c r="CD11" s="62">
        <f ca="1">AVERAGE(OFFSET($CC$3,0,0,'Données projet'!$E$12+1,1))-AVERAGE(OFFSET($H$3,0,0,'Données projet'!$E$12+1,1))</f>
        <v>305.38855494899906</v>
      </c>
      <c r="CE11" s="62">
        <f t="shared" si="40"/>
        <v>298.48106301229177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projet'!$B$12,Paramètres!$A$1:$I$88,3,0)*0.475*44/12</f>
        <v>0</v>
      </c>
      <c r="CL11" s="23">
        <f>EXP(-LN(2)/25)*CL10+(1-EXP(-LN(2)/25))/(LN(2)/25)*Calculateur!CG11*Calculateur!CI11*VLOOKUP('Données projet'!$B$12,Paramètres!$A$1:$I$88,3,0)*0.475*44/12</f>
        <v>0</v>
      </c>
      <c r="CM11" s="23">
        <f>EXP(-LN(2)/2)*CM10+(1-EXP(-LN(2)/2))/(LN(2)/2)*CG11*CJ11*VLOOKUP('Données projet'!$B$12,Paramètres!$A$1:$I$88,3,0)*0.475*44/12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62.827794557959862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1.1000000000000001</v>
      </c>
      <c r="CT11" s="13">
        <f>IF('Données projet'!$A$140&gt;35,CT10+CS11-DB10,IF(A11&lt;'Données projet'!$A$140,$CQ$205^A11,IF(A11='Données projet'!$A$140,'Données projet'!$B$140,CT10+CS11-DB10)))</f>
        <v>6.8094831275223076</v>
      </c>
      <c r="CU11" s="18">
        <f>CT11*VLOOKUP('Données projet'!$B$13,Paramètres!$A$1:$I$88,3,0)*VLOOKUP('Données projet'!$B$13,Paramètres!$A$1:$I$88,5,0)</f>
        <v>5.4176247762567487</v>
      </c>
      <c r="CV11" s="14">
        <f t="shared" si="41"/>
        <v>2.0509054013412618</v>
      </c>
      <c r="CW11" s="22">
        <f t="shared" si="13"/>
        <v>13.007690059316532</v>
      </c>
      <c r="CX11" s="62">
        <f t="shared" si="14"/>
        <v>253.15404788294717</v>
      </c>
      <c r="CY11" s="62">
        <f ca="1">AVERAGE(OFFSET($CX$3,0,0,'Données projet'!$E$13+1,1))-AVERAGE(OFFSET($H$3,0,0,'Données projet'!$E$13+1,1))</f>
        <v>361.30066984973894</v>
      </c>
      <c r="CZ11" s="62">
        <f t="shared" si="42"/>
        <v>351.78053157121622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projet'!$B$13,Paramètres!$A$1:$I$88,3,0)*0.475*44/12</f>
        <v>0</v>
      </c>
      <c r="DG11" s="23">
        <f>EXP(-LN(2)/25)*DG10+(1-EXP(-LN(2)/25))/(LN(2)/25)*Calculateur!DB11*Calculateur!DD11*VLOOKUP('Données projet'!$B$13,Paramètres!$A$1:$I$88,3,0)*0.475*44/12</f>
        <v>0</v>
      </c>
      <c r="DH11" s="23">
        <f>EXP(-LN(2)/2)*DH10+(1-EXP(-LN(2)/2))/(LN(2)/2)*DB11*DE11*VLOOKUP('Données projet'!$B$13,Paramètres!$A$1:$I$88,3,0)*0.475*44/12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62.827794557959862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7</v>
      </c>
      <c r="DO11" s="13">
        <f>IF('Données projet'!$A$166&gt;35,DO10+DN11-DW10,IF(A11&lt;'Données projet'!$A$166,$DL$205^A11,IF(A11='Données projet'!$A$166,'Données projet'!$B$166,DO10+DN11-DW10)))</f>
        <v>27</v>
      </c>
      <c r="DP11" s="18">
        <f>DO11*VLOOKUP('Données projet'!$B$14,Paramètres!$A$1:$I$88,3,0)*VLOOKUP('Données projet'!$B$14,Paramètres!$A$1:$I$88,5,0)</f>
        <v>13.731120000000001</v>
      </c>
      <c r="DQ11" s="14">
        <f t="shared" si="43"/>
        <v>4.6647573042570381</v>
      </c>
      <c r="DR11" s="22">
        <f t="shared" si="16"/>
        <v>32.039486304914341</v>
      </c>
      <c r="DS11" s="62">
        <f t="shared" si="17"/>
        <v>272.185844128545</v>
      </c>
      <c r="DT11" s="62">
        <f ca="1">AVERAGE(OFFSET($DS$3,0,0,'Données projet'!$E$14+1,1))-AVERAGE(OFFSET($H$3,0,0,'Données projet'!$E$14+1,1))</f>
        <v>91.201152634762423</v>
      </c>
      <c r="DU11" s="62">
        <f t="shared" si="44"/>
        <v>233.36981992862445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projet'!$B$14,Paramètres!$A$1:$I$88,3,0)*0.475*44/12</f>
        <v>0</v>
      </c>
      <c r="EB11" s="23">
        <f>EXP(-LN(2)/25)*EB10+(1-EXP(-LN(2)/25))/(LN(2)/25)*Calculateur!DW11*Calculateur!DY11*VLOOKUP('Données projet'!$B$14,Paramètres!$A$1:$I$88,3,0)*0.475*44/12</f>
        <v>0</v>
      </c>
      <c r="EC11" s="23">
        <f>EXP(-LN(2)/2)*EC10+(1-EXP(-LN(2)/2))/(LN(2)/2)*DW11*DZ11*VLOOKUP('Données projet'!$B$14,Paramètres!$A$1:$I$88,3,0)*0.475*44/12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62.827794557959862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projet'!$B$15,Paramètres!$A$1:$I$88,3,0)*0.475*44/12</f>
        <v>#N/A</v>
      </c>
      <c r="EW11" s="23" t="e">
        <f>EXP(-LN(2)/25)*EW10+(1-EXP(-LN(2)/25))/(LN(2)/25)*Calculateur!ER11*Calculateur!ET11*VLOOKUP('Données projet'!$B$15,Paramètres!$A$1:$I$88,3,0)*0.475*44/12</f>
        <v>#N/A</v>
      </c>
      <c r="EX11" s="23" t="e">
        <f>EXP(-LN(2)/2)*EX10+(1-EXP(-LN(2)/2))/(LN(2)/2)*ER11*EU11*VLOOKUP('Données projet'!$B$15,Paramètres!$A$1:$I$88,3,0)*0.475*44/12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62.827794557959862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projet'!$B$16,Paramètres!$A$1:$I$88,3,0)*0.475*44/12</f>
        <v>#N/A</v>
      </c>
      <c r="FR11" s="23" t="e">
        <f>EXP(-LN(2)/25)*FR10+(1-EXP(-LN(2)/25))/(LN(2)/25)*Calculateur!FM11*Calculateur!FO11*VLOOKUP('Données projet'!$B$16,Paramètres!$A$1:$I$88,3,0)*0.475*44/12</f>
        <v>#N/A</v>
      </c>
      <c r="FS11" s="23" t="e">
        <f>EXP(-LN(2)/2)*FS10+(1-EXP(-LN(2)/2))/(LN(2)/2)*FM11*FP11*VLOOKUP('Données projet'!$B$16,Paramètres!$A$1:$I$88,3,0)*0.475*44/12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62.827794557959862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projet'!$B$17,Paramètres!$A$1:$I$88,3,0)*0.475*44/12</f>
        <v>#N/A</v>
      </c>
      <c r="GM11" s="23" t="e">
        <f>EXP(-LN(2)/25)*GM10+(1-EXP(-LN(2)/25))/(LN(2)/25)*Calculateur!GH11*Calculateur!GJ11*VLOOKUP('Données projet'!$B$17,Paramètres!$A$1:$I$88,3,0)*0.475*44/12</f>
        <v>#N/A</v>
      </c>
      <c r="GN11" s="23" t="e">
        <f>EXP(-LN(2)/2)*GN10+(1-EXP(-LN(2)/2))/(LN(2)/2)*GH11*GK11*VLOOKUP('Données projet'!$B$17,Paramètres!$A$1:$I$88,3,0)*0.475*44/12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62.827794557959862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projet'!$B$18,Paramètres!$A$1:$I$88,3,0)*0.475*44/12</f>
        <v>#N/A</v>
      </c>
      <c r="HH11" s="23" t="e">
        <f>EXP(-LN(2)/25)*HH10+(1-EXP(-LN(2)/25))/(LN(2)/25)*Calculateur!HC11*Calculateur!HE11*VLOOKUP('Données projet'!$B$18,Paramètres!$A$1:$I$88,3,0)*0.475*44/12</f>
        <v>#N/A</v>
      </c>
      <c r="HI11" s="23" t="e">
        <f>EXP(-LN(2)/2)*HI10+(1-EXP(-LN(2)/2))/(LN(2)/2)*HC11*HF11*VLOOKUP('Données projet'!$B$18,Paramètres!$A$1:$I$88,3,0)*0.475*44/12</f>
        <v>#N/A</v>
      </c>
      <c r="HJ11" s="24" t="e">
        <f t="shared" si="30"/>
        <v>#N/A</v>
      </c>
    </row>
    <row r="12" spans="1:218" s="5" customFormat="1" x14ac:dyDescent="0.2">
      <c r="A12" s="11">
        <f t="shared" si="31"/>
        <v>9</v>
      </c>
      <c r="B12" s="77">
        <f>'Scénario référence'!$B$16*5+'Scénario référence'!$B$17*0+'Scénario référence'!$B$18*5</f>
        <v>1.6500000000000001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6.0500000000000007</v>
      </c>
      <c r="H12" s="70">
        <f t="shared" si="1"/>
        <v>232.4666666666667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62.952216287730053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8.6</v>
      </c>
      <c r="N12" s="14">
        <f>IF('Données projet'!$A$36&gt;35,N11+M12-V11,IF(A12&lt;'Données projet'!$A$36,$K$205^A12,IF(A12='Données projet'!$A$36,'Données projet'!$B$36,N11+M12-V11)))</f>
        <v>18.46519193197738</v>
      </c>
      <c r="O12" s="14">
        <f>N12*VLOOKUP('Données projet'!$B$9,Paramètres!$A$1:$I$88,3,0)*VLOOKUP('Données projet'!$B$9,Paramètres!$A$1:$I$88,5,0)</f>
        <v>11.042184775322474</v>
      </c>
      <c r="P12" s="14">
        <f t="shared" si="33"/>
        <v>3.8476492214389557</v>
      </c>
      <c r="Q12" s="22">
        <f t="shared" si="2"/>
        <v>25.93312754435949</v>
      </c>
      <c r="R12" s="62">
        <f t="shared" si="0"/>
        <v>267.7579205993697</v>
      </c>
      <c r="S12" s="62">
        <f ca="1">AVERAGE(OFFSET($R$3,0,0,'Données projet'!$E$9+1,1))-AVERAGE(OFFSET($H$3,0,0,'Données projet'!$E$9+1,1))</f>
        <v>354.71367224254021</v>
      </c>
      <c r="T12" s="62">
        <f t="shared" si="34"/>
        <v>490.074370133397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62.952216287730053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5.5333333333333332</v>
      </c>
      <c r="AI12" s="14">
        <f>IF('Données projet'!$A$62&gt;35,AI11+AH12-AQ11,IF(A12&lt;'Données projet'!$A$62,$AF$205^A12,IF(A12='Données projet'!$A$62,'Données projet'!$B$62,AI11+AH12-AQ11)))</f>
        <v>14.172512719280759</v>
      </c>
      <c r="AJ12" s="14">
        <f>AI12*VLOOKUP('Données projet'!$B$10,Paramètres!$A$1:$I$88,3,0)*VLOOKUP('Données projet'!$B$10,Paramètres!$A$1:$I$88,5,0)</f>
        <v>8.4751626061298939</v>
      </c>
      <c r="AK12" s="14">
        <f t="shared" si="35"/>
        <v>3.0455355442903143</v>
      </c>
      <c r="AL12" s="22">
        <f t="shared" si="4"/>
        <v>20.065215945315195</v>
      </c>
      <c r="AM12" s="62">
        <f t="shared" si="5"/>
        <v>261.89000900032539</v>
      </c>
      <c r="AN12" s="62">
        <f ca="1">AVERAGE(OFFSET($AM$3,0,0,'Données projet'!$E$10+1,1))-AVERAGE(OFFSET($H$3,0,0,'Données projet'!$E$10+1,1))</f>
        <v>264.73276096087574</v>
      </c>
      <c r="AO12" s="62">
        <f t="shared" si="36"/>
        <v>381.84464918049662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projet'!$B$10,Paramètres!$A$1:$I$88,3,0)*0.475*44/12</f>
        <v>0</v>
      </c>
      <c r="AV12" s="23">
        <f>EXP(-LN(2)/25)*AV11+(1-EXP(-LN(2)/25))/(LN(2)/25)*Calculateur!AQ12*Calculateur!AS12*VLOOKUP('Données projet'!$B$10,Paramètres!$A$1:$I$88,3,0)*0.475*44/12</f>
        <v>0</v>
      </c>
      <c r="AW12" s="23">
        <f>EXP(-LN(2)/2)*AW11+(1-EXP(-LN(2)/2))/(LN(2)/2)*AQ12*AT12*VLOOKUP('Données projet'!$B$10,Paramètres!$A$1:$I$88,3,0)*0.475*44/12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62.952216287730053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2.1</v>
      </c>
      <c r="BD12" s="13">
        <f>IF('Données projet'!$A$88&gt;35,BD11+BC12-BL11,IF(A12&lt;'Données projet'!$A$88,$BA$205^A12,IF(A12='Données projet'!$A$88,'Données projet'!$B$88,BD11+BC12-BL11)))</f>
        <v>5.3760361537574148</v>
      </c>
      <c r="BE12" s="14">
        <f>BD12*VLOOKUP('Données projet'!$B$11,Paramètres!$A$1:$I$88,3,0)*VLOOKUP('Données projet'!$B$11,Paramètres!$A$1:$I$88,5,0)</f>
        <v>6.1222299718989444</v>
      </c>
      <c r="BF12" s="14">
        <f t="shared" si="37"/>
        <v>2.2848906580585888</v>
      </c>
      <c r="BG12" s="22">
        <f t="shared" si="7"/>
        <v>14.642401763842701</v>
      </c>
      <c r="BH12" s="62">
        <f t="shared" si="8"/>
        <v>256.46719481885287</v>
      </c>
      <c r="BI12" s="62">
        <f ca="1">AVERAGE(OFFSET($BH$3,0,0,'Données projet'!$E$11+1,1))-AVERAGE(OFFSET($H$3,0,0,'Données projet'!$E$11+1,1))</f>
        <v>470.57532875732056</v>
      </c>
      <c r="BJ12" s="62">
        <f t="shared" si="38"/>
        <v>286.63787681165888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projet'!$B$11,Paramètres!$A$1:$I$88,3,0)*0.475*44/12</f>
        <v>0</v>
      </c>
      <c r="BQ12" s="23">
        <f>EXP(-LN(2)/25)*BQ11+(1-EXP(-LN(2)/25))/(LN(2)/25)*Calculateur!BL12*Calculateur!BN12*VLOOKUP('Données projet'!$B$11,Paramètres!$A$1:$I$88,3,0)*0.475*44/12</f>
        <v>0</v>
      </c>
      <c r="BR12" s="23">
        <f>EXP(-LN(2)/2)*BR11+(1-EXP(-LN(2)/2))/(LN(2)/2)*BL12*BO12*VLOOKUP('Données projet'!$B$11,Paramètres!$A$1:$I$88,3,0)*0.475*44/12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62.952216287730053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1.1000000000000001</v>
      </c>
      <c r="BY12" s="13">
        <f>IF('Données projet'!$A$114&gt;35,BY11+BX12-CG11,IF(A12&lt;'Données projet'!$A$114,$BV$205^A12,IF(A12='Données projet'!$A$114,'Données projet'!$B$114,BY11+BX12-CG11)))</f>
        <v>8.6547278641645029</v>
      </c>
      <c r="BZ12" s="14">
        <f>BY12*VLOOKUP('Données projet'!$B$12,Paramètres!$A$1:$I$88,3,0)*VLOOKUP('Données projet'!$B$12,Paramètres!$A$1:$I$88,5,0)</f>
        <v>5.6705776966005823</v>
      </c>
      <c r="CA12" s="14">
        <f t="shared" si="39"/>
        <v>2.1352914049034637</v>
      </c>
      <c r="CB12" s="22">
        <f t="shared" si="10"/>
        <v>13.59522201845288</v>
      </c>
      <c r="CC12" s="62">
        <f t="shared" si="11"/>
        <v>255.42001507346308</v>
      </c>
      <c r="CD12" s="62">
        <f ca="1">AVERAGE(OFFSET($CC$3,0,0,'Données projet'!$E$12+1,1))-AVERAGE(OFFSET($H$3,0,0,'Données projet'!$E$12+1,1))</f>
        <v>305.38855494899906</v>
      </c>
      <c r="CE12" s="62">
        <f t="shared" si="40"/>
        <v>298.48106301229177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projet'!$B$12,Paramètres!$A$1:$I$88,3,0)*0.475*44/12</f>
        <v>0</v>
      </c>
      <c r="CL12" s="23">
        <f>EXP(-LN(2)/25)*CL11+(1-EXP(-LN(2)/25))/(LN(2)/25)*Calculateur!CG12*Calculateur!CI12*VLOOKUP('Données projet'!$B$12,Paramètres!$A$1:$I$88,3,0)*0.475*44/12</f>
        <v>0</v>
      </c>
      <c r="CM12" s="23">
        <f>EXP(-LN(2)/2)*CM11+(1-EXP(-LN(2)/2))/(LN(2)/2)*CG12*CJ12*VLOOKUP('Données projet'!$B$12,Paramètres!$A$1:$I$88,3,0)*0.475*44/12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62.952216287730053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1.1000000000000001</v>
      </c>
      <c r="CT12" s="13">
        <f>IF('Données projet'!$A$140&gt;35,CT11+CS12-DB11,IF(A12&lt;'Données projet'!$A$140,$CQ$205^A12,IF(A12='Données projet'!$A$140,'Données projet'!$B$140,CT11+CS12-DB11)))</f>
        <v>8.6547278641645029</v>
      </c>
      <c r="CU12" s="18">
        <f>CT12*VLOOKUP('Données projet'!$B$13,Paramètres!$A$1:$I$88,3,0)*VLOOKUP('Données projet'!$B$13,Paramètres!$A$1:$I$88,5,0)</f>
        <v>6.8857014887292793</v>
      </c>
      <c r="CV12" s="14">
        <f t="shared" si="41"/>
        <v>2.5349131627802968</v>
      </c>
      <c r="CW12" s="22">
        <f t="shared" si="13"/>
        <v>16.407570518045844</v>
      </c>
      <c r="CX12" s="62">
        <f t="shared" si="14"/>
        <v>258.23236357305603</v>
      </c>
      <c r="CY12" s="62">
        <f ca="1">AVERAGE(OFFSET($CX$3,0,0,'Données projet'!$E$13+1,1))-AVERAGE(OFFSET($H$3,0,0,'Données projet'!$E$13+1,1))</f>
        <v>361.30066984973894</v>
      </c>
      <c r="CZ12" s="62">
        <f t="shared" si="42"/>
        <v>351.78053157121622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projet'!$B$13,Paramètres!$A$1:$I$88,3,0)*0.475*44/12</f>
        <v>0</v>
      </c>
      <c r="DG12" s="23">
        <f>EXP(-LN(2)/25)*DG11+(1-EXP(-LN(2)/25))/(LN(2)/25)*Calculateur!DB12*Calculateur!DD12*VLOOKUP('Données projet'!$B$13,Paramètres!$A$1:$I$88,3,0)*0.475*44/12</f>
        <v>0</v>
      </c>
      <c r="DH12" s="23">
        <f>EXP(-LN(2)/2)*DH11+(1-EXP(-LN(2)/2))/(LN(2)/2)*DB12*DE12*VLOOKUP('Données projet'!$B$13,Paramètres!$A$1:$I$88,3,0)*0.475*44/12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62.952216287730053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7</v>
      </c>
      <c r="DO12" s="13">
        <f>IF('Données projet'!$A$166&gt;35,DO11+DN12-DW11,IF(A12&lt;'Données projet'!$A$166,$DL$205^A12,IF(A12='Données projet'!$A$166,'Données projet'!$B$166,DO11+DN12-DW11)))</f>
        <v>34</v>
      </c>
      <c r="DP12" s="18">
        <f>DO12*VLOOKUP('Données projet'!$B$14,Paramètres!$A$1:$I$88,3,0)*VLOOKUP('Données projet'!$B$14,Paramètres!$A$1:$I$88,5,0)</f>
        <v>17.291039999999999</v>
      </c>
      <c r="DQ12" s="14">
        <f t="shared" si="43"/>
        <v>5.7186142547431791</v>
      </c>
      <c r="DR12" s="22">
        <f t="shared" si="16"/>
        <v>40.075147827011037</v>
      </c>
      <c r="DS12" s="62">
        <f t="shared" si="17"/>
        <v>281.89994088202121</v>
      </c>
      <c r="DT12" s="62">
        <f ca="1">AVERAGE(OFFSET($DS$3,0,0,'Données projet'!$E$14+1,1))-AVERAGE(OFFSET($H$3,0,0,'Données projet'!$E$14+1,1))</f>
        <v>91.201152634762423</v>
      </c>
      <c r="DU12" s="62">
        <f t="shared" si="44"/>
        <v>233.36981992862445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projet'!$B$14,Paramètres!$A$1:$I$88,3,0)*0.475*44/12</f>
        <v>0</v>
      </c>
      <c r="EB12" s="23">
        <f>EXP(-LN(2)/25)*EB11+(1-EXP(-LN(2)/25))/(LN(2)/25)*Calculateur!DW12*Calculateur!DY12*VLOOKUP('Données projet'!$B$14,Paramètres!$A$1:$I$88,3,0)*0.475*44/12</f>
        <v>0</v>
      </c>
      <c r="EC12" s="23">
        <f>EXP(-LN(2)/2)*EC11+(1-EXP(-LN(2)/2))/(LN(2)/2)*DW12*DZ12*VLOOKUP('Données projet'!$B$14,Paramètres!$A$1:$I$88,3,0)*0.475*44/12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62.952216287730053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projet'!$B$15,Paramètres!$A$1:$I$88,3,0)*0.475*44/12</f>
        <v>#N/A</v>
      </c>
      <c r="EW12" s="23" t="e">
        <f>EXP(-LN(2)/25)*EW11+(1-EXP(-LN(2)/25))/(LN(2)/25)*Calculateur!ER12*Calculateur!ET12*VLOOKUP('Données projet'!$B$15,Paramètres!$A$1:$I$88,3,0)*0.475*44/12</f>
        <v>#N/A</v>
      </c>
      <c r="EX12" s="23" t="e">
        <f>EXP(-LN(2)/2)*EX11+(1-EXP(-LN(2)/2))/(LN(2)/2)*ER12*EU12*VLOOKUP('Données projet'!$B$15,Paramètres!$A$1:$I$88,3,0)*0.475*44/12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62.952216287730053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projet'!$B$16,Paramètres!$A$1:$I$88,3,0)*0.475*44/12</f>
        <v>#N/A</v>
      </c>
      <c r="FR12" s="23" t="e">
        <f>EXP(-LN(2)/25)*FR11+(1-EXP(-LN(2)/25))/(LN(2)/25)*Calculateur!FM12*Calculateur!FO12*VLOOKUP('Données projet'!$B$16,Paramètres!$A$1:$I$88,3,0)*0.475*44/12</f>
        <v>#N/A</v>
      </c>
      <c r="FS12" s="23" t="e">
        <f>EXP(-LN(2)/2)*FS11+(1-EXP(-LN(2)/2))/(LN(2)/2)*FM12*FP12*VLOOKUP('Données projet'!$B$16,Paramètres!$A$1:$I$88,3,0)*0.475*44/12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62.952216287730053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projet'!$B$17,Paramètres!$A$1:$I$88,3,0)*0.475*44/12</f>
        <v>#N/A</v>
      </c>
      <c r="GM12" s="23" t="e">
        <f>EXP(-LN(2)/25)*GM11+(1-EXP(-LN(2)/25))/(LN(2)/25)*Calculateur!GH12*Calculateur!GJ12*VLOOKUP('Données projet'!$B$17,Paramètres!$A$1:$I$88,3,0)*0.475*44/12</f>
        <v>#N/A</v>
      </c>
      <c r="GN12" s="23" t="e">
        <f>EXP(-LN(2)/2)*GN11+(1-EXP(-LN(2)/2))/(LN(2)/2)*GH12*GK12*VLOOKUP('Données projet'!$B$17,Paramètres!$A$1:$I$88,3,0)*0.475*44/12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62.952216287730053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projet'!$B$18,Paramètres!$A$1:$I$88,3,0)*0.475*44/12</f>
        <v>#N/A</v>
      </c>
      <c r="HH12" s="23" t="e">
        <f>EXP(-LN(2)/25)*HH11+(1-EXP(-LN(2)/25))/(LN(2)/25)*Calculateur!HC12*Calculateur!HE12*VLOOKUP('Données projet'!$B$18,Paramètres!$A$1:$I$88,3,0)*0.475*44/12</f>
        <v>#N/A</v>
      </c>
      <c r="HI12" s="23" t="e">
        <f>EXP(-LN(2)/2)*HI11+(1-EXP(-LN(2)/2))/(LN(2)/2)*HC12*HF12*VLOOKUP('Données projet'!$B$18,Paramètres!$A$1:$I$88,3,0)*0.475*44/12</f>
        <v>#N/A</v>
      </c>
      <c r="HJ12" s="24" t="e">
        <f t="shared" si="30"/>
        <v>#N/A</v>
      </c>
    </row>
    <row r="13" spans="1:218" s="5" customFormat="1" x14ac:dyDescent="0.2">
      <c r="A13" s="11">
        <f t="shared" si="31"/>
        <v>10</v>
      </c>
      <c r="B13" s="77">
        <f>'Scénario référence'!$B$16*5+'Scénario référence'!$B$17*0+'Scénario référence'!$B$18*5</f>
        <v>1.6500000000000001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6.0500000000000007</v>
      </c>
      <c r="H13" s="70">
        <f t="shared" si="1"/>
        <v>232.4666666666667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63.074479578654049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8.6</v>
      </c>
      <c r="N13" s="14">
        <f>IF('Données projet'!$A$36&gt;35,N12+M13-V12,IF(A13&lt;'Données projet'!$A$36,$K$205^A13,IF(A13='Données projet'!$A$36,'Données projet'!$B$36,N12+M13-V12)))</f>
        <v>25.530528603808897</v>
      </c>
      <c r="O13" s="14">
        <f>N13*VLOOKUP('Données projet'!$B$9,Paramètres!$A$1:$I$88,3,0)*VLOOKUP('Données projet'!$B$9,Paramètres!$A$1:$I$88,5,0)</f>
        <v>15.267256105077722</v>
      </c>
      <c r="P13" s="14">
        <f t="shared" si="33"/>
        <v>5.1229872662242473</v>
      </c>
      <c r="Q13" s="22">
        <f t="shared" si="2"/>
        <v>35.513007205017594</v>
      </c>
      <c r="R13" s="62">
        <f t="shared" si="0"/>
        <v>279.00832121563798</v>
      </c>
      <c r="S13" s="62">
        <f ca="1">AVERAGE(OFFSET($R$3,0,0,'Données projet'!$E$9+1,1))-AVERAGE(OFFSET($H$3,0,0,'Données projet'!$E$9+1,1))</f>
        <v>354.71367224254021</v>
      </c>
      <c r="T13" s="62">
        <f t="shared" si="34"/>
        <v>490.074370133397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63.074479578654049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5.5333333333333332</v>
      </c>
      <c r="AI13" s="14">
        <f>IF('Données projet'!$A$62&gt;35,AI12+AH13-AQ12,IF(A13&lt;'Données projet'!$A$62,$AF$205^A13,IF(A13='Données projet'!$A$62,'Données projet'!$B$62,AI12+AH13-AQ12)))</f>
        <v>19.027660542766458</v>
      </c>
      <c r="AJ13" s="14">
        <f>AI13*VLOOKUP('Données projet'!$B$10,Paramètres!$A$1:$I$88,3,0)*VLOOKUP('Données projet'!$B$10,Paramètres!$A$1:$I$88,5,0)</f>
        <v>11.378541004574345</v>
      </c>
      <c r="AK13" s="14">
        <f t="shared" si="35"/>
        <v>3.9510285327195285</v>
      </c>
      <c r="AL13" s="22">
        <f t="shared" si="4"/>
        <v>26.699000277453493</v>
      </c>
      <c r="AM13" s="62">
        <f t="shared" si="5"/>
        <v>270.19431428807388</v>
      </c>
      <c r="AN13" s="62">
        <f ca="1">AVERAGE(OFFSET($AM$3,0,0,'Données projet'!$E$10+1,1))-AVERAGE(OFFSET($H$3,0,0,'Données projet'!$E$10+1,1))</f>
        <v>264.73276096087574</v>
      </c>
      <c r="AO13" s="62">
        <f t="shared" si="36"/>
        <v>381.84464918049662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projet'!$B$10,Paramètres!$A$1:$I$88,3,0)*0.475*44/12</f>
        <v>0</v>
      </c>
      <c r="AV13" s="23">
        <f>EXP(-LN(2)/25)*AV12+(1-EXP(-LN(2)/25))/(LN(2)/25)*Calculateur!AQ13*Calculateur!AS13*VLOOKUP('Données projet'!$B$10,Paramètres!$A$1:$I$88,3,0)*0.475*44/12</f>
        <v>0</v>
      </c>
      <c r="AW13" s="23">
        <f>EXP(-LN(2)/2)*AW12+(1-EXP(-LN(2)/2))/(LN(2)/2)*AQ13*AT13*VLOOKUP('Données projet'!$B$10,Paramètres!$A$1:$I$88,3,0)*0.475*44/12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63.074479578654049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2.1</v>
      </c>
      <c r="BD13" s="13">
        <f>IF('Données projet'!$A$88&gt;35,BD12+BC13-BL12,IF(A13&lt;'Données projet'!$A$88,$BA$205^A13,IF(A13='Données projet'!$A$88,'Données projet'!$B$88,BD12+BC13-BL12)))</f>
        <v>6.4807406984078657</v>
      </c>
      <c r="BE13" s="14">
        <f>BD13*VLOOKUP('Données projet'!$B$11,Paramètres!$A$1:$I$88,3,0)*VLOOKUP('Données projet'!$B$11,Paramètres!$A$1:$I$88,5,0)</f>
        <v>7.3802675073468773</v>
      </c>
      <c r="BF13" s="14">
        <f t="shared" si="37"/>
        <v>2.6951353207564148</v>
      </c>
      <c r="BG13" s="22">
        <f t="shared" si="7"/>
        <v>17.547993258946569</v>
      </c>
      <c r="BH13" s="62">
        <f t="shared" si="8"/>
        <v>261.04330726956698</v>
      </c>
      <c r="BI13" s="62">
        <f ca="1">AVERAGE(OFFSET($BH$3,0,0,'Données projet'!$E$11+1,1))-AVERAGE(OFFSET($H$3,0,0,'Données projet'!$E$11+1,1))</f>
        <v>470.57532875732056</v>
      </c>
      <c r="BJ13" s="62">
        <f t="shared" si="38"/>
        <v>286.63787681165888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projet'!$B$11,Paramètres!$A$1:$I$88,3,0)*0.475*44/12</f>
        <v>0</v>
      </c>
      <c r="BQ13" s="23">
        <f>EXP(-LN(2)/25)*BQ12+(1-EXP(-LN(2)/25))/(LN(2)/25)*Calculateur!BL13*Calculateur!BN13*VLOOKUP('Données projet'!$B$11,Paramètres!$A$1:$I$88,3,0)*0.475*44/12</f>
        <v>0</v>
      </c>
      <c r="BR13" s="23">
        <f>EXP(-LN(2)/2)*BR12+(1-EXP(-LN(2)/2))/(LN(2)/2)*BL13*BO13*VLOOKUP('Données projet'!$B$11,Paramètres!$A$1:$I$88,3,0)*0.475*44/12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63.074479578654049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>
        <f>VLOOKUP(A13,'Données projet'!$A$113:$I$133,2,0)</f>
        <v>11</v>
      </c>
      <c r="BW13" s="13">
        <f>VLOOKUP(A13,'Données projet'!$A$113:$I$133,9,0)</f>
        <v>1.1000000000000001</v>
      </c>
      <c r="BX13" s="13">
        <f t="array" ref="BX13">INDEX(BW:BW,MIN(IF(ISNUMBER(BW13:BW209),ROW(BW13:BW209),"")))</f>
        <v>1.1000000000000001</v>
      </c>
      <c r="BY13" s="13">
        <f>IF('Données projet'!$A$114&gt;35,BY12+BX13-CG12,IF(A13&lt;'Données projet'!$A$114,$BV$205^A13,IF(A13='Données projet'!$A$114,'Données projet'!$B$114,BY12+BX13-CG12)))</f>
        <v>11</v>
      </c>
      <c r="BZ13" s="14">
        <f>BY13*VLOOKUP('Données projet'!$B$12,Paramètres!$A$1:$I$88,3,0)*VLOOKUP('Données projet'!$B$12,Paramètres!$A$1:$I$88,5,0)</f>
        <v>7.2072000000000003</v>
      </c>
      <c r="CA13" s="14">
        <f t="shared" si="39"/>
        <v>2.6392140198770462</v>
      </c>
      <c r="CB13" s="22">
        <f t="shared" si="10"/>
        <v>17.149171084619187</v>
      </c>
      <c r="CC13" s="62">
        <f t="shared" si="11"/>
        <v>260.64448509523959</v>
      </c>
      <c r="CD13" s="62">
        <f ca="1">AVERAGE(OFFSET($CC$3,0,0,'Données projet'!$E$12+1,1))-AVERAGE(OFFSET($H$3,0,0,'Données projet'!$E$12+1,1))</f>
        <v>305.38855494899906</v>
      </c>
      <c r="CE13" s="62">
        <f t="shared" si="40"/>
        <v>298.48106301229177</v>
      </c>
      <c r="CF13" s="16">
        <f>IF(ISNA(VLOOKUP(A13,'Données projet'!$A$113:$I$133,3,0)),0,VLOOKUP(A13,'Données projet'!$A$113:$I$133,3,0))</f>
        <v>1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projet'!$B$12,Paramètres!$A$1:$I$88,3,0)*0.475*44/12</f>
        <v>0</v>
      </c>
      <c r="CL13" s="23">
        <f>EXP(-LN(2)/25)*CL12+(1-EXP(-LN(2)/25))/(LN(2)/25)*Calculateur!CG13*Calculateur!CI13*VLOOKUP('Données projet'!$B$12,Paramètres!$A$1:$I$88,3,0)*0.475*44/12</f>
        <v>0</v>
      </c>
      <c r="CM13" s="23">
        <f>EXP(-LN(2)/2)*CM12+(1-EXP(-LN(2)/2))/(LN(2)/2)*CG13*CJ13*VLOOKUP('Données projet'!$B$12,Paramètres!$A$1:$I$88,3,0)*0.475*44/12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63.074479578654049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>
        <f>VLOOKUP(A13,'Données projet'!$A$139:$I$159,2,0)</f>
        <v>11</v>
      </c>
      <c r="CR13" s="13">
        <f>VLOOKUP(A13,'Données projet'!$A$139:$I$159,9,0)</f>
        <v>1.1000000000000001</v>
      </c>
      <c r="CS13" s="13">
        <f t="array" ref="CS13">INDEX(CR:CR,MIN(IF(ISNUMBER(CR13:CR209),ROW(CR13:CR209),"")))</f>
        <v>1.1000000000000001</v>
      </c>
      <c r="CT13" s="13">
        <f>IF('Données projet'!$A$140&gt;35,CT12+CS13-DB12,IF(A13&lt;'Données projet'!$A$140,$CQ$205^A13,IF(A13='Données projet'!$A$140,'Données projet'!$B$140,CT12+CS13-DB12)))</f>
        <v>11</v>
      </c>
      <c r="CU13" s="18">
        <f>CT13*VLOOKUP('Données projet'!$B$13,Paramètres!$A$1:$I$88,3,0)*VLOOKUP('Données projet'!$B$13,Paramètres!$A$1:$I$88,5,0)</f>
        <v>8.7516000000000016</v>
      </c>
      <c r="CV13" s="14">
        <f t="shared" si="41"/>
        <v>3.1331453604025001</v>
      </c>
      <c r="CW13" s="22">
        <f t="shared" si="13"/>
        <v>20.699264836034356</v>
      </c>
      <c r="CX13" s="62">
        <f t="shared" si="14"/>
        <v>264.19457884665474</v>
      </c>
      <c r="CY13" s="62">
        <f ca="1">AVERAGE(OFFSET($CX$3,0,0,'Données projet'!$E$13+1,1))-AVERAGE(OFFSET($H$3,0,0,'Données projet'!$E$13+1,1))</f>
        <v>361.30066984973894</v>
      </c>
      <c r="CZ13" s="62">
        <f t="shared" si="42"/>
        <v>351.78053157121622</v>
      </c>
      <c r="DA13" s="16">
        <f>IF(ISNA(VLOOKUP(A13,'Données projet'!$A$139:$I$159,3,0)),0,VLOOKUP(A13,'Données projet'!$A$139:$I$159,3,0))</f>
        <v>1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projet'!$B$13,Paramètres!$A$1:$I$88,3,0)*0.475*44/12</f>
        <v>0</v>
      </c>
      <c r="DG13" s="23">
        <f>EXP(-LN(2)/25)*DG12+(1-EXP(-LN(2)/25))/(LN(2)/25)*Calculateur!DB13*Calculateur!DD13*VLOOKUP('Données projet'!$B$13,Paramètres!$A$1:$I$88,3,0)*0.475*44/12</f>
        <v>0</v>
      </c>
      <c r="DH13" s="23">
        <f>EXP(-LN(2)/2)*DH12+(1-EXP(-LN(2)/2))/(LN(2)/2)*DB13*DE13*VLOOKUP('Données projet'!$B$13,Paramètres!$A$1:$I$88,3,0)*0.475*44/12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63.074479578654049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>
        <f>VLOOKUP(A13,'Données projet'!$A$165:$I$185,2,0)</f>
        <v>41</v>
      </c>
      <c r="DM13" s="13">
        <f>VLOOKUP(A13,'Données projet'!$A$165:$I$185,9,0)</f>
        <v>7</v>
      </c>
      <c r="DN13" s="13">
        <f t="array" ref="DN13">INDEX(DM:DM,MIN(IF(ISNUMBER(DM13:DM209),ROW(DM13:DM209),"")))</f>
        <v>7</v>
      </c>
      <c r="DO13" s="13">
        <f>IF('Données projet'!$A$166&gt;35,DO12+DN13-DW12,IF(A13&lt;'Données projet'!$A$166,$DL$205^A13,IF(A13='Données projet'!$A$166,'Données projet'!$B$166,DO12+DN13-DW12)))</f>
        <v>41</v>
      </c>
      <c r="DP13" s="18">
        <f>DO13*VLOOKUP('Données projet'!$B$14,Paramètres!$A$1:$I$88,3,0)*VLOOKUP('Données projet'!$B$14,Paramètres!$A$1:$I$88,5,0)</f>
        <v>20.850960000000001</v>
      </c>
      <c r="DQ13" s="14">
        <f t="shared" si="43"/>
        <v>6.7473283833223752</v>
      </c>
      <c r="DR13" s="22">
        <f t="shared" si="16"/>
        <v>48.067018934286466</v>
      </c>
      <c r="DS13" s="62">
        <f t="shared" si="17"/>
        <v>291.56233294490687</v>
      </c>
      <c r="DT13" s="62">
        <f ca="1">AVERAGE(OFFSET($DS$3,0,0,'Données projet'!$E$14+1,1))-AVERAGE(OFFSET($H$3,0,0,'Données projet'!$E$14+1,1))</f>
        <v>91.201152634762423</v>
      </c>
      <c r="DU13" s="62">
        <f t="shared" si="44"/>
        <v>233.36981992862445</v>
      </c>
      <c r="DV13" s="16">
        <f>IF(ISNA(VLOOKUP(A13,'Données projet'!$A$165:$I$185,3,0)),0,VLOOKUP(A13,'Données projet'!$A$165:$I$185,3,0))</f>
        <v>2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projet'!$B$14,Paramètres!$A$1:$I$88,3,0)*0.475*44/12</f>
        <v>0</v>
      </c>
      <c r="EB13" s="23">
        <f>EXP(-LN(2)/25)*EB12+(1-EXP(-LN(2)/25))/(LN(2)/25)*Calculateur!DW13*Calculateur!DY13*VLOOKUP('Données projet'!$B$14,Paramètres!$A$1:$I$88,3,0)*0.475*44/12</f>
        <v>0</v>
      </c>
      <c r="EC13" s="23">
        <f>EXP(-LN(2)/2)*EC12+(1-EXP(-LN(2)/2))/(LN(2)/2)*DW13*DZ13*VLOOKUP('Données projet'!$B$14,Paramètres!$A$1:$I$88,3,0)*0.475*44/12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63.074479578654049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projet'!$B$15,Paramètres!$A$1:$I$88,3,0)*0.475*44/12</f>
        <v>#N/A</v>
      </c>
      <c r="EW13" s="23" t="e">
        <f>EXP(-LN(2)/25)*EW12+(1-EXP(-LN(2)/25))/(LN(2)/25)*Calculateur!ER13*Calculateur!ET13*VLOOKUP('Données projet'!$B$15,Paramètres!$A$1:$I$88,3,0)*0.475*44/12</f>
        <v>#N/A</v>
      </c>
      <c r="EX13" s="23" t="e">
        <f>EXP(-LN(2)/2)*EX12+(1-EXP(-LN(2)/2))/(LN(2)/2)*ER13*EU13*VLOOKUP('Données projet'!$B$15,Paramètres!$A$1:$I$88,3,0)*0.475*44/12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63.074479578654049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projet'!$B$16,Paramètres!$A$1:$I$88,3,0)*0.475*44/12</f>
        <v>#N/A</v>
      </c>
      <c r="FR13" s="23" t="e">
        <f>EXP(-LN(2)/25)*FR12+(1-EXP(-LN(2)/25))/(LN(2)/25)*Calculateur!FM13*Calculateur!FO13*VLOOKUP('Données projet'!$B$16,Paramètres!$A$1:$I$88,3,0)*0.475*44/12</f>
        <v>#N/A</v>
      </c>
      <c r="FS13" s="23" t="e">
        <f>EXP(-LN(2)/2)*FS12+(1-EXP(-LN(2)/2))/(LN(2)/2)*FM13*FP13*VLOOKUP('Données projet'!$B$16,Paramètres!$A$1:$I$88,3,0)*0.475*44/12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63.074479578654049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projet'!$B$17,Paramètres!$A$1:$I$88,3,0)*0.475*44/12</f>
        <v>#N/A</v>
      </c>
      <c r="GM13" s="23" t="e">
        <f>EXP(-LN(2)/25)*GM12+(1-EXP(-LN(2)/25))/(LN(2)/25)*Calculateur!GH13*Calculateur!GJ13*VLOOKUP('Données projet'!$B$17,Paramètres!$A$1:$I$88,3,0)*0.475*44/12</f>
        <v>#N/A</v>
      </c>
      <c r="GN13" s="23" t="e">
        <f>EXP(-LN(2)/2)*GN12+(1-EXP(-LN(2)/2))/(LN(2)/2)*GH13*GK13*VLOOKUP('Données projet'!$B$17,Paramètres!$A$1:$I$88,3,0)*0.475*44/12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63.074479578654049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projet'!$B$18,Paramètres!$A$1:$I$88,3,0)*0.475*44/12</f>
        <v>#N/A</v>
      </c>
      <c r="HH13" s="23" t="e">
        <f>EXP(-LN(2)/25)*HH12+(1-EXP(-LN(2)/25))/(LN(2)/25)*Calculateur!HC13*Calculateur!HE13*VLOOKUP('Données projet'!$B$18,Paramètres!$A$1:$I$88,3,0)*0.475*44/12</f>
        <v>#N/A</v>
      </c>
      <c r="HI13" s="23" t="e">
        <f>EXP(-LN(2)/2)*HI12+(1-EXP(-LN(2)/2))/(LN(2)/2)*HC13*HF13*VLOOKUP('Données projet'!$B$18,Paramètres!$A$1:$I$88,3,0)*0.475*44/12</f>
        <v>#N/A</v>
      </c>
      <c r="HJ13" s="24" t="e">
        <f t="shared" si="30"/>
        <v>#N/A</v>
      </c>
    </row>
    <row r="14" spans="1:218" s="5" customFormat="1" x14ac:dyDescent="0.2">
      <c r="A14" s="11">
        <f t="shared" si="31"/>
        <v>11</v>
      </c>
      <c r="B14" s="77">
        <f>'Scénario référence'!$B$16*5+'Scénario référence'!$B$17*0+'Scénario référence'!$B$18*5</f>
        <v>1.6500000000000001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6.0500000000000007</v>
      </c>
      <c r="H14" s="70">
        <f t="shared" si="1"/>
        <v>232.4666666666667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63.194621874820278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8.6</v>
      </c>
      <c r="N14" s="14">
        <f>IF('Données projet'!$A$36&gt;35,N13+M14-V13,IF(A14&lt;'Données projet'!$A$36,$K$205^A14,IF(A14='Données projet'!$A$36,'Données projet'!$B$36,N13+M14-V13)))</f>
        <v>35.299275154628958</v>
      </c>
      <c r="O14" s="14">
        <f>N14*VLOOKUP('Données projet'!$B$9,Paramètres!$A$1:$I$88,3,0)*VLOOKUP('Données projet'!$B$9,Paramètres!$A$1:$I$88,5,0)</f>
        <v>21.108966542468117</v>
      </c>
      <c r="P14" s="14">
        <f t="shared" si="33"/>
        <v>6.8210476110087299</v>
      </c>
      <c r="Q14" s="22">
        <f t="shared" si="2"/>
        <v>48.644774650638844</v>
      </c>
      <c r="R14" s="62">
        <f t="shared" si="0"/>
        <v>293.80283263609095</v>
      </c>
      <c r="S14" s="62">
        <f ca="1">AVERAGE(OFFSET($R$3,0,0,'Données projet'!$E$9+1,1))-AVERAGE(OFFSET($H$3,0,0,'Données projet'!$E$9+1,1))</f>
        <v>354.71367224254021</v>
      </c>
      <c r="T14" s="62">
        <f t="shared" si="34"/>
        <v>490.074370133397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63.194621874820278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5.5333333333333332</v>
      </c>
      <c r="AI14" s="14">
        <f>IF('Données projet'!$A$62&gt;35,AI13+AH14-AQ13,IF(A14&lt;'Données projet'!$A$62,$AF$205^A14,IF(A14='Données projet'!$A$62,'Données projet'!$B$62,AI13+AH14-AQ13)))</f>
        <v>25.546060384775956</v>
      </c>
      <c r="AJ14" s="14">
        <f>AI14*VLOOKUP('Données projet'!$B$10,Paramètres!$A$1:$I$88,3,0)*VLOOKUP('Données projet'!$B$10,Paramètres!$A$1:$I$88,5,0)</f>
        <v>15.276544110096022</v>
      </c>
      <c r="AK14" s="14">
        <f t="shared" si="35"/>
        <v>5.1257410197133293</v>
      </c>
      <c r="AL14" s="22">
        <f t="shared" si="4"/>
        <v>35.53397993441795</v>
      </c>
      <c r="AM14" s="62">
        <f t="shared" si="5"/>
        <v>280.69203791987007</v>
      </c>
      <c r="AN14" s="62">
        <f ca="1">AVERAGE(OFFSET($AM$3,0,0,'Données projet'!$E$10+1,1))-AVERAGE(OFFSET($H$3,0,0,'Données projet'!$E$10+1,1))</f>
        <v>264.73276096087574</v>
      </c>
      <c r="AO14" s="62">
        <f t="shared" si="36"/>
        <v>381.84464918049662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projet'!$B$10,Paramètres!$A$1:$I$88,3,0)*0.475*44/12</f>
        <v>0</v>
      </c>
      <c r="AV14" s="23">
        <f>EXP(-LN(2)/25)*AV13+(1-EXP(-LN(2)/25))/(LN(2)/25)*Calculateur!AQ14*Calculateur!AS14*VLOOKUP('Données projet'!$B$10,Paramètres!$A$1:$I$88,3,0)*0.475*44/12</f>
        <v>0</v>
      </c>
      <c r="AW14" s="23">
        <f>EXP(-LN(2)/2)*AW13+(1-EXP(-LN(2)/2))/(LN(2)/2)*AQ14*AT14*VLOOKUP('Données projet'!$B$10,Paramètres!$A$1:$I$88,3,0)*0.475*44/12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63.194621874820278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2.1</v>
      </c>
      <c r="BD14" s="13">
        <f>IF('Données projet'!$A$88&gt;35,BD13+BC14-BL13,IF(A14&lt;'Données projet'!$A$88,$BA$205^A14,IF(A14='Données projet'!$A$88,'Données projet'!$B$88,BD13+BC14-BL13)))</f>
        <v>7.8124474610620815</v>
      </c>
      <c r="BE14" s="14">
        <f>BD14*VLOOKUP('Données projet'!$B$11,Paramètres!$A$1:$I$88,3,0)*VLOOKUP('Données projet'!$B$11,Paramètres!$A$1:$I$88,5,0)</f>
        <v>8.8968151686574988</v>
      </c>
      <c r="BF14" s="14">
        <f t="shared" si="37"/>
        <v>3.1790380741285023</v>
      </c>
      <c r="BG14" s="22">
        <f t="shared" si="7"/>
        <v>21.032111064518954</v>
      </c>
      <c r="BH14" s="62">
        <f t="shared" si="8"/>
        <v>266.19016904997108</v>
      </c>
      <c r="BI14" s="62">
        <f ca="1">AVERAGE(OFFSET($BH$3,0,0,'Données projet'!$E$11+1,1))-AVERAGE(OFFSET($H$3,0,0,'Données projet'!$E$11+1,1))</f>
        <v>470.57532875732056</v>
      </c>
      <c r="BJ14" s="62">
        <f t="shared" si="38"/>
        <v>286.63787681165888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projet'!$B$11,Paramètres!$A$1:$I$88,3,0)*0.475*44/12</f>
        <v>0</v>
      </c>
      <c r="BQ14" s="23">
        <f>EXP(-LN(2)/25)*BQ13+(1-EXP(-LN(2)/25))/(LN(2)/25)*Calculateur!BL14*Calculateur!BN14*VLOOKUP('Données projet'!$B$11,Paramètres!$A$1:$I$88,3,0)*0.475*44/12</f>
        <v>0</v>
      </c>
      <c r="BR14" s="23">
        <f>EXP(-LN(2)/2)*BR13+(1-EXP(-LN(2)/2))/(LN(2)/2)*BL14*BO14*VLOOKUP('Données projet'!$B$11,Paramètres!$A$1:$I$88,3,0)*0.475*44/12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63.194621874820278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10.8</v>
      </c>
      <c r="BY14" s="13">
        <f>IF('Données projet'!$A$114&gt;35,BY13+BX14-CG13,IF(A14&lt;'Données projet'!$A$114,$BV$205^A14,IF(A14='Données projet'!$A$114,'Données projet'!$B$114,BY13+BX14-CG13)))</f>
        <v>21.8</v>
      </c>
      <c r="BZ14" s="14">
        <f>BY14*VLOOKUP('Données projet'!$B$12,Paramètres!$A$1:$I$88,3,0)*VLOOKUP('Données projet'!$B$12,Paramètres!$A$1:$I$88,5,0)</f>
        <v>14.283360000000002</v>
      </c>
      <c r="CA14" s="14">
        <f t="shared" si="39"/>
        <v>4.8301452484424656</v>
      </c>
      <c r="CB14" s="22">
        <f t="shared" si="10"/>
        <v>33.289354974370632</v>
      </c>
      <c r="CC14" s="62">
        <f t="shared" si="11"/>
        <v>278.44741295982277</v>
      </c>
      <c r="CD14" s="62">
        <f ca="1">AVERAGE(OFFSET($CC$3,0,0,'Données projet'!$E$12+1,1))-AVERAGE(OFFSET($H$3,0,0,'Données projet'!$E$12+1,1))</f>
        <v>305.38855494899906</v>
      </c>
      <c r="CE14" s="62">
        <f t="shared" si="40"/>
        <v>298.48106301229177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projet'!$B$12,Paramètres!$A$1:$I$88,3,0)*0.475*44/12</f>
        <v>0</v>
      </c>
      <c r="CL14" s="23">
        <f>EXP(-LN(2)/25)*CL13+(1-EXP(-LN(2)/25))/(LN(2)/25)*Calculateur!CG14*Calculateur!CI14*VLOOKUP('Données projet'!$B$12,Paramètres!$A$1:$I$88,3,0)*0.475*44/12</f>
        <v>0</v>
      </c>
      <c r="CM14" s="23">
        <f>EXP(-LN(2)/2)*CM13+(1-EXP(-LN(2)/2))/(LN(2)/2)*CG14*CJ14*VLOOKUP('Données projet'!$B$12,Paramètres!$A$1:$I$88,3,0)*0.475*44/12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63.194621874820278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10.8</v>
      </c>
      <c r="CT14" s="13">
        <f>IF('Données projet'!$A$140&gt;35,CT13+CS14-DB13,IF(A14&lt;'Données projet'!$A$140,$CQ$205^A14,IF(A14='Données projet'!$A$140,'Données projet'!$B$140,CT13+CS14-DB13)))</f>
        <v>21.8</v>
      </c>
      <c r="CU14" s="18">
        <f>CT14*VLOOKUP('Données projet'!$B$13,Paramètres!$A$1:$I$88,3,0)*VLOOKUP('Données projet'!$B$13,Paramètres!$A$1:$I$88,5,0)</f>
        <v>17.344080000000002</v>
      </c>
      <c r="CV14" s="14">
        <f t="shared" si="41"/>
        <v>5.7341113912136308</v>
      </c>
      <c r="CW14" s="22">
        <f t="shared" si="13"/>
        <v>40.194516673030414</v>
      </c>
      <c r="CX14" s="62">
        <f t="shared" si="14"/>
        <v>285.35257465848252</v>
      </c>
      <c r="CY14" s="62">
        <f ca="1">AVERAGE(OFFSET($CX$3,0,0,'Données projet'!$E$13+1,1))-AVERAGE(OFFSET($H$3,0,0,'Données projet'!$E$13+1,1))</f>
        <v>361.30066984973894</v>
      </c>
      <c r="CZ14" s="62">
        <f t="shared" si="42"/>
        <v>351.78053157121622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projet'!$B$13,Paramètres!$A$1:$I$88,3,0)*0.475*44/12</f>
        <v>0</v>
      </c>
      <c r="DG14" s="23">
        <f>EXP(-LN(2)/25)*DG13+(1-EXP(-LN(2)/25))/(LN(2)/25)*Calculateur!DB14*Calculateur!DD14*VLOOKUP('Données projet'!$B$13,Paramètres!$A$1:$I$88,3,0)*0.475*44/12</f>
        <v>0</v>
      </c>
      <c r="DH14" s="23">
        <f>EXP(-LN(2)/2)*DH13+(1-EXP(-LN(2)/2))/(LN(2)/2)*DB14*DE14*VLOOKUP('Données projet'!$B$13,Paramètres!$A$1:$I$88,3,0)*0.475*44/12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63.194621874820278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12.8</v>
      </c>
      <c r="DO14" s="13">
        <f>IF('Données projet'!$A$166&gt;35,DO13+DN14-DW13,IF(A14&lt;'Données projet'!$A$166,$DL$205^A14,IF(A14='Données projet'!$A$166,'Données projet'!$B$166,DO13+DN14-DW13)))</f>
        <v>53.8</v>
      </c>
      <c r="DP14" s="18">
        <f>DO14*VLOOKUP('Données projet'!$B$14,Paramètres!$A$1:$I$88,3,0)*VLOOKUP('Données projet'!$B$14,Paramètres!$A$1:$I$88,5,0)</f>
        <v>27.360527999999999</v>
      </c>
      <c r="DQ14" s="14">
        <f t="shared" si="43"/>
        <v>8.5781818797897174</v>
      </c>
      <c r="DR14" s="22">
        <f t="shared" si="16"/>
        <v>62.593253040633748</v>
      </c>
      <c r="DS14" s="62">
        <f t="shared" si="17"/>
        <v>307.75131102608589</v>
      </c>
      <c r="DT14" s="62">
        <f ca="1">AVERAGE(OFFSET($DS$3,0,0,'Données projet'!$E$14+1,1))-AVERAGE(OFFSET($H$3,0,0,'Données projet'!$E$14+1,1))</f>
        <v>91.201152634762423</v>
      </c>
      <c r="DU14" s="62">
        <f t="shared" si="44"/>
        <v>233.36981992862445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projet'!$B$14,Paramètres!$A$1:$I$88,3,0)*0.475*44/12</f>
        <v>0</v>
      </c>
      <c r="EB14" s="23">
        <f>EXP(-LN(2)/25)*EB13+(1-EXP(-LN(2)/25))/(LN(2)/25)*Calculateur!DW14*Calculateur!DY14*VLOOKUP('Données projet'!$B$14,Paramètres!$A$1:$I$88,3,0)*0.475*44/12</f>
        <v>0</v>
      </c>
      <c r="EC14" s="23">
        <f>EXP(-LN(2)/2)*EC13+(1-EXP(-LN(2)/2))/(LN(2)/2)*DW14*DZ14*VLOOKUP('Données projet'!$B$14,Paramètres!$A$1:$I$88,3,0)*0.475*44/12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63.194621874820278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projet'!$B$15,Paramètres!$A$1:$I$88,3,0)*0.475*44/12</f>
        <v>#N/A</v>
      </c>
      <c r="EW14" s="23" t="e">
        <f>EXP(-LN(2)/25)*EW13+(1-EXP(-LN(2)/25))/(LN(2)/25)*Calculateur!ER14*Calculateur!ET14*VLOOKUP('Données projet'!$B$15,Paramètres!$A$1:$I$88,3,0)*0.475*44/12</f>
        <v>#N/A</v>
      </c>
      <c r="EX14" s="23" t="e">
        <f>EXP(-LN(2)/2)*EX13+(1-EXP(-LN(2)/2))/(LN(2)/2)*ER14*EU14*VLOOKUP('Données projet'!$B$15,Paramètres!$A$1:$I$88,3,0)*0.475*44/12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63.194621874820278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projet'!$B$16,Paramètres!$A$1:$I$88,3,0)*0.475*44/12</f>
        <v>#N/A</v>
      </c>
      <c r="FR14" s="23" t="e">
        <f>EXP(-LN(2)/25)*FR13+(1-EXP(-LN(2)/25))/(LN(2)/25)*Calculateur!FM14*Calculateur!FO14*VLOOKUP('Données projet'!$B$16,Paramètres!$A$1:$I$88,3,0)*0.475*44/12</f>
        <v>#N/A</v>
      </c>
      <c r="FS14" s="23" t="e">
        <f>EXP(-LN(2)/2)*FS13+(1-EXP(-LN(2)/2))/(LN(2)/2)*FM14*FP14*VLOOKUP('Données projet'!$B$16,Paramètres!$A$1:$I$88,3,0)*0.475*44/12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63.194621874820278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projet'!$B$17,Paramètres!$A$1:$I$88,3,0)*0.475*44/12</f>
        <v>#N/A</v>
      </c>
      <c r="GM14" s="23" t="e">
        <f>EXP(-LN(2)/25)*GM13+(1-EXP(-LN(2)/25))/(LN(2)/25)*Calculateur!GH14*Calculateur!GJ14*VLOOKUP('Données projet'!$B$17,Paramètres!$A$1:$I$88,3,0)*0.475*44/12</f>
        <v>#N/A</v>
      </c>
      <c r="GN14" s="23" t="e">
        <f>EXP(-LN(2)/2)*GN13+(1-EXP(-LN(2)/2))/(LN(2)/2)*GH14*GK14*VLOOKUP('Données projet'!$B$17,Paramètres!$A$1:$I$88,3,0)*0.475*44/12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63.194621874820278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projet'!$B$18,Paramètres!$A$1:$I$88,3,0)*0.475*44/12</f>
        <v>#N/A</v>
      </c>
      <c r="HH14" s="23" t="e">
        <f>EXP(-LN(2)/25)*HH13+(1-EXP(-LN(2)/25))/(LN(2)/25)*Calculateur!HC14*Calculateur!HE14*VLOOKUP('Données projet'!$B$18,Paramètres!$A$1:$I$88,3,0)*0.475*44/12</f>
        <v>#N/A</v>
      </c>
      <c r="HI14" s="23" t="e">
        <f>EXP(-LN(2)/2)*HI13+(1-EXP(-LN(2)/2))/(LN(2)/2)*HC14*HF14*VLOOKUP('Données projet'!$B$18,Paramètres!$A$1:$I$88,3,0)*0.475*44/12</f>
        <v>#N/A</v>
      </c>
      <c r="HJ14" s="24" t="e">
        <f t="shared" si="30"/>
        <v>#N/A</v>
      </c>
    </row>
    <row r="15" spans="1:218" s="5" customFormat="1" x14ac:dyDescent="0.2">
      <c r="A15" s="11">
        <f t="shared" si="31"/>
        <v>12</v>
      </c>
      <c r="B15" s="77">
        <f>'Scénario référence'!$B$16*5+'Scénario référence'!$B$17*0+'Scénario référence'!$B$18*5</f>
        <v>1.6500000000000001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6.0500000000000007</v>
      </c>
      <c r="H15" s="70">
        <f t="shared" si="1"/>
        <v>232.4666666666667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63.312679970745961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8.6</v>
      </c>
      <c r="N15" s="14">
        <f>IF('Données projet'!$A$36&gt;35,N14+M15-V14,IF(A15&lt;'Données projet'!$A$36,$K$205^A15,IF(A15='Données projet'!$A$36,'Données projet'!$B$36,N14+M15-V14)))</f>
        <v>48.805837347852986</v>
      </c>
      <c r="O15" s="14">
        <f>N15*VLOOKUP('Données projet'!$B$9,Paramètres!$A$1:$I$88,3,0)*VLOOKUP('Données projet'!$B$9,Paramètres!$A$1:$I$88,5,0)</f>
        <v>29.185890734016088</v>
      </c>
      <c r="P15" s="14">
        <f t="shared" si="33"/>
        <v>9.0819453755814319</v>
      </c>
      <c r="Q15" s="22">
        <f t="shared" si="2"/>
        <v>66.649814557549007</v>
      </c>
      <c r="R15" s="62">
        <f t="shared" si="0"/>
        <v>313.46297445028415</v>
      </c>
      <c r="S15" s="62">
        <f ca="1">AVERAGE(OFFSET($R$3,0,0,'Données projet'!$E$9+1,1))-AVERAGE(OFFSET($H$3,0,0,'Données projet'!$E$9+1,1))</f>
        <v>354.71367224254021</v>
      </c>
      <c r="T15" s="62">
        <f t="shared" si="34"/>
        <v>490.074370133397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63.312679970745961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5.5333333333333332</v>
      </c>
      <c r="AI15" s="14">
        <f>IF('Données projet'!$A$62&gt;35,AI14+AH15-AQ14,IF(A15&lt;'Données projet'!$A$62,$AF$205^A15,IF(A15='Données projet'!$A$62,'Données projet'!$B$62,AI14+AH15-AQ14)))</f>
        <v>34.297500720902434</v>
      </c>
      <c r="AJ15" s="14">
        <f>AI15*VLOOKUP('Données projet'!$B$10,Paramètres!$A$1:$I$88,3,0)*VLOOKUP('Données projet'!$B$10,Paramètres!$A$1:$I$88,5,0)</f>
        <v>20.509905431099657</v>
      </c>
      <c r="AK15" s="14">
        <f t="shared" si="35"/>
        <v>6.6497168480551982</v>
      </c>
      <c r="AL15" s="22">
        <f t="shared" si="4"/>
        <v>47.30300880286137</v>
      </c>
      <c r="AM15" s="62">
        <f t="shared" si="5"/>
        <v>294.11616869559657</v>
      </c>
      <c r="AN15" s="62">
        <f ca="1">AVERAGE(OFFSET($AM$3,0,0,'Données projet'!$E$10+1,1))-AVERAGE(OFFSET($H$3,0,0,'Données projet'!$E$10+1,1))</f>
        <v>264.73276096087574</v>
      </c>
      <c r="AO15" s="62">
        <f t="shared" si="36"/>
        <v>381.84464918049662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projet'!$B$10,Paramètres!$A$1:$I$88,3,0)*0.475*44/12</f>
        <v>0</v>
      </c>
      <c r="AV15" s="23">
        <f>EXP(-LN(2)/25)*AV14+(1-EXP(-LN(2)/25))/(LN(2)/25)*Calculateur!AQ15*Calculateur!AS15*VLOOKUP('Données projet'!$B$10,Paramètres!$A$1:$I$88,3,0)*0.475*44/12</f>
        <v>0</v>
      </c>
      <c r="AW15" s="23">
        <f>EXP(-LN(2)/2)*AW14+(1-EXP(-LN(2)/2))/(LN(2)/2)*AQ15*AT15*VLOOKUP('Données projet'!$B$10,Paramètres!$A$1:$I$88,3,0)*0.475*44/12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63.312679970745961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2.1</v>
      </c>
      <c r="BD15" s="13">
        <f>IF('Données projet'!$A$88&gt;35,BD14+BC15-BL14,IF(A15&lt;'Données projet'!$A$88,$BA$205^A15,IF(A15='Données projet'!$A$88,'Données projet'!$B$88,BD14+BC15-BL14)))</f>
        <v>9.4178024044149407</v>
      </c>
      <c r="BE15" s="14">
        <f>BD15*VLOOKUP('Données projet'!$B$11,Paramètres!$A$1:$I$88,3,0)*VLOOKUP('Données projet'!$B$11,Paramètres!$A$1:$I$88,5,0)</f>
        <v>10.724993378147735</v>
      </c>
      <c r="BF15" s="14">
        <f t="shared" si="37"/>
        <v>3.7498239880297484</v>
      </c>
      <c r="BG15" s="22">
        <f t="shared" si="7"/>
        <v>25.210306912759112</v>
      </c>
      <c r="BH15" s="62">
        <f t="shared" si="8"/>
        <v>272.02346680549431</v>
      </c>
      <c r="BI15" s="62">
        <f ca="1">AVERAGE(OFFSET($BH$3,0,0,'Données projet'!$E$11+1,1))-AVERAGE(OFFSET($H$3,0,0,'Données projet'!$E$11+1,1))</f>
        <v>470.57532875732056</v>
      </c>
      <c r="BJ15" s="62">
        <f t="shared" si="38"/>
        <v>286.63787681165888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projet'!$B$11,Paramètres!$A$1:$I$88,3,0)*0.475*44/12</f>
        <v>0</v>
      </c>
      <c r="BQ15" s="23">
        <f>EXP(-LN(2)/25)*BQ14+(1-EXP(-LN(2)/25))/(LN(2)/25)*Calculateur!BL15*Calculateur!BN15*VLOOKUP('Données projet'!$B$11,Paramètres!$A$1:$I$88,3,0)*0.475*44/12</f>
        <v>0</v>
      </c>
      <c r="BR15" s="23">
        <f>EXP(-LN(2)/2)*BR14+(1-EXP(-LN(2)/2))/(LN(2)/2)*BL15*BO15*VLOOKUP('Données projet'!$B$11,Paramètres!$A$1:$I$88,3,0)*0.475*44/12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63.312679970745961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10.8</v>
      </c>
      <c r="BY15" s="13">
        <f>IF('Données projet'!$A$114&gt;35,BY14+BX15-CG14,IF(A15&lt;'Données projet'!$A$114,$BV$205^A15,IF(A15='Données projet'!$A$114,'Données projet'!$B$114,BY14+BX15-CG14)))</f>
        <v>32.6</v>
      </c>
      <c r="BZ15" s="14">
        <f>BY15*VLOOKUP('Données projet'!$B$12,Paramètres!$A$1:$I$88,3,0)*VLOOKUP('Données projet'!$B$12,Paramètres!$A$1:$I$88,5,0)</f>
        <v>21.35952</v>
      </c>
      <c r="CA15" s="14">
        <f t="shared" si="39"/>
        <v>6.892536972385793</v>
      </c>
      <c r="CB15" s="22">
        <f t="shared" si="10"/>
        <v>49.205665893571926</v>
      </c>
      <c r="CC15" s="62">
        <f t="shared" si="11"/>
        <v>296.0188257863071</v>
      </c>
      <c r="CD15" s="62">
        <f ca="1">AVERAGE(OFFSET($CC$3,0,0,'Données projet'!$E$12+1,1))-AVERAGE(OFFSET($H$3,0,0,'Données projet'!$E$12+1,1))</f>
        <v>305.38855494899906</v>
      </c>
      <c r="CE15" s="62">
        <f t="shared" si="40"/>
        <v>298.48106301229177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projet'!$B$12,Paramètres!$A$1:$I$88,3,0)*0.475*44/12</f>
        <v>0</v>
      </c>
      <c r="CL15" s="23">
        <f>EXP(-LN(2)/25)*CL14+(1-EXP(-LN(2)/25))/(LN(2)/25)*Calculateur!CG15*Calculateur!CI15*VLOOKUP('Données projet'!$B$12,Paramètres!$A$1:$I$88,3,0)*0.475*44/12</f>
        <v>0</v>
      </c>
      <c r="CM15" s="23">
        <f>EXP(-LN(2)/2)*CM14+(1-EXP(-LN(2)/2))/(LN(2)/2)*CG15*CJ15*VLOOKUP('Données projet'!$B$12,Paramètres!$A$1:$I$88,3,0)*0.475*44/12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63.312679970745961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10.8</v>
      </c>
      <c r="CT15" s="13">
        <f>IF('Données projet'!$A$140&gt;35,CT14+CS15-DB14,IF(A15&lt;'Données projet'!$A$140,$CQ$205^A15,IF(A15='Données projet'!$A$140,'Données projet'!$B$140,CT14+CS15-DB14)))</f>
        <v>32.6</v>
      </c>
      <c r="CU15" s="18">
        <f>CT15*VLOOKUP('Données projet'!$B$13,Paramètres!$A$1:$I$88,3,0)*VLOOKUP('Données projet'!$B$13,Paramètres!$A$1:$I$88,5,0)</f>
        <v>25.936560000000004</v>
      </c>
      <c r="CV15" s="14">
        <f t="shared" si="41"/>
        <v>8.1824816304360635</v>
      </c>
      <c r="CW15" s="22">
        <f t="shared" si="13"/>
        <v>59.423997506342801</v>
      </c>
      <c r="CX15" s="62">
        <f t="shared" si="14"/>
        <v>306.237157399078</v>
      </c>
      <c r="CY15" s="62">
        <f ca="1">AVERAGE(OFFSET($CX$3,0,0,'Données projet'!$E$13+1,1))-AVERAGE(OFFSET($H$3,0,0,'Données projet'!$E$13+1,1))</f>
        <v>361.30066984973894</v>
      </c>
      <c r="CZ15" s="62">
        <f t="shared" si="42"/>
        <v>351.78053157121622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projet'!$B$13,Paramètres!$A$1:$I$88,3,0)*0.475*44/12</f>
        <v>0</v>
      </c>
      <c r="DG15" s="23">
        <f>EXP(-LN(2)/25)*DG14+(1-EXP(-LN(2)/25))/(LN(2)/25)*Calculateur!DB15*Calculateur!DD15*VLOOKUP('Données projet'!$B$13,Paramètres!$A$1:$I$88,3,0)*0.475*44/12</f>
        <v>0</v>
      </c>
      <c r="DH15" s="23">
        <f>EXP(-LN(2)/2)*DH14+(1-EXP(-LN(2)/2))/(LN(2)/2)*DB15*DE15*VLOOKUP('Données projet'!$B$13,Paramètres!$A$1:$I$88,3,0)*0.475*44/12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63.312679970745961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12.8</v>
      </c>
      <c r="DO15" s="13">
        <f>IF('Données projet'!$A$166&gt;35,DO14+DN15-DW14,IF(A15&lt;'Données projet'!$A$166,$DL$205^A15,IF(A15='Données projet'!$A$166,'Données projet'!$B$166,DO14+DN15-DW14)))</f>
        <v>66.599999999999994</v>
      </c>
      <c r="DP15" s="18">
        <f>DO15*VLOOKUP('Données projet'!$B$14,Paramètres!$A$1:$I$88,3,0)*VLOOKUP('Données projet'!$B$14,Paramètres!$A$1:$I$88,5,0)</f>
        <v>33.870096000000004</v>
      </c>
      <c r="DQ15" s="14">
        <f t="shared" si="43"/>
        <v>10.358523610671424</v>
      </c>
      <c r="DR15" s="22">
        <f t="shared" si="16"/>
        <v>77.031512488586074</v>
      </c>
      <c r="DS15" s="62">
        <f t="shared" si="17"/>
        <v>323.84467238132123</v>
      </c>
      <c r="DT15" s="62">
        <f ca="1">AVERAGE(OFFSET($DS$3,0,0,'Données projet'!$E$14+1,1))-AVERAGE(OFFSET($H$3,0,0,'Données projet'!$E$14+1,1))</f>
        <v>91.201152634762423</v>
      </c>
      <c r="DU15" s="62">
        <f t="shared" si="44"/>
        <v>233.36981992862445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projet'!$B$14,Paramètres!$A$1:$I$88,3,0)*0.475*44/12</f>
        <v>0</v>
      </c>
      <c r="EB15" s="23">
        <f>EXP(-LN(2)/25)*EB14+(1-EXP(-LN(2)/25))/(LN(2)/25)*Calculateur!DW15*Calculateur!DY15*VLOOKUP('Données projet'!$B$14,Paramètres!$A$1:$I$88,3,0)*0.475*44/12</f>
        <v>0</v>
      </c>
      <c r="EC15" s="23">
        <f>EXP(-LN(2)/2)*EC14+(1-EXP(-LN(2)/2))/(LN(2)/2)*DW15*DZ15*VLOOKUP('Données projet'!$B$14,Paramètres!$A$1:$I$88,3,0)*0.475*44/12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63.312679970745961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projet'!$B$15,Paramètres!$A$1:$I$88,3,0)*0.475*44/12</f>
        <v>#N/A</v>
      </c>
      <c r="EW15" s="23" t="e">
        <f>EXP(-LN(2)/25)*EW14+(1-EXP(-LN(2)/25))/(LN(2)/25)*Calculateur!ER15*Calculateur!ET15*VLOOKUP('Données projet'!$B$15,Paramètres!$A$1:$I$88,3,0)*0.475*44/12</f>
        <v>#N/A</v>
      </c>
      <c r="EX15" s="23" t="e">
        <f>EXP(-LN(2)/2)*EX14+(1-EXP(-LN(2)/2))/(LN(2)/2)*ER15*EU15*VLOOKUP('Données projet'!$B$15,Paramètres!$A$1:$I$88,3,0)*0.475*44/12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63.312679970745961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projet'!$B$16,Paramètres!$A$1:$I$88,3,0)*0.475*44/12</f>
        <v>#N/A</v>
      </c>
      <c r="FR15" s="23" t="e">
        <f>EXP(-LN(2)/25)*FR14+(1-EXP(-LN(2)/25))/(LN(2)/25)*Calculateur!FM15*Calculateur!FO15*VLOOKUP('Données projet'!$B$16,Paramètres!$A$1:$I$88,3,0)*0.475*44/12</f>
        <v>#N/A</v>
      </c>
      <c r="FS15" s="23" t="e">
        <f>EXP(-LN(2)/2)*FS14+(1-EXP(-LN(2)/2))/(LN(2)/2)*FM15*FP15*VLOOKUP('Données projet'!$B$16,Paramètres!$A$1:$I$88,3,0)*0.475*44/12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63.312679970745961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projet'!$B$17,Paramètres!$A$1:$I$88,3,0)*0.475*44/12</f>
        <v>#N/A</v>
      </c>
      <c r="GM15" s="23" t="e">
        <f>EXP(-LN(2)/25)*GM14+(1-EXP(-LN(2)/25))/(LN(2)/25)*Calculateur!GH15*Calculateur!GJ15*VLOOKUP('Données projet'!$B$17,Paramètres!$A$1:$I$88,3,0)*0.475*44/12</f>
        <v>#N/A</v>
      </c>
      <c r="GN15" s="23" t="e">
        <f>EXP(-LN(2)/2)*GN14+(1-EXP(-LN(2)/2))/(LN(2)/2)*GH15*GK15*VLOOKUP('Données projet'!$B$17,Paramètres!$A$1:$I$88,3,0)*0.475*44/12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63.312679970745961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projet'!$B$18,Paramètres!$A$1:$I$88,3,0)*0.475*44/12</f>
        <v>#N/A</v>
      </c>
      <c r="HH15" s="23" t="e">
        <f>EXP(-LN(2)/25)*HH14+(1-EXP(-LN(2)/25))/(LN(2)/25)*Calculateur!HC15*Calculateur!HE15*VLOOKUP('Données projet'!$B$18,Paramètres!$A$1:$I$88,3,0)*0.475*44/12</f>
        <v>#N/A</v>
      </c>
      <c r="HI15" s="23" t="e">
        <f>EXP(-LN(2)/2)*HI14+(1-EXP(-LN(2)/2))/(LN(2)/2)*HC15*HF15*VLOOKUP('Données projet'!$B$18,Paramètres!$A$1:$I$88,3,0)*0.475*44/12</f>
        <v>#N/A</v>
      </c>
      <c r="HJ15" s="24" t="e">
        <f t="shared" si="30"/>
        <v>#N/A</v>
      </c>
    </row>
    <row r="16" spans="1:218" s="5" customFormat="1" x14ac:dyDescent="0.2">
      <c r="A16" s="11">
        <f t="shared" si="31"/>
        <v>13</v>
      </c>
      <c r="B16" s="77">
        <f>'Scénario référence'!$B$16*5+'Scénario référence'!$B$17*0+'Scénario référence'!$B$18*5</f>
        <v>1.6500000000000001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6.0500000000000007</v>
      </c>
      <c r="H16" s="70">
        <f t="shared" si="1"/>
        <v>232.4666666666667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63.428690022645696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8.6</v>
      </c>
      <c r="N16" s="14">
        <f>IF('Données projet'!$A$36&gt;35,N15+M16-V15,IF(A16&lt;'Données projet'!$A$36,$K$205^A16,IF(A16='Données projet'!$A$36,'Données projet'!$B$36,N15+M16-V15)))</f>
        <v>67.480415639999848</v>
      </c>
      <c r="O16" s="14">
        <f>N16*VLOOKUP('Données projet'!$B$9,Paramètres!$A$1:$I$88,3,0)*VLOOKUP('Données projet'!$B$9,Paramètres!$A$1:$I$88,5,0)</f>
        <v>40.353288552719917</v>
      </c>
      <c r="P16" s="14">
        <f t="shared" si="33"/>
        <v>12.092238100189313</v>
      </c>
      <c r="Q16" s="22">
        <f t="shared" si="2"/>
        <v>91.342625587150238</v>
      </c>
      <c r="R16" s="62">
        <f t="shared" si="0"/>
        <v>339.80337789240667</v>
      </c>
      <c r="S16" s="62">
        <f ca="1">AVERAGE(OFFSET($R$3,0,0,'Données projet'!$E$9+1,1))-AVERAGE(OFFSET($H$3,0,0,'Données projet'!$E$9+1,1))</f>
        <v>354.71367224254021</v>
      </c>
      <c r="T16" s="62">
        <f t="shared" si="34"/>
        <v>490.074370133397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63.428690022645696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5.5333333333333332</v>
      </c>
      <c r="AI16" s="14">
        <f>IF('Données projet'!$A$62&gt;35,AI15+AH16-AQ15,IF(A16&lt;'Données projet'!$A$62,$AF$205^A16,IF(A16='Données projet'!$A$62,'Données projet'!$B$62,AI15+AH16-AQ15)))</f>
        <v>46.046965284765555</v>
      </c>
      <c r="AJ16" s="14">
        <f>AI16*VLOOKUP('Données projet'!$B$10,Paramètres!$A$1:$I$88,3,0)*VLOOKUP('Données projet'!$B$10,Paramètres!$A$1:$I$88,5,0)</f>
        <v>27.5360852402898</v>
      </c>
      <c r="AK16" s="14">
        <f t="shared" si="35"/>
        <v>8.6267983476430441</v>
      </c>
      <c r="AL16" s="22">
        <f t="shared" si="4"/>
        <v>62.983688915649708</v>
      </c>
      <c r="AM16" s="62">
        <f t="shared" si="5"/>
        <v>311.44444122090613</v>
      </c>
      <c r="AN16" s="62">
        <f ca="1">AVERAGE(OFFSET($AM$3,0,0,'Données projet'!$E$10+1,1))-AVERAGE(OFFSET($H$3,0,0,'Données projet'!$E$10+1,1))</f>
        <v>264.73276096087574</v>
      </c>
      <c r="AO16" s="62">
        <f t="shared" si="36"/>
        <v>381.84464918049662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projet'!$B$10,Paramètres!$A$1:$I$88,3,0)*0.475*44/12</f>
        <v>0</v>
      </c>
      <c r="AV16" s="23">
        <f>EXP(-LN(2)/25)*AV15+(1-EXP(-LN(2)/25))/(LN(2)/25)*Calculateur!AQ16*Calculateur!AS16*VLOOKUP('Données projet'!$B$10,Paramètres!$A$1:$I$88,3,0)*0.475*44/12</f>
        <v>0</v>
      </c>
      <c r="AW16" s="23">
        <f>EXP(-LN(2)/2)*AW15+(1-EXP(-LN(2)/2))/(LN(2)/2)*AQ16*AT16*VLOOKUP('Données projet'!$B$10,Paramètres!$A$1:$I$88,3,0)*0.475*44/12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63.428690022645696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2.1</v>
      </c>
      <c r="BD16" s="13">
        <f>IF('Données projet'!$A$88&gt;35,BD15+BC16-BL15,IF(A16&lt;'Données projet'!$A$88,$BA$205^A16,IF(A16='Données projet'!$A$88,'Données projet'!$B$88,BD15+BC16-BL15)))</f>
        <v>11.35303662145153</v>
      </c>
      <c r="BE16" s="14">
        <f>BD16*VLOOKUP('Données projet'!$B$11,Paramètres!$A$1:$I$88,3,0)*VLOOKUP('Données projet'!$B$11,Paramètres!$A$1:$I$88,5,0)</f>
        <v>12.928838104509001</v>
      </c>
      <c r="BF16" s="14">
        <f t="shared" si="37"/>
        <v>4.4230926504578099</v>
      </c>
      <c r="BG16" s="22">
        <f t="shared" si="7"/>
        <v>30.221279398233865</v>
      </c>
      <c r="BH16" s="62">
        <f t="shared" si="8"/>
        <v>278.68203170349028</v>
      </c>
      <c r="BI16" s="62">
        <f ca="1">AVERAGE(OFFSET($BH$3,0,0,'Données projet'!$E$11+1,1))-AVERAGE(OFFSET($H$3,0,0,'Données projet'!$E$11+1,1))</f>
        <v>470.57532875732056</v>
      </c>
      <c r="BJ16" s="62">
        <f t="shared" si="38"/>
        <v>286.63787681165888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projet'!$B$11,Paramètres!$A$1:$I$88,3,0)*0.475*44/12</f>
        <v>0</v>
      </c>
      <c r="BQ16" s="23">
        <f>EXP(-LN(2)/25)*BQ15+(1-EXP(-LN(2)/25))/(LN(2)/25)*Calculateur!BL16*Calculateur!BN16*VLOOKUP('Données projet'!$B$11,Paramètres!$A$1:$I$88,3,0)*0.475*44/12</f>
        <v>0</v>
      </c>
      <c r="BR16" s="23">
        <f>EXP(-LN(2)/2)*BR15+(1-EXP(-LN(2)/2))/(LN(2)/2)*BL16*BO16*VLOOKUP('Données projet'!$B$11,Paramètres!$A$1:$I$88,3,0)*0.475*44/12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63.428690022645696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10.8</v>
      </c>
      <c r="BY16" s="13">
        <f>IF('Données projet'!$A$114&gt;35,BY15+BX16-CG15,IF(A16&lt;'Données projet'!$A$114,$BV$205^A16,IF(A16='Données projet'!$A$114,'Données projet'!$B$114,BY15+BX16-CG15)))</f>
        <v>43.400000000000006</v>
      </c>
      <c r="BZ16" s="14">
        <f>BY16*VLOOKUP('Données projet'!$B$12,Paramètres!$A$1:$I$88,3,0)*VLOOKUP('Données projet'!$B$12,Paramètres!$A$1:$I$88,5,0)</f>
        <v>28.435680000000005</v>
      </c>
      <c r="CA16" s="14">
        <f t="shared" si="39"/>
        <v>8.875359594264788</v>
      </c>
      <c r="CB16" s="22">
        <f t="shared" si="10"/>
        <v>64.983393960011185</v>
      </c>
      <c r="CC16" s="62">
        <f t="shared" si="11"/>
        <v>313.44414626526759</v>
      </c>
      <c r="CD16" s="62">
        <f ca="1">AVERAGE(OFFSET($CC$3,0,0,'Données projet'!$E$12+1,1))-AVERAGE(OFFSET($H$3,0,0,'Données projet'!$E$12+1,1))</f>
        <v>305.38855494899906</v>
      </c>
      <c r="CE16" s="62">
        <f t="shared" si="40"/>
        <v>298.48106301229177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projet'!$B$12,Paramètres!$A$1:$I$88,3,0)*0.475*44/12</f>
        <v>0</v>
      </c>
      <c r="CL16" s="23">
        <f>EXP(-LN(2)/25)*CL15+(1-EXP(-LN(2)/25))/(LN(2)/25)*Calculateur!CG16*Calculateur!CI16*VLOOKUP('Données projet'!$B$12,Paramètres!$A$1:$I$88,3,0)*0.475*44/12</f>
        <v>0</v>
      </c>
      <c r="CM16" s="23">
        <f>EXP(-LN(2)/2)*CM15+(1-EXP(-LN(2)/2))/(LN(2)/2)*CG16*CJ16*VLOOKUP('Données projet'!$B$12,Paramètres!$A$1:$I$88,3,0)*0.475*44/12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63.428690022645696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10.8</v>
      </c>
      <c r="CT16" s="13">
        <f>IF('Données projet'!$A$140&gt;35,CT15+CS16-DB15,IF(A16&lt;'Données projet'!$A$140,$CQ$205^A16,IF(A16='Données projet'!$A$140,'Données projet'!$B$140,CT15+CS16-DB15)))</f>
        <v>43.400000000000006</v>
      </c>
      <c r="CU16" s="18">
        <f>CT16*VLOOKUP('Données projet'!$B$13,Paramètres!$A$1:$I$88,3,0)*VLOOKUP('Données projet'!$B$13,Paramètres!$A$1:$I$88,5,0)</f>
        <v>34.529040000000009</v>
      </c>
      <c r="CV16" s="14">
        <f t="shared" si="41"/>
        <v>10.536391336679102</v>
      </c>
      <c r="CW16" s="22">
        <f t="shared" si="13"/>
        <v>78.488959578049446</v>
      </c>
      <c r="CX16" s="62">
        <f t="shared" si="14"/>
        <v>326.94971188330589</v>
      </c>
      <c r="CY16" s="62">
        <f ca="1">AVERAGE(OFFSET($CX$3,0,0,'Données projet'!$E$13+1,1))-AVERAGE(OFFSET($H$3,0,0,'Données projet'!$E$13+1,1))</f>
        <v>361.30066984973894</v>
      </c>
      <c r="CZ16" s="62">
        <f t="shared" si="42"/>
        <v>351.78053157121622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projet'!$B$13,Paramètres!$A$1:$I$88,3,0)*0.475*44/12</f>
        <v>0</v>
      </c>
      <c r="DG16" s="23">
        <f>EXP(-LN(2)/25)*DG15+(1-EXP(-LN(2)/25))/(LN(2)/25)*Calculateur!DB16*Calculateur!DD16*VLOOKUP('Données projet'!$B$13,Paramètres!$A$1:$I$88,3,0)*0.475*44/12</f>
        <v>0</v>
      </c>
      <c r="DH16" s="23">
        <f>EXP(-LN(2)/2)*DH15+(1-EXP(-LN(2)/2))/(LN(2)/2)*DB16*DE16*VLOOKUP('Données projet'!$B$13,Paramètres!$A$1:$I$88,3,0)*0.475*44/12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63.428690022645696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12.8</v>
      </c>
      <c r="DO16" s="13">
        <f>IF('Données projet'!$A$166&gt;35,DO15+DN16-DW15,IF(A16&lt;'Données projet'!$A$166,$DL$205^A16,IF(A16='Données projet'!$A$166,'Données projet'!$B$166,DO15+DN16-DW15)))</f>
        <v>79.399999999999991</v>
      </c>
      <c r="DP16" s="18">
        <f>DO16*VLOOKUP('Données projet'!$B$14,Paramètres!$A$1:$I$88,3,0)*VLOOKUP('Données projet'!$B$14,Paramètres!$A$1:$I$88,5,0)</f>
        <v>40.379663999999998</v>
      </c>
      <c r="DQ16" s="14">
        <f t="shared" si="43"/>
        <v>12.099221497969294</v>
      </c>
      <c r="DR16" s="22">
        <f t="shared" si="16"/>
        <v>91.400725575629849</v>
      </c>
      <c r="DS16" s="62">
        <f t="shared" si="17"/>
        <v>339.86147788088624</v>
      </c>
      <c r="DT16" s="62">
        <f ca="1">AVERAGE(OFFSET($DS$3,0,0,'Données projet'!$E$14+1,1))-AVERAGE(OFFSET($H$3,0,0,'Données projet'!$E$14+1,1))</f>
        <v>91.201152634762423</v>
      </c>
      <c r="DU16" s="62">
        <f t="shared" si="44"/>
        <v>233.36981992862445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projet'!$B$14,Paramètres!$A$1:$I$88,3,0)*0.475*44/12</f>
        <v>0</v>
      </c>
      <c r="EB16" s="23">
        <f>EXP(-LN(2)/25)*EB15+(1-EXP(-LN(2)/25))/(LN(2)/25)*Calculateur!DW16*Calculateur!DY16*VLOOKUP('Données projet'!$B$14,Paramètres!$A$1:$I$88,3,0)*0.475*44/12</f>
        <v>0</v>
      </c>
      <c r="EC16" s="23">
        <f>EXP(-LN(2)/2)*EC15+(1-EXP(-LN(2)/2))/(LN(2)/2)*DW16*DZ16*VLOOKUP('Données projet'!$B$14,Paramètres!$A$1:$I$88,3,0)*0.475*44/12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63.428690022645696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projet'!$B$15,Paramètres!$A$1:$I$88,3,0)*0.475*44/12</f>
        <v>#N/A</v>
      </c>
      <c r="EW16" s="23" t="e">
        <f>EXP(-LN(2)/25)*EW15+(1-EXP(-LN(2)/25))/(LN(2)/25)*Calculateur!ER16*Calculateur!ET16*VLOOKUP('Données projet'!$B$15,Paramètres!$A$1:$I$88,3,0)*0.475*44/12</f>
        <v>#N/A</v>
      </c>
      <c r="EX16" s="23" t="e">
        <f>EXP(-LN(2)/2)*EX15+(1-EXP(-LN(2)/2))/(LN(2)/2)*ER16*EU16*VLOOKUP('Données projet'!$B$15,Paramètres!$A$1:$I$88,3,0)*0.475*44/12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63.428690022645696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projet'!$B$16,Paramètres!$A$1:$I$88,3,0)*0.475*44/12</f>
        <v>#N/A</v>
      </c>
      <c r="FR16" s="23" t="e">
        <f>EXP(-LN(2)/25)*FR15+(1-EXP(-LN(2)/25))/(LN(2)/25)*Calculateur!FM16*Calculateur!FO16*VLOOKUP('Données projet'!$B$16,Paramètres!$A$1:$I$88,3,0)*0.475*44/12</f>
        <v>#N/A</v>
      </c>
      <c r="FS16" s="23" t="e">
        <f>EXP(-LN(2)/2)*FS15+(1-EXP(-LN(2)/2))/(LN(2)/2)*FM16*FP16*VLOOKUP('Données projet'!$B$16,Paramètres!$A$1:$I$88,3,0)*0.475*44/12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63.428690022645696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projet'!$B$17,Paramètres!$A$1:$I$88,3,0)*0.475*44/12</f>
        <v>#N/A</v>
      </c>
      <c r="GM16" s="23" t="e">
        <f>EXP(-LN(2)/25)*GM15+(1-EXP(-LN(2)/25))/(LN(2)/25)*Calculateur!GH16*Calculateur!GJ16*VLOOKUP('Données projet'!$B$17,Paramètres!$A$1:$I$88,3,0)*0.475*44/12</f>
        <v>#N/A</v>
      </c>
      <c r="GN16" s="23" t="e">
        <f>EXP(-LN(2)/2)*GN15+(1-EXP(-LN(2)/2))/(LN(2)/2)*GH16*GK16*VLOOKUP('Données projet'!$B$17,Paramètres!$A$1:$I$88,3,0)*0.475*44/12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63.428690022645696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projet'!$B$18,Paramètres!$A$1:$I$88,3,0)*0.475*44/12</f>
        <v>#N/A</v>
      </c>
      <c r="HH16" s="23" t="e">
        <f>EXP(-LN(2)/25)*HH15+(1-EXP(-LN(2)/25))/(LN(2)/25)*Calculateur!HC16*Calculateur!HE16*VLOOKUP('Données projet'!$B$18,Paramètres!$A$1:$I$88,3,0)*0.475*44/12</f>
        <v>#N/A</v>
      </c>
      <c r="HI16" s="23" t="e">
        <f>EXP(-LN(2)/2)*HI15+(1-EXP(-LN(2)/2))/(LN(2)/2)*HC16*HF16*VLOOKUP('Données projet'!$B$18,Paramètres!$A$1:$I$88,3,0)*0.475*44/12</f>
        <v>#N/A</v>
      </c>
      <c r="HJ16" s="24" t="e">
        <f t="shared" si="30"/>
        <v>#N/A</v>
      </c>
    </row>
    <row r="17" spans="1:218" s="5" customFormat="1" x14ac:dyDescent="0.2">
      <c r="A17" s="11">
        <f t="shared" si="31"/>
        <v>14</v>
      </c>
      <c r="B17" s="77">
        <f>'Scénario référence'!$B$16*5+'Scénario référence'!$B$17*0+'Scénario référence'!$B$18*5</f>
        <v>1.6500000000000001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6.0500000000000007</v>
      </c>
      <c r="H17" s="70">
        <f t="shared" si="1"/>
        <v>232.4666666666667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63.5426875595046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8.6</v>
      </c>
      <c r="N17" s="14">
        <f>IF('Données projet'!$A$36&gt;35,N16+M17-V16,IF(A17&lt;'Données projet'!$A$36,$K$205^A17,IF(A17='Données projet'!$A$36,'Données projet'!$B$36,N16+M17-V16)))</f>
        <v>93.300448110177783</v>
      </c>
      <c r="O17" s="14">
        <f>N17*VLOOKUP('Données projet'!$B$9,Paramètres!$A$1:$I$88,3,0)*VLOOKUP('Données projet'!$B$9,Paramètres!$A$1:$I$88,5,0)</f>
        <v>55.793667969886314</v>
      </c>
      <c r="P17" s="14">
        <f t="shared" si="33"/>
        <v>16.100319504763448</v>
      </c>
      <c r="Q17" s="22">
        <f t="shared" si="2"/>
        <v>125.21536151834833</v>
      </c>
      <c r="R17" s="62">
        <f t="shared" si="0"/>
        <v>375.31632701430965</v>
      </c>
      <c r="S17" s="62">
        <f ca="1">AVERAGE(OFFSET($R$3,0,0,'Données projet'!$E$9+1,1))-AVERAGE(OFFSET($H$3,0,0,'Données projet'!$E$9+1,1))</f>
        <v>354.71367224254021</v>
      </c>
      <c r="T17" s="62">
        <f t="shared" si="34"/>
        <v>490.074370133397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63.5426875595046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5.5333333333333332</v>
      </c>
      <c r="AI17" s="14">
        <f>IF('Données projet'!$A$62&gt;35,AI16+AH17-AQ16,IF(A17&lt;'Données projet'!$A$62,$AF$205^A17,IF(A17='Données projet'!$A$62,'Données projet'!$B$62,AI16+AH17-AQ16)))</f>
        <v>61.821502073595248</v>
      </c>
      <c r="AJ17" s="14">
        <f>AI17*VLOOKUP('Données projet'!$B$10,Paramètres!$A$1:$I$88,3,0)*VLOOKUP('Données projet'!$B$10,Paramètres!$A$1:$I$88,5,0)</f>
        <v>36.969258240009964</v>
      </c>
      <c r="AK17" s="14">
        <f t="shared" si="35"/>
        <v>11.191702057609033</v>
      </c>
      <c r="AL17" s="22">
        <f t="shared" si="4"/>
        <v>83.88033918501975</v>
      </c>
      <c r="AM17" s="62">
        <f t="shared" si="5"/>
        <v>333.98130468098111</v>
      </c>
      <c r="AN17" s="62">
        <f ca="1">AVERAGE(OFFSET($AM$3,0,0,'Données projet'!$E$10+1,1))-AVERAGE(OFFSET($H$3,0,0,'Données projet'!$E$10+1,1))</f>
        <v>264.73276096087574</v>
      </c>
      <c r="AO17" s="62">
        <f t="shared" si="36"/>
        <v>381.84464918049662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projet'!$B$10,Paramètres!$A$1:$I$88,3,0)*0.475*44/12</f>
        <v>0</v>
      </c>
      <c r="AV17" s="23">
        <f>EXP(-LN(2)/25)*AV16+(1-EXP(-LN(2)/25))/(LN(2)/25)*Calculateur!AQ17*Calculateur!AS17*VLOOKUP('Données projet'!$B$10,Paramètres!$A$1:$I$88,3,0)*0.475*44/12</f>
        <v>0</v>
      </c>
      <c r="AW17" s="23">
        <f>EXP(-LN(2)/2)*AW16+(1-EXP(-LN(2)/2))/(LN(2)/2)*AQ17*AT17*VLOOKUP('Données projet'!$B$10,Paramètres!$A$1:$I$88,3,0)*0.475*44/12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63.5426875595046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2.1</v>
      </c>
      <c r="BD17" s="13">
        <f>IF('Données projet'!$A$88&gt;35,BD16+BC17-BL16,IF(A17&lt;'Données projet'!$A$88,$BA$205^A17,IF(A17='Données projet'!$A$88,'Données projet'!$B$88,BD16+BC17-BL16)))</f>
        <v>13.685935953338433</v>
      </c>
      <c r="BE17" s="14">
        <f>BD17*VLOOKUP('Données projet'!$B$11,Paramètres!$A$1:$I$88,3,0)*VLOOKUP('Données projet'!$B$11,Paramètres!$A$1:$I$88,5,0)</f>
        <v>15.585543863661808</v>
      </c>
      <c r="BF17" s="14">
        <f t="shared" si="37"/>
        <v>5.217244504538245</v>
      </c>
      <c r="BG17" s="22">
        <f t="shared" si="7"/>
        <v>36.23152307461509</v>
      </c>
      <c r="BH17" s="62">
        <f t="shared" si="8"/>
        <v>286.3324885705764</v>
      </c>
      <c r="BI17" s="62">
        <f ca="1">AVERAGE(OFFSET($BH$3,0,0,'Données projet'!$E$11+1,1))-AVERAGE(OFFSET($H$3,0,0,'Données projet'!$E$11+1,1))</f>
        <v>470.57532875732056</v>
      </c>
      <c r="BJ17" s="62">
        <f t="shared" si="38"/>
        <v>286.63787681165888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projet'!$B$11,Paramètres!$A$1:$I$88,3,0)*0.475*44/12</f>
        <v>0</v>
      </c>
      <c r="BQ17" s="23">
        <f>EXP(-LN(2)/25)*BQ16+(1-EXP(-LN(2)/25))/(LN(2)/25)*Calculateur!BL17*Calculateur!BN17*VLOOKUP('Données projet'!$B$11,Paramètres!$A$1:$I$88,3,0)*0.475*44/12</f>
        <v>0</v>
      </c>
      <c r="BR17" s="23">
        <f>EXP(-LN(2)/2)*BR16+(1-EXP(-LN(2)/2))/(LN(2)/2)*BL17*BO17*VLOOKUP('Données projet'!$B$11,Paramètres!$A$1:$I$88,3,0)*0.475*44/12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63.5426875595046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10.8</v>
      </c>
      <c r="BY17" s="13">
        <f>IF('Données projet'!$A$114&gt;35,BY16+BX17-CG16,IF(A17&lt;'Données projet'!$A$114,$BV$205^A17,IF(A17='Données projet'!$A$114,'Données projet'!$B$114,BY16+BX17-CG16)))</f>
        <v>54.2</v>
      </c>
      <c r="BZ17" s="14">
        <f>BY17*VLOOKUP('Données projet'!$B$12,Paramètres!$A$1:$I$88,3,0)*VLOOKUP('Données projet'!$B$12,Paramètres!$A$1:$I$88,5,0)</f>
        <v>35.511839999999999</v>
      </c>
      <c r="CA17" s="14">
        <f t="shared" si="39"/>
        <v>10.800946192888624</v>
      </c>
      <c r="CB17" s="22">
        <f t="shared" si="10"/>
        <v>80.661435952614355</v>
      </c>
      <c r="CC17" s="62">
        <f t="shared" si="11"/>
        <v>330.7624014485757</v>
      </c>
      <c r="CD17" s="62">
        <f ca="1">AVERAGE(OFFSET($CC$3,0,0,'Données projet'!$E$12+1,1))-AVERAGE(OFFSET($H$3,0,0,'Données projet'!$E$12+1,1))</f>
        <v>305.38855494899906</v>
      </c>
      <c r="CE17" s="62">
        <f t="shared" si="40"/>
        <v>298.48106301229177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projet'!$B$12,Paramètres!$A$1:$I$88,3,0)*0.475*44/12</f>
        <v>0</v>
      </c>
      <c r="CL17" s="23">
        <f>EXP(-LN(2)/25)*CL16+(1-EXP(-LN(2)/25))/(LN(2)/25)*Calculateur!CG17*Calculateur!CI17*VLOOKUP('Données projet'!$B$12,Paramètres!$A$1:$I$88,3,0)*0.475*44/12</f>
        <v>0</v>
      </c>
      <c r="CM17" s="23">
        <f>EXP(-LN(2)/2)*CM16+(1-EXP(-LN(2)/2))/(LN(2)/2)*CG17*CJ17*VLOOKUP('Données projet'!$B$12,Paramètres!$A$1:$I$88,3,0)*0.475*44/12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63.5426875595046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10.8</v>
      </c>
      <c r="CT17" s="13">
        <f>IF('Données projet'!$A$140&gt;35,CT16+CS17-DB16,IF(A17&lt;'Données projet'!$A$140,$CQ$205^A17,IF(A17='Données projet'!$A$140,'Données projet'!$B$140,CT16+CS17-DB16)))</f>
        <v>54.2</v>
      </c>
      <c r="CU17" s="18">
        <f>CT17*VLOOKUP('Données projet'!$B$13,Paramètres!$A$1:$I$88,3,0)*VLOOKUP('Données projet'!$B$13,Paramètres!$A$1:$I$88,5,0)</f>
        <v>43.121520000000004</v>
      </c>
      <c r="CV17" s="14">
        <f t="shared" si="41"/>
        <v>12.822353245070515</v>
      </c>
      <c r="CW17" s="22">
        <f t="shared" si="13"/>
        <v>97.435579235164482</v>
      </c>
      <c r="CX17" s="62">
        <f t="shared" si="14"/>
        <v>347.53654473112579</v>
      </c>
      <c r="CY17" s="62">
        <f ca="1">AVERAGE(OFFSET($CX$3,0,0,'Données projet'!$E$13+1,1))-AVERAGE(OFFSET($H$3,0,0,'Données projet'!$E$13+1,1))</f>
        <v>361.30066984973894</v>
      </c>
      <c r="CZ17" s="62">
        <f t="shared" si="42"/>
        <v>351.78053157121622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projet'!$B$13,Paramètres!$A$1:$I$88,3,0)*0.475*44/12</f>
        <v>0</v>
      </c>
      <c r="DG17" s="23">
        <f>EXP(-LN(2)/25)*DG16+(1-EXP(-LN(2)/25))/(LN(2)/25)*Calculateur!DB17*Calculateur!DD17*VLOOKUP('Données projet'!$B$13,Paramètres!$A$1:$I$88,3,0)*0.475*44/12</f>
        <v>0</v>
      </c>
      <c r="DH17" s="23">
        <f>EXP(-LN(2)/2)*DH16+(1-EXP(-LN(2)/2))/(LN(2)/2)*DB17*DE17*VLOOKUP('Données projet'!$B$13,Paramètres!$A$1:$I$88,3,0)*0.475*44/12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63.5426875595046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12.8</v>
      </c>
      <c r="DO17" s="13">
        <f>IF('Données projet'!$A$166&gt;35,DO16+DN17-DW16,IF(A17&lt;'Données projet'!$A$166,$DL$205^A17,IF(A17='Données projet'!$A$166,'Données projet'!$B$166,DO16+DN17-DW16)))</f>
        <v>92.199999999999989</v>
      </c>
      <c r="DP17" s="18">
        <f>DO17*VLOOKUP('Données projet'!$B$14,Paramètres!$A$1:$I$88,3,0)*VLOOKUP('Données projet'!$B$14,Paramètres!$A$1:$I$88,5,0)</f>
        <v>46.889232</v>
      </c>
      <c r="DQ17" s="14">
        <f t="shared" si="43"/>
        <v>13.807411658592549</v>
      </c>
      <c r="DR17" s="22">
        <f t="shared" si="16"/>
        <v>105.71332103871536</v>
      </c>
      <c r="DS17" s="62">
        <f t="shared" si="17"/>
        <v>355.81428653467668</v>
      </c>
      <c r="DT17" s="62">
        <f ca="1">AVERAGE(OFFSET($DS$3,0,0,'Données projet'!$E$14+1,1))-AVERAGE(OFFSET($H$3,0,0,'Données projet'!$E$14+1,1))</f>
        <v>91.201152634762423</v>
      </c>
      <c r="DU17" s="62">
        <f t="shared" si="44"/>
        <v>233.36981992862445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projet'!$B$14,Paramètres!$A$1:$I$88,3,0)*0.475*44/12</f>
        <v>0</v>
      </c>
      <c r="EB17" s="23">
        <f>EXP(-LN(2)/25)*EB16+(1-EXP(-LN(2)/25))/(LN(2)/25)*Calculateur!DW17*Calculateur!DY17*VLOOKUP('Données projet'!$B$14,Paramètres!$A$1:$I$88,3,0)*0.475*44/12</f>
        <v>0</v>
      </c>
      <c r="EC17" s="23">
        <f>EXP(-LN(2)/2)*EC16+(1-EXP(-LN(2)/2))/(LN(2)/2)*DW17*DZ17*VLOOKUP('Données projet'!$B$14,Paramètres!$A$1:$I$88,3,0)*0.475*44/12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63.5426875595046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projet'!$B$15,Paramètres!$A$1:$I$88,3,0)*0.475*44/12</f>
        <v>#N/A</v>
      </c>
      <c r="EW17" s="23" t="e">
        <f>EXP(-LN(2)/25)*EW16+(1-EXP(-LN(2)/25))/(LN(2)/25)*Calculateur!ER17*Calculateur!ET17*VLOOKUP('Données projet'!$B$15,Paramètres!$A$1:$I$88,3,0)*0.475*44/12</f>
        <v>#N/A</v>
      </c>
      <c r="EX17" s="23" t="e">
        <f>EXP(-LN(2)/2)*EX16+(1-EXP(-LN(2)/2))/(LN(2)/2)*ER17*EU17*VLOOKUP('Données projet'!$B$15,Paramètres!$A$1:$I$88,3,0)*0.475*44/12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63.5426875595046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projet'!$B$16,Paramètres!$A$1:$I$88,3,0)*0.475*44/12</f>
        <v>#N/A</v>
      </c>
      <c r="FR17" s="23" t="e">
        <f>EXP(-LN(2)/25)*FR16+(1-EXP(-LN(2)/25))/(LN(2)/25)*Calculateur!FM17*Calculateur!FO17*VLOOKUP('Données projet'!$B$16,Paramètres!$A$1:$I$88,3,0)*0.475*44/12</f>
        <v>#N/A</v>
      </c>
      <c r="FS17" s="23" t="e">
        <f>EXP(-LN(2)/2)*FS16+(1-EXP(-LN(2)/2))/(LN(2)/2)*FM17*FP17*VLOOKUP('Données projet'!$B$16,Paramètres!$A$1:$I$88,3,0)*0.475*44/12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63.5426875595046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projet'!$B$17,Paramètres!$A$1:$I$88,3,0)*0.475*44/12</f>
        <v>#N/A</v>
      </c>
      <c r="GM17" s="23" t="e">
        <f>EXP(-LN(2)/25)*GM16+(1-EXP(-LN(2)/25))/(LN(2)/25)*Calculateur!GH17*Calculateur!GJ17*VLOOKUP('Données projet'!$B$17,Paramètres!$A$1:$I$88,3,0)*0.475*44/12</f>
        <v>#N/A</v>
      </c>
      <c r="GN17" s="23" t="e">
        <f>EXP(-LN(2)/2)*GN16+(1-EXP(-LN(2)/2))/(LN(2)/2)*GH17*GK17*VLOOKUP('Données projet'!$B$17,Paramètres!$A$1:$I$88,3,0)*0.475*44/12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63.5426875595046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projet'!$B$18,Paramètres!$A$1:$I$88,3,0)*0.475*44/12</f>
        <v>#N/A</v>
      </c>
      <c r="HH17" s="23" t="e">
        <f>EXP(-LN(2)/25)*HH16+(1-EXP(-LN(2)/25))/(LN(2)/25)*Calculateur!HC17*Calculateur!HE17*VLOOKUP('Données projet'!$B$18,Paramètres!$A$1:$I$88,3,0)*0.475*44/12</f>
        <v>#N/A</v>
      </c>
      <c r="HI17" s="23" t="e">
        <f>EXP(-LN(2)/2)*HI16+(1-EXP(-LN(2)/2))/(LN(2)/2)*HC17*HF17*VLOOKUP('Données projet'!$B$18,Paramètres!$A$1:$I$88,3,0)*0.475*44/12</f>
        <v>#N/A</v>
      </c>
      <c r="HJ17" s="24" t="e">
        <f t="shared" si="30"/>
        <v>#N/A</v>
      </c>
    </row>
    <row r="18" spans="1:218" s="5" customFormat="1" x14ac:dyDescent="0.2">
      <c r="A18" s="11">
        <f t="shared" si="31"/>
        <v>15</v>
      </c>
      <c r="B18" s="77">
        <f>'Scénario référence'!$B$16*5+'Scénario référence'!$B$17*0+'Scénario référence'!$B$18*5</f>
        <v>1.6500000000000001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6.0500000000000007</v>
      </c>
      <c r="H18" s="70">
        <f t="shared" si="1"/>
        <v>232.4666666666667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63.6547074939593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129</v>
      </c>
      <c r="L18" s="13">
        <f>VLOOKUP(A18,'Données projet'!$A$35:$I$55,9,0)</f>
        <v>8.6</v>
      </c>
      <c r="M18" s="13">
        <f t="array" ref="M18">INDEX(L:L,MIN(IF(ISNUMBER(L18:L214),ROW(L18:L214),"")))</f>
        <v>8.6</v>
      </c>
      <c r="N18" s="14">
        <f>IF('Données projet'!$A$36&gt;35,N17+M18-V17,IF(A18&lt;'Données projet'!$A$36,$K$205^A18,IF(A18='Données projet'!$A$36,'Données projet'!$B$36,N17+M18-V17)))</f>
        <v>129</v>
      </c>
      <c r="O18" s="14">
        <f>N18*VLOOKUP('Données projet'!$B$9,Paramètres!$A$1:$I$88,3,0)*VLOOKUP('Données projet'!$B$9,Paramètres!$A$1:$I$88,5,0)</f>
        <v>77.14200000000001</v>
      </c>
      <c r="P18" s="14">
        <f t="shared" si="33"/>
        <v>21.436915648510755</v>
      </c>
      <c r="Q18" s="22">
        <f t="shared" si="2"/>
        <v>171.69161142115624</v>
      </c>
      <c r="R18" s="62">
        <f t="shared" si="0"/>
        <v>423.42553889900705</v>
      </c>
      <c r="S18" s="62">
        <f ca="1">AVERAGE(OFFSET($R$3,0,0,'Données projet'!$E$9+1,1))-AVERAGE(OFFSET($H$3,0,0,'Données projet'!$E$9+1,1))</f>
        <v>354.71367224254021</v>
      </c>
      <c r="T18" s="62">
        <f t="shared" si="34"/>
        <v>490.074370133397</v>
      </c>
      <c r="U18" s="16">
        <f>IF(ISNA(VLOOKUP(A18,'Données projet'!$A$35:$I$55,3,0)),0,VLOOKUP(A18,'Données projet'!$A$35:$I$55,3,0))</f>
        <v>1</v>
      </c>
      <c r="V18" s="16">
        <f>IF(ISNA(VLOOKUP(A18,'Données projet'!$A$35:$I$55,4,0)),0,VLOOKUP(A18,'Données projet'!$A$35:$I$55,4,0))</f>
        <v>21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0.25200000000000006</v>
      </c>
      <c r="Y18" s="17">
        <f>IF(ISNA(VLOOKUP(A18,'Données projet'!$A$35:$I$55,7,0)),0%,VLOOKUP(A18,'Données projet'!$A$35:$I$55,7,0))</f>
        <v>0.44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4.1815377109507699</v>
      </c>
      <c r="AB18" s="23">
        <f>EXP(-LN(2)/2)*AB17+(1-EXP(-LN(2)/2))/(LN(2)/2)*V18*Y18*VLOOKUP('Données projet'!$B$9,Paramètres!$A$1:$I$88,3,0)*0.475*44/12</f>
        <v>6.256172204628438</v>
      </c>
      <c r="AC18" s="24">
        <f t="shared" si="3"/>
        <v>10.437709915579209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63.6547074939593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83</v>
      </c>
      <c r="AG18" s="13">
        <f>VLOOKUP(A18,'Données projet'!$A$61:$I$81,9,0)</f>
        <v>5.5333333333333332</v>
      </c>
      <c r="AH18" s="13">
        <f t="array" ref="AH18">INDEX(AG:AG,MIN(IF(ISNUMBER(AG18:AG214),ROW(AG18:AG214),"")))</f>
        <v>5.5333333333333332</v>
      </c>
      <c r="AI18" s="14">
        <f>IF('Données projet'!$A$62&gt;35,AI17+AH18-AQ17,IF(A18&lt;'Données projet'!$A$62,$AF$205^A18,IF(A18='Données projet'!$A$62,'Données projet'!$B$62,AI17+AH18-AQ17)))</f>
        <v>83</v>
      </c>
      <c r="AJ18" s="14">
        <f>AI18*VLOOKUP('Données projet'!$B$10,Paramètres!$A$1:$I$88,3,0)*VLOOKUP('Données projet'!$B$10,Paramètres!$A$1:$I$88,5,0)</f>
        <v>49.634</v>
      </c>
      <c r="AK18" s="14">
        <f t="shared" si="35"/>
        <v>14.519198189037462</v>
      </c>
      <c r="AL18" s="22">
        <f t="shared" si="4"/>
        <v>111.73348684590691</v>
      </c>
      <c r="AM18" s="62">
        <f t="shared" si="5"/>
        <v>363.46741432375768</v>
      </c>
      <c r="AN18" s="62">
        <f ca="1">AVERAGE(OFFSET($AM$3,0,0,'Données projet'!$E$10+1,1))-AVERAGE(OFFSET($H$3,0,0,'Données projet'!$E$10+1,1))</f>
        <v>264.73276096087574</v>
      </c>
      <c r="AO18" s="62">
        <f t="shared" si="36"/>
        <v>381.84464918049662</v>
      </c>
      <c r="AP18" s="16">
        <f>IF(ISNA(VLOOKUP(A18,'Données projet'!$A$61:$I$81,3,0)),0,VLOOKUP(A18,'Données projet'!$A$61:$I$81,3,0))</f>
        <v>1</v>
      </c>
      <c r="AQ18" s="16">
        <f>IF(ISNA(VLOOKUP(A18,'Données projet'!$A$61:$I$81,4,0)),0,VLOOKUP(A18,'Données projet'!$A$61:$I$81,4,0))</f>
        <v>14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0.25200000000000006</v>
      </c>
      <c r="AT18" s="17">
        <f>IF(ISNA(VLOOKUP(A18,'Données projet'!$A$61:$I$81,7,0)),0%,VLOOKUP(A18,'Données projet'!$A$61:$I$81,7,0))</f>
        <v>0.44</v>
      </c>
      <c r="AU18" s="23">
        <f>EXP(-LN(2)/35)*AU17+(1-EXP(-LN(2)/35))/(LN(2)/35)*AQ18*AR18*VLOOKUP('Données projet'!$B$10,Paramètres!$A$1:$I$88,3,0)*0.475*44/12</f>
        <v>0</v>
      </c>
      <c r="AV18" s="23">
        <f>EXP(-LN(2)/25)*AV17+(1-EXP(-LN(2)/25))/(LN(2)/25)*Calculateur!AQ18*Calculateur!AS18*VLOOKUP('Données projet'!$B$10,Paramètres!$A$1:$I$88,3,0)*0.475*44/12</f>
        <v>2.7876918073005137</v>
      </c>
      <c r="AW18" s="23">
        <f>EXP(-LN(2)/2)*AW17+(1-EXP(-LN(2)/2))/(LN(2)/2)*AQ18*AT18*VLOOKUP('Données projet'!$B$10,Paramètres!$A$1:$I$88,3,0)*0.475*44/12</f>
        <v>4.170781469752292</v>
      </c>
      <c r="AX18" s="23">
        <f t="shared" si="6"/>
        <v>6.9584732770528053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63.6547074939593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2.1</v>
      </c>
      <c r="BD18" s="13">
        <f>IF('Données projet'!$A$88&gt;35,BD17+BC18-BL17,IF(A18&lt;'Données projet'!$A$88,$BA$205^A18,IF(A18='Données projet'!$A$88,'Données projet'!$B$88,BD17+BC18-BL17)))</f>
        <v>16.498215337821566</v>
      </c>
      <c r="BE18" s="14">
        <f>BD18*VLOOKUP('Données projet'!$B$11,Paramètres!$A$1:$I$88,3,0)*VLOOKUP('Données projet'!$B$11,Paramètres!$A$1:$I$88,5,0)</f>
        <v>18.7881676267112</v>
      </c>
      <c r="BF18" s="14">
        <f t="shared" si="37"/>
        <v>6.1539837329243312</v>
      </c>
      <c r="BG18" s="22">
        <f t="shared" si="7"/>
        <v>43.440913618031878</v>
      </c>
      <c r="BH18" s="62">
        <f t="shared" si="8"/>
        <v>295.17484109588264</v>
      </c>
      <c r="BI18" s="62">
        <f ca="1">AVERAGE(OFFSET($BH$3,0,0,'Données projet'!$E$11+1,1))-AVERAGE(OFFSET($H$3,0,0,'Données projet'!$E$11+1,1))</f>
        <v>470.57532875732056</v>
      </c>
      <c r="BJ18" s="62">
        <f t="shared" si="38"/>
        <v>286.63787681165888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projet'!$B$11,Paramètres!$A$1:$I$88,3,0)*0.475*44/12</f>
        <v>0</v>
      </c>
      <c r="BQ18" s="23">
        <f>EXP(-LN(2)/25)*BQ17+(1-EXP(-LN(2)/25))/(LN(2)/25)*Calculateur!BL18*Calculateur!BN18*VLOOKUP('Données projet'!$B$11,Paramètres!$A$1:$I$88,3,0)*0.475*44/12</f>
        <v>0</v>
      </c>
      <c r="BR18" s="23">
        <f>EXP(-LN(2)/2)*BR17+(1-EXP(-LN(2)/2))/(LN(2)/2)*BL18*BO18*VLOOKUP('Données projet'!$B$11,Paramètres!$A$1:$I$88,3,0)*0.475*44/12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63.6547074939593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65</v>
      </c>
      <c r="BW18" s="13">
        <f>VLOOKUP(A18,'Données projet'!$A$113:$I$133,9,0)</f>
        <v>10.8</v>
      </c>
      <c r="BX18" s="13">
        <f t="array" ref="BX18">INDEX(BW:BW,MIN(IF(ISNUMBER(BW18:BW214),ROW(BW18:BW214),"")))</f>
        <v>10.8</v>
      </c>
      <c r="BY18" s="13">
        <f>IF('Données projet'!$A$114&gt;35,BY17+BX18-CG17,IF(A18&lt;'Données projet'!$A$114,$BV$205^A18,IF(A18='Données projet'!$A$114,'Données projet'!$B$114,BY17+BX18-CG17)))</f>
        <v>65</v>
      </c>
      <c r="BZ18" s="14">
        <f>BY18*VLOOKUP('Données projet'!$B$12,Paramètres!$A$1:$I$88,3,0)*VLOOKUP('Données projet'!$B$12,Paramètres!$A$1:$I$88,5,0)</f>
        <v>42.588000000000001</v>
      </c>
      <c r="CA18" s="14">
        <f t="shared" si="39"/>
        <v>12.682073764365764</v>
      </c>
      <c r="CB18" s="22">
        <f t="shared" si="10"/>
        <v>96.262045139603686</v>
      </c>
      <c r="CC18" s="62">
        <f t="shared" si="11"/>
        <v>347.99597261745447</v>
      </c>
      <c r="CD18" s="62">
        <f ca="1">AVERAGE(OFFSET($CC$3,0,0,'Données projet'!$E$12+1,1))-AVERAGE(OFFSET($H$3,0,0,'Données projet'!$E$12+1,1))</f>
        <v>305.38855494899906</v>
      </c>
      <c r="CE18" s="62">
        <f t="shared" si="40"/>
        <v>298.48106301229177</v>
      </c>
      <c r="CF18" s="16">
        <f>IF(ISNA(VLOOKUP(A18,'Données projet'!$A$113:$I$133,3,0)),0,VLOOKUP(A18,'Données projet'!$A$113:$I$133,3,0))</f>
        <v>2</v>
      </c>
      <c r="CG18" s="16">
        <f>IF(ISNA(VLOOKUP(A18,'Données projet'!$A$113:$I$133,4,0)),0,VLOOKUP(A18,'Données projet'!$A$113:$I$133,4,0))</f>
        <v>32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projet'!$B$12,Paramètres!$A$1:$I$88,3,0)*0.475*44/12</f>
        <v>0</v>
      </c>
      <c r="CL18" s="23">
        <f>EXP(-LN(2)/25)*CL17+(1-EXP(-LN(2)/25))/(LN(2)/25)*Calculateur!CG18*Calculateur!CI18*VLOOKUP('Données projet'!$B$12,Paramètres!$A$1:$I$88,3,0)*0.475*44/12</f>
        <v>0</v>
      </c>
      <c r="CM18" s="23">
        <f>EXP(-LN(2)/2)*CM17+(1-EXP(-LN(2)/2))/(LN(2)/2)*CG18*CJ18*VLOOKUP('Données projet'!$B$12,Paramètres!$A$1:$I$88,3,0)*0.475*44/12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63.6547074939593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65</v>
      </c>
      <c r="CR18" s="13">
        <f>VLOOKUP(A18,'Données projet'!$A$139:$I$159,9,0)</f>
        <v>10.8</v>
      </c>
      <c r="CS18" s="13">
        <f t="array" ref="CS18">INDEX(CR:CR,MIN(IF(ISNUMBER(CR18:CR214),ROW(CR18:CR214),"")))</f>
        <v>10.8</v>
      </c>
      <c r="CT18" s="13">
        <f>IF('Données projet'!$A$140&gt;35,CT17+CS18-DB17,IF(A18&lt;'Données projet'!$A$140,$CQ$205^A18,IF(A18='Données projet'!$A$140,'Données projet'!$B$140,CT17+CS18-DB17)))</f>
        <v>65</v>
      </c>
      <c r="CU18" s="18">
        <f>CT18*VLOOKUP('Données projet'!$B$13,Paramètres!$A$1:$I$88,3,0)*VLOOKUP('Données projet'!$B$13,Paramètres!$A$1:$I$88,5,0)</f>
        <v>51.713999999999999</v>
      </c>
      <c r="CV18" s="14">
        <f t="shared" si="41"/>
        <v>15.055535578337075</v>
      </c>
      <c r="CW18" s="22">
        <f t="shared" si="13"/>
        <v>116.29027446560372</v>
      </c>
      <c r="CX18" s="62">
        <f t="shared" si="14"/>
        <v>368.0242019434545</v>
      </c>
      <c r="CY18" s="62">
        <f ca="1">AVERAGE(OFFSET($CX$3,0,0,'Données projet'!$E$13+1,1))-AVERAGE(OFFSET($H$3,0,0,'Données projet'!$E$13+1,1))</f>
        <v>361.30066984973894</v>
      </c>
      <c r="CZ18" s="62">
        <f t="shared" si="42"/>
        <v>351.78053157121622</v>
      </c>
      <c r="DA18" s="16">
        <f>IF(ISNA(VLOOKUP(A18,'Données projet'!$A$139:$I$159,3,0)),0,VLOOKUP(A18,'Données projet'!$A$139:$I$159,3,0))</f>
        <v>2</v>
      </c>
      <c r="DB18" s="16">
        <f>IF(ISNA(VLOOKUP(A18,'Données projet'!$A$139:$I$159,4,0)),0,VLOOKUP(A18,'Données projet'!$A$139:$I$159,4,0))</f>
        <v>32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projet'!$B$13,Paramètres!$A$1:$I$88,3,0)*0.475*44/12</f>
        <v>0</v>
      </c>
      <c r="DG18" s="23">
        <f>EXP(-LN(2)/25)*DG17+(1-EXP(-LN(2)/25))/(LN(2)/25)*Calculateur!DB18*Calculateur!DD18*VLOOKUP('Données projet'!$B$13,Paramètres!$A$1:$I$88,3,0)*0.475*44/12</f>
        <v>0</v>
      </c>
      <c r="DH18" s="23">
        <f>EXP(-LN(2)/2)*DH17+(1-EXP(-LN(2)/2))/(LN(2)/2)*DB18*DE18*VLOOKUP('Données projet'!$B$13,Paramètres!$A$1:$I$88,3,0)*0.475*44/12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63.6547074939593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105</v>
      </c>
      <c r="DM18" s="13">
        <f>VLOOKUP(A18,'Données projet'!$A$165:$I$185,9,0)</f>
        <v>12.8</v>
      </c>
      <c r="DN18" s="13">
        <f t="array" ref="DN18">INDEX(DM:DM,MIN(IF(ISNUMBER(DM18:DM214),ROW(DM18:DM214),"")))</f>
        <v>12.8</v>
      </c>
      <c r="DO18" s="13">
        <f>IF('Données projet'!$A$166&gt;35,DO17+DN18-DW17,IF(A18&lt;'Données projet'!$A$166,$DL$205^A18,IF(A18='Données projet'!$A$166,'Données projet'!$B$166,DO17+DN18-DW17)))</f>
        <v>104.99999999999999</v>
      </c>
      <c r="DP18" s="18">
        <f>DO18*VLOOKUP('Données projet'!$B$14,Paramètres!$A$1:$I$88,3,0)*VLOOKUP('Données projet'!$B$14,Paramètres!$A$1:$I$88,5,0)</f>
        <v>53.398799999999994</v>
      </c>
      <c r="DQ18" s="14">
        <f t="shared" si="43"/>
        <v>15.488126819338918</v>
      </c>
      <c r="DR18" s="22">
        <f t="shared" si="16"/>
        <v>119.97806421034859</v>
      </c>
      <c r="DS18" s="62">
        <f t="shared" si="17"/>
        <v>371.71199168819936</v>
      </c>
      <c r="DT18" s="62">
        <f ca="1">AVERAGE(OFFSET($DS$3,0,0,'Données projet'!$E$14+1,1))-AVERAGE(OFFSET($H$3,0,0,'Données projet'!$E$14+1,1))</f>
        <v>91.201152634762423</v>
      </c>
      <c r="DU18" s="62">
        <f t="shared" si="44"/>
        <v>233.36981992862445</v>
      </c>
      <c r="DV18" s="16">
        <f>IF(ISNA(VLOOKUP(A18,'Données projet'!$A$165:$I$185,3,0)),0,VLOOKUP(A18,'Données projet'!$A$165:$I$185,3,0))</f>
        <v>3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projet'!$B$14,Paramètres!$A$1:$I$88,3,0)*0.475*44/12</f>
        <v>0</v>
      </c>
      <c r="EB18" s="23">
        <f>EXP(-LN(2)/25)*EB17+(1-EXP(-LN(2)/25))/(LN(2)/25)*Calculateur!DW18*Calculateur!DY18*VLOOKUP('Données projet'!$B$14,Paramètres!$A$1:$I$88,3,0)*0.475*44/12</f>
        <v>0</v>
      </c>
      <c r="EC18" s="23">
        <f>EXP(-LN(2)/2)*EC17+(1-EXP(-LN(2)/2))/(LN(2)/2)*DW18*DZ18*VLOOKUP('Données projet'!$B$14,Paramètres!$A$1:$I$88,3,0)*0.475*44/12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63.6547074939593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projet'!$B$15,Paramètres!$A$1:$I$88,3,0)*0.475*44/12</f>
        <v>#N/A</v>
      </c>
      <c r="EW18" s="23" t="e">
        <f>EXP(-LN(2)/25)*EW17+(1-EXP(-LN(2)/25))/(LN(2)/25)*Calculateur!ER18*Calculateur!ET18*VLOOKUP('Données projet'!$B$15,Paramètres!$A$1:$I$88,3,0)*0.475*44/12</f>
        <v>#N/A</v>
      </c>
      <c r="EX18" s="23" t="e">
        <f>EXP(-LN(2)/2)*EX17+(1-EXP(-LN(2)/2))/(LN(2)/2)*ER18*EU18*VLOOKUP('Données projet'!$B$15,Paramètres!$A$1:$I$88,3,0)*0.475*44/12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63.6547074939593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projet'!$B$16,Paramètres!$A$1:$I$88,3,0)*0.475*44/12</f>
        <v>#N/A</v>
      </c>
      <c r="FR18" s="23" t="e">
        <f>EXP(-LN(2)/25)*FR17+(1-EXP(-LN(2)/25))/(LN(2)/25)*Calculateur!FM18*Calculateur!FO18*VLOOKUP('Données projet'!$B$16,Paramètres!$A$1:$I$88,3,0)*0.475*44/12</f>
        <v>#N/A</v>
      </c>
      <c r="FS18" s="23" t="e">
        <f>EXP(-LN(2)/2)*FS17+(1-EXP(-LN(2)/2))/(LN(2)/2)*FM18*FP18*VLOOKUP('Données projet'!$B$16,Paramètres!$A$1:$I$88,3,0)*0.475*44/12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63.6547074939593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projet'!$B$17,Paramètres!$A$1:$I$88,3,0)*0.475*44/12</f>
        <v>#N/A</v>
      </c>
      <c r="GM18" s="23" t="e">
        <f>EXP(-LN(2)/25)*GM17+(1-EXP(-LN(2)/25))/(LN(2)/25)*Calculateur!GH18*Calculateur!GJ18*VLOOKUP('Données projet'!$B$17,Paramètres!$A$1:$I$88,3,0)*0.475*44/12</f>
        <v>#N/A</v>
      </c>
      <c r="GN18" s="23" t="e">
        <f>EXP(-LN(2)/2)*GN17+(1-EXP(-LN(2)/2))/(LN(2)/2)*GH18*GK18*VLOOKUP('Données projet'!$B$17,Paramètres!$A$1:$I$88,3,0)*0.475*44/12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63.6547074939593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projet'!$B$18,Paramètres!$A$1:$I$88,3,0)*0.475*44/12</f>
        <v>#N/A</v>
      </c>
      <c r="HH18" s="23" t="e">
        <f>EXP(-LN(2)/25)*HH17+(1-EXP(-LN(2)/25))/(LN(2)/25)*Calculateur!HC18*Calculateur!HE18*VLOOKUP('Données projet'!$B$18,Paramètres!$A$1:$I$88,3,0)*0.475*44/12</f>
        <v>#N/A</v>
      </c>
      <c r="HI18" s="23" t="e">
        <f>EXP(-LN(2)/2)*HI17+(1-EXP(-LN(2)/2))/(LN(2)/2)*HC18*HF18*VLOOKUP('Données projet'!$B$18,Paramètres!$A$1:$I$88,3,0)*0.475*44/12</f>
        <v>#N/A</v>
      </c>
      <c r="HJ18" s="24" t="e">
        <f t="shared" si="30"/>
        <v>#N/A</v>
      </c>
    </row>
    <row r="19" spans="1:218" s="5" customFormat="1" x14ac:dyDescent="0.2">
      <c r="A19" s="11">
        <f t="shared" si="31"/>
        <v>16</v>
      </c>
      <c r="B19" s="77">
        <f>'Scénario référence'!$B$16*5+'Scénario référence'!$B$17*0+'Scénario référence'!$B$18*5</f>
        <v>1.6500000000000001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6.0500000000000007</v>
      </c>
      <c r="H19" s="70">
        <f t="shared" si="1"/>
        <v>232.4666666666667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63.764784132990272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23.6</v>
      </c>
      <c r="N19" s="14">
        <f>IF('Données projet'!$A$36&gt;35,N18+M19-V18,IF(A19&lt;'Données projet'!$A$36,$K$205^A19,IF(A19='Données projet'!$A$36,'Données projet'!$B$36,N18+M19-V18)))</f>
        <v>131.6</v>
      </c>
      <c r="O19" s="14">
        <f>N19*VLOOKUP('Données projet'!$B$9,Paramètres!$A$1:$I$88,3,0)*VLOOKUP('Données projet'!$B$9,Paramètres!$A$1:$I$88,5,0)</f>
        <v>78.69680000000001</v>
      </c>
      <c r="P19" s="14">
        <f t="shared" si="33"/>
        <v>21.818241011661829</v>
      </c>
      <c r="Q19" s="22">
        <f t="shared" si="2"/>
        <v>175.06369642864436</v>
      </c>
      <c r="R19" s="62">
        <f t="shared" si="0"/>
        <v>428.42346047183088</v>
      </c>
      <c r="S19" s="62">
        <f ca="1">AVERAGE(OFFSET($R$3,0,0,'Données projet'!$E$9+1,1))-AVERAGE(OFFSET($H$3,0,0,'Données projet'!$E$9+1,1))</f>
        <v>354.71367224254021</v>
      </c>
      <c r="T19" s="62">
        <f t="shared" si="34"/>
        <v>490.074370133397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4.0671933423473101</v>
      </c>
      <c r="AB19" s="23">
        <f>EXP(-LN(2)/2)*AB18+(1-EXP(-LN(2)/2))/(LN(2)/2)*V19*Y19*VLOOKUP('Données projet'!$B$9,Paramètres!$A$1:$I$88,3,0)*0.475*44/12</f>
        <v>4.4237817901635621</v>
      </c>
      <c r="AC19" s="24">
        <f t="shared" si="3"/>
        <v>8.4909751325108722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63.764784132990272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16.399999999999999</v>
      </c>
      <c r="AI19" s="14">
        <f>IF('Données projet'!$A$62&gt;35,AI18+AH19-AQ18,IF(A19&lt;'Données projet'!$A$62,$AF$205^A19,IF(A19='Données projet'!$A$62,'Données projet'!$B$62,AI18+AH19-AQ18)))</f>
        <v>85.4</v>
      </c>
      <c r="AJ19" s="14">
        <f>AI19*VLOOKUP('Données projet'!$B$10,Paramètres!$A$1:$I$88,3,0)*VLOOKUP('Données projet'!$B$10,Paramètres!$A$1:$I$88,5,0)</f>
        <v>51.069200000000009</v>
      </c>
      <c r="AK19" s="14">
        <f t="shared" si="35"/>
        <v>14.889544278397</v>
      </c>
      <c r="AL19" s="22">
        <f t="shared" si="4"/>
        <v>114.87814628487479</v>
      </c>
      <c r="AM19" s="62">
        <f t="shared" si="5"/>
        <v>368.23791032806128</v>
      </c>
      <c r="AN19" s="62">
        <f ca="1">AVERAGE(OFFSET($AM$3,0,0,'Données projet'!$E$10+1,1))-AVERAGE(OFFSET($H$3,0,0,'Données projet'!$E$10+1,1))</f>
        <v>264.73276096087574</v>
      </c>
      <c r="AO19" s="62">
        <f t="shared" si="36"/>
        <v>381.84464918049662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projet'!$B$10,Paramètres!$A$1:$I$88,3,0)*0.475*44/12</f>
        <v>0</v>
      </c>
      <c r="AV19" s="23">
        <f>EXP(-LN(2)/25)*AV18+(1-EXP(-LN(2)/25))/(LN(2)/25)*Calculateur!AQ19*Calculateur!AS19*VLOOKUP('Données projet'!$B$10,Paramètres!$A$1:$I$88,3,0)*0.475*44/12</f>
        <v>2.7114622282315404</v>
      </c>
      <c r="AW19" s="23">
        <f>EXP(-LN(2)/2)*AW18+(1-EXP(-LN(2)/2))/(LN(2)/2)*AQ19*AT19*VLOOKUP('Données projet'!$B$10,Paramètres!$A$1:$I$88,3,0)*0.475*44/12</f>
        <v>2.9491878601090411</v>
      </c>
      <c r="AX19" s="23">
        <f t="shared" si="6"/>
        <v>5.6606500883405815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63.764784132990272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2.1</v>
      </c>
      <c r="BD19" s="13">
        <f>IF('Données projet'!$A$88&gt;35,BD18+BC19-BL18,IF(A19&lt;'Données projet'!$A$88,$BA$205^A19,IF(A19='Données projet'!$A$88,'Données projet'!$B$88,BD18+BC19-BL18)))</f>
        <v>19.888381054913147</v>
      </c>
      <c r="BE19" s="14">
        <f>BD19*VLOOKUP('Données projet'!$B$11,Paramètres!$A$1:$I$88,3,0)*VLOOKUP('Données projet'!$B$11,Paramètres!$A$1:$I$88,5,0)</f>
        <v>22.648888345335092</v>
      </c>
      <c r="BF19" s="14">
        <f t="shared" si="37"/>
        <v>7.2589114334500859</v>
      </c>
      <c r="BG19" s="22">
        <f t="shared" si="7"/>
        <v>52.089417948050851</v>
      </c>
      <c r="BH19" s="62">
        <f t="shared" si="8"/>
        <v>305.44918199123737</v>
      </c>
      <c r="BI19" s="62">
        <f ca="1">AVERAGE(OFFSET($BH$3,0,0,'Données projet'!$E$11+1,1))-AVERAGE(OFFSET($H$3,0,0,'Données projet'!$E$11+1,1))</f>
        <v>470.57532875732056</v>
      </c>
      <c r="BJ19" s="62">
        <f t="shared" si="38"/>
        <v>286.63787681165888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projet'!$B$11,Paramètres!$A$1:$I$88,3,0)*0.475*44/12</f>
        <v>0</v>
      </c>
      <c r="BQ19" s="23">
        <f>EXP(-LN(2)/25)*BQ18+(1-EXP(-LN(2)/25))/(LN(2)/25)*Calculateur!BL19*Calculateur!BN19*VLOOKUP('Données projet'!$B$11,Paramètres!$A$1:$I$88,3,0)*0.475*44/12</f>
        <v>0</v>
      </c>
      <c r="BR19" s="23">
        <f>EXP(-LN(2)/2)*BR18+(1-EXP(-LN(2)/2))/(LN(2)/2)*BL19*BO19*VLOOKUP('Données projet'!$B$11,Paramètres!$A$1:$I$88,3,0)*0.475*44/12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63.764784132990272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13.8</v>
      </c>
      <c r="BY19" s="13">
        <f>IF('Données projet'!$A$114&gt;35,BY18+BX19-CG18,IF(A19&lt;'Données projet'!$A$114,$BV$205^A19,IF(A19='Données projet'!$A$114,'Données projet'!$B$114,BY18+BX19-CG18)))</f>
        <v>46.8</v>
      </c>
      <c r="BZ19" s="14">
        <f>BY19*VLOOKUP('Données projet'!$B$12,Paramètres!$A$1:$I$88,3,0)*VLOOKUP('Données projet'!$B$12,Paramètres!$A$1:$I$88,5,0)</f>
        <v>30.663360000000001</v>
      </c>
      <c r="CA19" s="14">
        <f t="shared" si="39"/>
        <v>9.4870080424679557</v>
      </c>
      <c r="CB19" s="22">
        <f t="shared" si="10"/>
        <v>69.928557673965017</v>
      </c>
      <c r="CC19" s="62">
        <f t="shared" si="11"/>
        <v>323.28832171715152</v>
      </c>
      <c r="CD19" s="62">
        <f ca="1">AVERAGE(OFFSET($CC$3,0,0,'Données projet'!$E$12+1,1))-AVERAGE(OFFSET($H$3,0,0,'Données projet'!$E$12+1,1))</f>
        <v>305.38855494899906</v>
      </c>
      <c r="CE19" s="62">
        <f t="shared" si="40"/>
        <v>298.48106301229177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projet'!$B$12,Paramètres!$A$1:$I$88,3,0)*0.475*44/12</f>
        <v>0</v>
      </c>
      <c r="CL19" s="23">
        <f>EXP(-LN(2)/25)*CL18+(1-EXP(-LN(2)/25))/(LN(2)/25)*Calculateur!CG19*Calculateur!CI19*VLOOKUP('Données projet'!$B$12,Paramètres!$A$1:$I$88,3,0)*0.475*44/12</f>
        <v>0</v>
      </c>
      <c r="CM19" s="23">
        <f>EXP(-LN(2)/2)*CM18+(1-EXP(-LN(2)/2))/(LN(2)/2)*CG19*CJ19*VLOOKUP('Données projet'!$B$12,Paramètres!$A$1:$I$88,3,0)*0.475*44/12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63.764784132990272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13.8</v>
      </c>
      <c r="CT19" s="13">
        <f>IF('Données projet'!$A$140&gt;35,CT18+CS19-DB18,IF(A19&lt;'Données projet'!$A$140,$CQ$205^A19,IF(A19='Données projet'!$A$140,'Données projet'!$B$140,CT18+CS19-DB18)))</f>
        <v>46.8</v>
      </c>
      <c r="CU19" s="18">
        <f>CT19*VLOOKUP('Données projet'!$B$13,Paramètres!$A$1:$I$88,3,0)*VLOOKUP('Données projet'!$B$13,Paramètres!$A$1:$I$88,5,0)</f>
        <v>37.234079999999999</v>
      </c>
      <c r="CV19" s="14">
        <f t="shared" si="41"/>
        <v>11.262510356679771</v>
      </c>
      <c r="CW19" s="22">
        <f t="shared" si="13"/>
        <v>84.464894871217254</v>
      </c>
      <c r="CX19" s="62">
        <f t="shared" si="14"/>
        <v>337.82465891440376</v>
      </c>
      <c r="CY19" s="62">
        <f ca="1">AVERAGE(OFFSET($CX$3,0,0,'Données projet'!$E$13+1,1))-AVERAGE(OFFSET($H$3,0,0,'Données projet'!$E$13+1,1))</f>
        <v>361.30066984973894</v>
      </c>
      <c r="CZ19" s="62">
        <f t="shared" si="42"/>
        <v>351.78053157121622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projet'!$B$13,Paramètres!$A$1:$I$88,3,0)*0.475*44/12</f>
        <v>0</v>
      </c>
      <c r="DG19" s="23">
        <f>EXP(-LN(2)/25)*DG18+(1-EXP(-LN(2)/25))/(LN(2)/25)*Calculateur!DB19*Calculateur!DD19*VLOOKUP('Données projet'!$B$13,Paramètres!$A$1:$I$88,3,0)*0.475*44/12</f>
        <v>0</v>
      </c>
      <c r="DH19" s="23">
        <f>EXP(-LN(2)/2)*DH18+(1-EXP(-LN(2)/2))/(LN(2)/2)*DB19*DE19*VLOOKUP('Données projet'!$B$13,Paramètres!$A$1:$I$88,3,0)*0.475*44/12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63.764784132990272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10.714285714285714</v>
      </c>
      <c r="DO19" s="13">
        <f>IF('Données projet'!$A$166&gt;35,DO18+DN19-DW18,IF(A19&lt;'Données projet'!$A$166,$DL$205^A19,IF(A19='Données projet'!$A$166,'Données projet'!$B$166,DO18+DN19-DW18)))</f>
        <v>115.71428571428569</v>
      </c>
      <c r="DP19" s="18">
        <f>DO19*VLOOKUP('Données projet'!$B$14,Paramètres!$A$1:$I$88,3,0)*VLOOKUP('Données projet'!$B$14,Paramètres!$A$1:$I$88,5,0)</f>
        <v>58.847657142857138</v>
      </c>
      <c r="DQ19" s="14">
        <f t="shared" si="43"/>
        <v>16.87659257071444</v>
      </c>
      <c r="DR19" s="22">
        <f t="shared" si="16"/>
        <v>131.88640158447052</v>
      </c>
      <c r="DS19" s="62">
        <f t="shared" si="17"/>
        <v>385.24616562765704</v>
      </c>
      <c r="DT19" s="62">
        <f ca="1">AVERAGE(OFFSET($DS$3,0,0,'Données projet'!$E$14+1,1))-AVERAGE(OFFSET($H$3,0,0,'Données projet'!$E$14+1,1))</f>
        <v>91.201152634762423</v>
      </c>
      <c r="DU19" s="62">
        <f t="shared" si="44"/>
        <v>233.36981992862445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projet'!$B$14,Paramètres!$A$1:$I$88,3,0)*0.475*44/12</f>
        <v>0</v>
      </c>
      <c r="EB19" s="23">
        <f>EXP(-LN(2)/25)*EB18+(1-EXP(-LN(2)/25))/(LN(2)/25)*Calculateur!DW19*Calculateur!DY19*VLOOKUP('Données projet'!$B$14,Paramètres!$A$1:$I$88,3,0)*0.475*44/12</f>
        <v>0</v>
      </c>
      <c r="EC19" s="23">
        <f>EXP(-LN(2)/2)*EC18+(1-EXP(-LN(2)/2))/(LN(2)/2)*DW19*DZ19*VLOOKUP('Données projet'!$B$14,Paramètres!$A$1:$I$88,3,0)*0.475*44/12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63.764784132990272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projet'!$B$15,Paramètres!$A$1:$I$88,3,0)*0.475*44/12</f>
        <v>#N/A</v>
      </c>
      <c r="EW19" s="23" t="e">
        <f>EXP(-LN(2)/25)*EW18+(1-EXP(-LN(2)/25))/(LN(2)/25)*Calculateur!ER19*Calculateur!ET19*VLOOKUP('Données projet'!$B$15,Paramètres!$A$1:$I$88,3,0)*0.475*44/12</f>
        <v>#N/A</v>
      </c>
      <c r="EX19" s="23" t="e">
        <f>EXP(-LN(2)/2)*EX18+(1-EXP(-LN(2)/2))/(LN(2)/2)*ER19*EU19*VLOOKUP('Données projet'!$B$15,Paramètres!$A$1:$I$88,3,0)*0.475*44/12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63.764784132990272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projet'!$B$16,Paramètres!$A$1:$I$88,3,0)*0.475*44/12</f>
        <v>#N/A</v>
      </c>
      <c r="FR19" s="23" t="e">
        <f>EXP(-LN(2)/25)*FR18+(1-EXP(-LN(2)/25))/(LN(2)/25)*Calculateur!FM19*Calculateur!FO19*VLOOKUP('Données projet'!$B$16,Paramètres!$A$1:$I$88,3,0)*0.475*44/12</f>
        <v>#N/A</v>
      </c>
      <c r="FS19" s="23" t="e">
        <f>EXP(-LN(2)/2)*FS18+(1-EXP(-LN(2)/2))/(LN(2)/2)*FM19*FP19*VLOOKUP('Données projet'!$B$16,Paramètres!$A$1:$I$88,3,0)*0.475*44/12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63.764784132990272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projet'!$B$17,Paramètres!$A$1:$I$88,3,0)*0.475*44/12</f>
        <v>#N/A</v>
      </c>
      <c r="GM19" s="23" t="e">
        <f>EXP(-LN(2)/25)*GM18+(1-EXP(-LN(2)/25))/(LN(2)/25)*Calculateur!GH19*Calculateur!GJ19*VLOOKUP('Données projet'!$B$17,Paramètres!$A$1:$I$88,3,0)*0.475*44/12</f>
        <v>#N/A</v>
      </c>
      <c r="GN19" s="23" t="e">
        <f>EXP(-LN(2)/2)*GN18+(1-EXP(-LN(2)/2))/(LN(2)/2)*GH19*GK19*VLOOKUP('Données projet'!$B$17,Paramètres!$A$1:$I$88,3,0)*0.475*44/12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63.764784132990272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projet'!$B$18,Paramètres!$A$1:$I$88,3,0)*0.475*44/12</f>
        <v>#N/A</v>
      </c>
      <c r="HH19" s="23" t="e">
        <f>EXP(-LN(2)/25)*HH18+(1-EXP(-LN(2)/25))/(LN(2)/25)*Calculateur!HC19*Calculateur!HE19*VLOOKUP('Données projet'!$B$18,Paramètres!$A$1:$I$88,3,0)*0.475*44/12</f>
        <v>#N/A</v>
      </c>
      <c r="HI19" s="23" t="e">
        <f>EXP(-LN(2)/2)*HI18+(1-EXP(-LN(2)/2))/(LN(2)/2)*HC19*HF19*VLOOKUP('Données projet'!$B$18,Paramètres!$A$1:$I$88,3,0)*0.475*44/12</f>
        <v>#N/A</v>
      </c>
      <c r="HJ19" s="24" t="e">
        <f t="shared" si="30"/>
        <v>#N/A</v>
      </c>
    </row>
    <row r="20" spans="1:218" s="5" customFormat="1" x14ac:dyDescent="0.2">
      <c r="A20" s="11">
        <f t="shared" si="31"/>
        <v>17</v>
      </c>
      <c r="B20" s="77">
        <f>'Scénario référence'!$B$16*5+'Scénario référence'!$B$17*0+'Scénario référence'!$B$18*5</f>
        <v>1.6500000000000001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6.0500000000000007</v>
      </c>
      <c r="H20" s="70">
        <f t="shared" si="1"/>
        <v>232.4666666666667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63.872951188428559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23.6</v>
      </c>
      <c r="N20" s="14">
        <f>IF('Données projet'!$A$36&gt;35,N19+M20-V19,IF(A20&lt;'Données projet'!$A$36,$K$205^A20,IF(A20='Données projet'!$A$36,'Données projet'!$B$36,N19+M20-V19)))</f>
        <v>155.19999999999999</v>
      </c>
      <c r="O20" s="14">
        <f>N20*VLOOKUP('Données projet'!$B$9,Paramètres!$A$1:$I$88,3,0)*VLOOKUP('Données projet'!$B$9,Paramètres!$A$1:$I$88,5,0)</f>
        <v>92.809600000000003</v>
      </c>
      <c r="P20" s="14">
        <f t="shared" si="33"/>
        <v>25.241615800824192</v>
      </c>
      <c r="Q20" s="22">
        <f t="shared" si="2"/>
        <v>205.60586751976879</v>
      </c>
      <c r="R20" s="62">
        <f t="shared" si="0"/>
        <v>460.58446632178465</v>
      </c>
      <c r="S20" s="62">
        <f ca="1">AVERAGE(OFFSET($R$3,0,0,'Données projet'!$E$9+1,1))-AVERAGE(OFFSET($H$3,0,0,'Données projet'!$E$9+1,1))</f>
        <v>354.71367224254021</v>
      </c>
      <c r="T20" s="62">
        <f t="shared" si="34"/>
        <v>490.074370133397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3.9559757265164208</v>
      </c>
      <c r="AB20" s="23">
        <f>EXP(-LN(2)/2)*AB19+(1-EXP(-LN(2)/2))/(LN(2)/2)*V20*Y20*VLOOKUP('Données projet'!$B$9,Paramètres!$A$1:$I$88,3,0)*0.475*44/12</f>
        <v>3.1280861023142195</v>
      </c>
      <c r="AC20" s="24">
        <f t="shared" si="3"/>
        <v>7.0840618288306398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63.872951188428559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16.399999999999999</v>
      </c>
      <c r="AI20" s="14">
        <f>IF('Données projet'!$A$62&gt;35,AI19+AH20-AQ19,IF(A20&lt;'Données projet'!$A$62,$AF$205^A20,IF(A20='Données projet'!$A$62,'Données projet'!$B$62,AI19+AH20-AQ19)))</f>
        <v>101.80000000000001</v>
      </c>
      <c r="AJ20" s="14">
        <f>AI20*VLOOKUP('Données projet'!$B$10,Paramètres!$A$1:$I$88,3,0)*VLOOKUP('Données projet'!$B$10,Paramètres!$A$1:$I$88,5,0)</f>
        <v>60.876400000000018</v>
      </c>
      <c r="AK20" s="14">
        <f t="shared" si="35"/>
        <v>17.389663077461162</v>
      </c>
      <c r="AL20" s="22">
        <f t="shared" si="4"/>
        <v>136.31339319324488</v>
      </c>
      <c r="AM20" s="62">
        <f t="shared" si="5"/>
        <v>391.29199199526073</v>
      </c>
      <c r="AN20" s="62">
        <f ca="1">AVERAGE(OFFSET($AM$3,0,0,'Données projet'!$E$10+1,1))-AVERAGE(OFFSET($H$3,0,0,'Données projet'!$E$10+1,1))</f>
        <v>264.73276096087574</v>
      </c>
      <c r="AO20" s="62">
        <f t="shared" si="36"/>
        <v>381.84464918049662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projet'!$B$10,Paramètres!$A$1:$I$88,3,0)*0.475*44/12</f>
        <v>0</v>
      </c>
      <c r="AV20" s="23">
        <f>EXP(-LN(2)/25)*AV19+(1-EXP(-LN(2)/25))/(LN(2)/25)*Calculateur!AQ20*Calculateur!AS20*VLOOKUP('Données projet'!$B$10,Paramètres!$A$1:$I$88,3,0)*0.475*44/12</f>
        <v>2.6373171510109477</v>
      </c>
      <c r="AW20" s="23">
        <f>EXP(-LN(2)/2)*AW19+(1-EXP(-LN(2)/2))/(LN(2)/2)*AQ20*AT20*VLOOKUP('Données projet'!$B$10,Paramètres!$A$1:$I$88,3,0)*0.475*44/12</f>
        <v>2.085390734876146</v>
      </c>
      <c r="AX20" s="23">
        <f t="shared" si="6"/>
        <v>4.7227078858870932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63.872951188428559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2.1</v>
      </c>
      <c r="BD20" s="13">
        <f>IF('Données projet'!$A$88&gt;35,BD19+BC20-BL19,IF(A20&lt;'Données projet'!$A$88,$BA$205^A20,IF(A20='Données projet'!$A$88,'Données projet'!$B$88,BD19+BC20-BL19)))</f>
        <v>23.975181126327602</v>
      </c>
      <c r="BE20" s="14">
        <f>BD20*VLOOKUP('Données projet'!$B$11,Paramètres!$A$1:$I$88,3,0)*VLOOKUP('Données projet'!$B$11,Paramètres!$A$1:$I$88,5,0)</f>
        <v>27.302936266661874</v>
      </c>
      <c r="BF20" s="14">
        <f t="shared" si="37"/>
        <v>8.5622252975364237</v>
      </c>
      <c r="BG20" s="22">
        <f t="shared" si="7"/>
        <v>62.465156390978699</v>
      </c>
      <c r="BH20" s="62">
        <f t="shared" si="8"/>
        <v>317.44375519299456</v>
      </c>
      <c r="BI20" s="62">
        <f ca="1">AVERAGE(OFFSET($BH$3,0,0,'Données projet'!$E$11+1,1))-AVERAGE(OFFSET($H$3,0,0,'Données projet'!$E$11+1,1))</f>
        <v>470.57532875732056</v>
      </c>
      <c r="BJ20" s="62">
        <f t="shared" si="38"/>
        <v>286.63787681165888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projet'!$B$11,Paramètres!$A$1:$I$88,3,0)*0.475*44/12</f>
        <v>0</v>
      </c>
      <c r="BQ20" s="23">
        <f>EXP(-LN(2)/25)*BQ19+(1-EXP(-LN(2)/25))/(LN(2)/25)*Calculateur!BL20*Calculateur!BN20*VLOOKUP('Données projet'!$B$11,Paramètres!$A$1:$I$88,3,0)*0.475*44/12</f>
        <v>0</v>
      </c>
      <c r="BR20" s="23">
        <f>EXP(-LN(2)/2)*BR19+(1-EXP(-LN(2)/2))/(LN(2)/2)*BL20*BO20*VLOOKUP('Données projet'!$B$11,Paramètres!$A$1:$I$88,3,0)*0.475*44/12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63.872951188428559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13.8</v>
      </c>
      <c r="BY20" s="13">
        <f>IF('Données projet'!$A$114&gt;35,BY19+BX20-CG19,IF(A20&lt;'Données projet'!$A$114,$BV$205^A20,IF(A20='Données projet'!$A$114,'Données projet'!$B$114,BY19+BX20-CG19)))</f>
        <v>60.599999999999994</v>
      </c>
      <c r="BZ20" s="14">
        <f>BY20*VLOOKUP('Données projet'!$B$12,Paramètres!$A$1:$I$88,3,0)*VLOOKUP('Données projet'!$B$12,Paramètres!$A$1:$I$88,5,0)</f>
        <v>39.705120000000001</v>
      </c>
      <c r="CA20" s="14">
        <f t="shared" si="39"/>
        <v>11.920455304143069</v>
      </c>
      <c r="CB20" s="22">
        <f t="shared" si="10"/>
        <v>89.914543654715828</v>
      </c>
      <c r="CC20" s="62">
        <f t="shared" si="11"/>
        <v>344.89314245673165</v>
      </c>
      <c r="CD20" s="62">
        <f ca="1">AVERAGE(OFFSET($CC$3,0,0,'Données projet'!$E$12+1,1))-AVERAGE(OFFSET($H$3,0,0,'Données projet'!$E$12+1,1))</f>
        <v>305.38855494899906</v>
      </c>
      <c r="CE20" s="62">
        <f t="shared" si="40"/>
        <v>298.48106301229177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projet'!$B$12,Paramètres!$A$1:$I$88,3,0)*0.475*44/12</f>
        <v>0</v>
      </c>
      <c r="CL20" s="23">
        <f>EXP(-LN(2)/25)*CL19+(1-EXP(-LN(2)/25))/(LN(2)/25)*Calculateur!CG20*Calculateur!CI20*VLOOKUP('Données projet'!$B$12,Paramètres!$A$1:$I$88,3,0)*0.475*44/12</f>
        <v>0</v>
      </c>
      <c r="CM20" s="23">
        <f>EXP(-LN(2)/2)*CM19+(1-EXP(-LN(2)/2))/(LN(2)/2)*CG20*CJ20*VLOOKUP('Données projet'!$B$12,Paramètres!$A$1:$I$88,3,0)*0.475*44/12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63.872951188428559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13.8</v>
      </c>
      <c r="CT20" s="13">
        <f>IF('Données projet'!$A$140&gt;35,CT19+CS20-DB19,IF(A20&lt;'Données projet'!$A$140,$CQ$205^A20,IF(A20='Données projet'!$A$140,'Données projet'!$B$140,CT19+CS20-DB19)))</f>
        <v>60.599999999999994</v>
      </c>
      <c r="CU20" s="18">
        <f>CT20*VLOOKUP('Données projet'!$B$13,Paramètres!$A$1:$I$88,3,0)*VLOOKUP('Données projet'!$B$13,Paramètres!$A$1:$I$88,5,0)</f>
        <v>48.213360000000002</v>
      </c>
      <c r="CV20" s="14">
        <f t="shared" si="41"/>
        <v>14.151379520104694</v>
      </c>
      <c r="CW20" s="22">
        <f t="shared" si="13"/>
        <v>108.61858799751566</v>
      </c>
      <c r="CX20" s="62">
        <f t="shared" si="14"/>
        <v>363.59718679953153</v>
      </c>
      <c r="CY20" s="62">
        <f ca="1">AVERAGE(OFFSET($CX$3,0,0,'Données projet'!$E$13+1,1))-AVERAGE(OFFSET($H$3,0,0,'Données projet'!$E$13+1,1))</f>
        <v>361.30066984973894</v>
      </c>
      <c r="CZ20" s="62">
        <f t="shared" si="42"/>
        <v>351.78053157121622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projet'!$B$13,Paramètres!$A$1:$I$88,3,0)*0.475*44/12</f>
        <v>0</v>
      </c>
      <c r="DG20" s="23">
        <f>EXP(-LN(2)/25)*DG19+(1-EXP(-LN(2)/25))/(LN(2)/25)*Calculateur!DB20*Calculateur!DD20*VLOOKUP('Données projet'!$B$13,Paramètres!$A$1:$I$88,3,0)*0.475*44/12</f>
        <v>0</v>
      </c>
      <c r="DH20" s="23">
        <f>EXP(-LN(2)/2)*DH19+(1-EXP(-LN(2)/2))/(LN(2)/2)*DB20*DE20*VLOOKUP('Données projet'!$B$13,Paramètres!$A$1:$I$88,3,0)*0.475*44/12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63.872951188428559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10.714285714285714</v>
      </c>
      <c r="DO20" s="13">
        <f>IF('Données projet'!$A$166&gt;35,DO19+DN20-DW19,IF(A20&lt;'Données projet'!$A$166,$DL$205^A20,IF(A20='Données projet'!$A$166,'Données projet'!$B$166,DO19+DN20-DW19)))</f>
        <v>126.4285714285714</v>
      </c>
      <c r="DP20" s="18">
        <f>DO20*VLOOKUP('Données projet'!$B$14,Paramètres!$A$1:$I$88,3,0)*VLOOKUP('Données projet'!$B$14,Paramètres!$A$1:$I$88,5,0)</f>
        <v>64.296514285714281</v>
      </c>
      <c r="DQ20" s="14">
        <f t="shared" si="43"/>
        <v>18.250151634931473</v>
      </c>
      <c r="DR20" s="22">
        <f t="shared" si="16"/>
        <v>143.76877647845802</v>
      </c>
      <c r="DS20" s="62">
        <f t="shared" si="17"/>
        <v>398.74737528047388</v>
      </c>
      <c r="DT20" s="62">
        <f ca="1">AVERAGE(OFFSET($DS$3,0,0,'Données projet'!$E$14+1,1))-AVERAGE(OFFSET($H$3,0,0,'Données projet'!$E$14+1,1))</f>
        <v>91.201152634762423</v>
      </c>
      <c r="DU20" s="62">
        <f t="shared" si="44"/>
        <v>233.36981992862445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projet'!$B$14,Paramètres!$A$1:$I$88,3,0)*0.475*44/12</f>
        <v>0</v>
      </c>
      <c r="EB20" s="23">
        <f>EXP(-LN(2)/25)*EB19+(1-EXP(-LN(2)/25))/(LN(2)/25)*Calculateur!DW20*Calculateur!DY20*VLOOKUP('Données projet'!$B$14,Paramètres!$A$1:$I$88,3,0)*0.475*44/12</f>
        <v>0</v>
      </c>
      <c r="EC20" s="23">
        <f>EXP(-LN(2)/2)*EC19+(1-EXP(-LN(2)/2))/(LN(2)/2)*DW20*DZ20*VLOOKUP('Données projet'!$B$14,Paramètres!$A$1:$I$88,3,0)*0.475*44/12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63.872951188428559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projet'!$B$15,Paramètres!$A$1:$I$88,3,0)*0.475*44/12</f>
        <v>#N/A</v>
      </c>
      <c r="EW20" s="23" t="e">
        <f>EXP(-LN(2)/25)*EW19+(1-EXP(-LN(2)/25))/(LN(2)/25)*Calculateur!ER20*Calculateur!ET20*VLOOKUP('Données projet'!$B$15,Paramètres!$A$1:$I$88,3,0)*0.475*44/12</f>
        <v>#N/A</v>
      </c>
      <c r="EX20" s="23" t="e">
        <f>EXP(-LN(2)/2)*EX19+(1-EXP(-LN(2)/2))/(LN(2)/2)*ER20*EU20*VLOOKUP('Données projet'!$B$15,Paramètres!$A$1:$I$88,3,0)*0.475*44/12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63.872951188428559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projet'!$B$16,Paramètres!$A$1:$I$88,3,0)*0.475*44/12</f>
        <v>#N/A</v>
      </c>
      <c r="FR20" s="23" t="e">
        <f>EXP(-LN(2)/25)*FR19+(1-EXP(-LN(2)/25))/(LN(2)/25)*Calculateur!FM20*Calculateur!FO20*VLOOKUP('Données projet'!$B$16,Paramètres!$A$1:$I$88,3,0)*0.475*44/12</f>
        <v>#N/A</v>
      </c>
      <c r="FS20" s="23" t="e">
        <f>EXP(-LN(2)/2)*FS19+(1-EXP(-LN(2)/2))/(LN(2)/2)*FM20*FP20*VLOOKUP('Données projet'!$B$16,Paramètres!$A$1:$I$88,3,0)*0.475*44/12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63.872951188428559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projet'!$B$17,Paramètres!$A$1:$I$88,3,0)*0.475*44/12</f>
        <v>#N/A</v>
      </c>
      <c r="GM20" s="23" t="e">
        <f>EXP(-LN(2)/25)*GM19+(1-EXP(-LN(2)/25))/(LN(2)/25)*Calculateur!GH20*Calculateur!GJ20*VLOOKUP('Données projet'!$B$17,Paramètres!$A$1:$I$88,3,0)*0.475*44/12</f>
        <v>#N/A</v>
      </c>
      <c r="GN20" s="23" t="e">
        <f>EXP(-LN(2)/2)*GN19+(1-EXP(-LN(2)/2))/(LN(2)/2)*GH20*GK20*VLOOKUP('Données projet'!$B$17,Paramètres!$A$1:$I$88,3,0)*0.475*44/12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63.872951188428559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projet'!$B$18,Paramètres!$A$1:$I$88,3,0)*0.475*44/12</f>
        <v>#N/A</v>
      </c>
      <c r="HH20" s="23" t="e">
        <f>EXP(-LN(2)/25)*HH19+(1-EXP(-LN(2)/25))/(LN(2)/25)*Calculateur!HC20*Calculateur!HE20*VLOOKUP('Données projet'!$B$18,Paramètres!$A$1:$I$88,3,0)*0.475*44/12</f>
        <v>#N/A</v>
      </c>
      <c r="HI20" s="23" t="e">
        <f>EXP(-LN(2)/2)*HI19+(1-EXP(-LN(2)/2))/(LN(2)/2)*HC20*HF20*VLOOKUP('Données projet'!$B$18,Paramètres!$A$1:$I$88,3,0)*0.475*44/12</f>
        <v>#N/A</v>
      </c>
      <c r="HJ20" s="24" t="e">
        <f t="shared" si="30"/>
        <v>#N/A</v>
      </c>
    </row>
    <row r="21" spans="1:218" s="5" customFormat="1" x14ac:dyDescent="0.2">
      <c r="A21" s="11">
        <f t="shared" si="31"/>
        <v>18</v>
      </c>
      <c r="B21" s="77">
        <f>'Scénario référence'!$B$16*5+'Scénario référence'!$B$17*0+'Scénario référence'!$B$18*5</f>
        <v>1.6500000000000001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6.0500000000000007</v>
      </c>
      <c r="H21" s="70">
        <f t="shared" si="1"/>
        <v>232.4666666666667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63.979241787280287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23.6</v>
      </c>
      <c r="N21" s="14">
        <f>IF('Données projet'!$A$36&gt;35,N20+M21-V20,IF(A21&lt;'Données projet'!$A$36,$K$205^A21,IF(A21='Données projet'!$A$36,'Données projet'!$B$36,N20+M21-V20)))</f>
        <v>178.79999999999998</v>
      </c>
      <c r="O21" s="14">
        <f>N21*VLOOKUP('Données projet'!$B$9,Paramètres!$A$1:$I$88,3,0)*VLOOKUP('Données projet'!$B$9,Paramètres!$A$1:$I$88,5,0)</f>
        <v>106.9224</v>
      </c>
      <c r="P21" s="14">
        <f t="shared" si="33"/>
        <v>28.604684816920809</v>
      </c>
      <c r="Q21" s="22">
        <f t="shared" si="2"/>
        <v>236.04300605613707</v>
      </c>
      <c r="R21" s="62">
        <f t="shared" si="0"/>
        <v>492.63355927616482</v>
      </c>
      <c r="S21" s="62">
        <f ca="1">AVERAGE(OFFSET($R$3,0,0,'Données projet'!$E$9+1,1))-AVERAGE(OFFSET($H$3,0,0,'Données projet'!$E$9+1,1))</f>
        <v>354.71367224254021</v>
      </c>
      <c r="T21" s="62">
        <f t="shared" si="34"/>
        <v>490.074370133397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3.8477993622391073</v>
      </c>
      <c r="AB21" s="23">
        <f>EXP(-LN(2)/2)*AB20+(1-EXP(-LN(2)/2))/(LN(2)/2)*V21*Y21*VLOOKUP('Données projet'!$B$9,Paramètres!$A$1:$I$88,3,0)*0.475*44/12</f>
        <v>2.211890895081781</v>
      </c>
      <c r="AC21" s="24">
        <f t="shared" si="3"/>
        <v>6.059690257320888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63.979241787280287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16.399999999999999</v>
      </c>
      <c r="AI21" s="14">
        <f>IF('Données projet'!$A$62&gt;35,AI20+AH21-AQ20,IF(A21&lt;'Données projet'!$A$62,$AF$205^A21,IF(A21='Données projet'!$A$62,'Données projet'!$B$62,AI20+AH21-AQ20)))</f>
        <v>118.20000000000002</v>
      </c>
      <c r="AJ21" s="14">
        <f>AI21*VLOOKUP('Données projet'!$B$10,Paramètres!$A$1:$I$88,3,0)*VLOOKUP('Données projet'!$B$10,Paramètres!$A$1:$I$88,5,0)</f>
        <v>70.683600000000013</v>
      </c>
      <c r="AK21" s="14">
        <f t="shared" si="35"/>
        <v>19.843123406626049</v>
      </c>
      <c r="AL21" s="22">
        <f t="shared" si="4"/>
        <v>157.66737659987373</v>
      </c>
      <c r="AM21" s="62">
        <f t="shared" si="5"/>
        <v>414.25792981990151</v>
      </c>
      <c r="AN21" s="62">
        <f ca="1">AVERAGE(OFFSET($AM$3,0,0,'Données projet'!$E$10+1,1))-AVERAGE(OFFSET($H$3,0,0,'Données projet'!$E$10+1,1))</f>
        <v>264.73276096087574</v>
      </c>
      <c r="AO21" s="62">
        <f t="shared" si="36"/>
        <v>381.84464918049662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projet'!$B$10,Paramètres!$A$1:$I$88,3,0)*0.475*44/12</f>
        <v>0</v>
      </c>
      <c r="AV21" s="23">
        <f>EXP(-LN(2)/25)*AV20+(1-EXP(-LN(2)/25))/(LN(2)/25)*Calculateur!AQ21*Calculateur!AS21*VLOOKUP('Données projet'!$B$10,Paramètres!$A$1:$I$88,3,0)*0.475*44/12</f>
        <v>2.5651995748260719</v>
      </c>
      <c r="AW21" s="23">
        <f>EXP(-LN(2)/2)*AW20+(1-EXP(-LN(2)/2))/(LN(2)/2)*AQ21*AT21*VLOOKUP('Données projet'!$B$10,Paramètres!$A$1:$I$88,3,0)*0.475*44/12</f>
        <v>1.4745939300545206</v>
      </c>
      <c r="AX21" s="23">
        <f t="shared" si="6"/>
        <v>4.039793504880592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63.979241787280287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2.1</v>
      </c>
      <c r="BD21" s="13">
        <f>IF('Données projet'!$A$88&gt;35,BD20+BC21-BL20,IF(A21&lt;'Données projet'!$A$88,$BA$205^A21,IF(A21='Données projet'!$A$88,'Données projet'!$B$88,BD20+BC21-BL20)))</f>
        <v>28.901764726506816</v>
      </c>
      <c r="BE21" s="14">
        <f>BD21*VLOOKUP('Données projet'!$B$11,Paramètres!$A$1:$I$88,3,0)*VLOOKUP('Données projet'!$B$11,Paramètres!$A$1:$I$88,5,0)</f>
        <v>32.913329670545963</v>
      </c>
      <c r="BF21" s="14">
        <f t="shared" si="37"/>
        <v>10.099544913572311</v>
      </c>
      <c r="BG21" s="22">
        <f t="shared" si="7"/>
        <v>74.91408990067265</v>
      </c>
      <c r="BH21" s="62">
        <f t="shared" si="8"/>
        <v>331.50464312070039</v>
      </c>
      <c r="BI21" s="62">
        <f ca="1">AVERAGE(OFFSET($BH$3,0,0,'Données projet'!$E$11+1,1))-AVERAGE(OFFSET($H$3,0,0,'Données projet'!$E$11+1,1))</f>
        <v>470.57532875732056</v>
      </c>
      <c r="BJ21" s="62">
        <f t="shared" si="38"/>
        <v>286.63787681165888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projet'!$B$11,Paramètres!$A$1:$I$88,3,0)*0.475*44/12</f>
        <v>0</v>
      </c>
      <c r="BQ21" s="23">
        <f>EXP(-LN(2)/25)*BQ20+(1-EXP(-LN(2)/25))/(LN(2)/25)*Calculateur!BL21*Calculateur!BN21*VLOOKUP('Données projet'!$B$11,Paramètres!$A$1:$I$88,3,0)*0.475*44/12</f>
        <v>0</v>
      </c>
      <c r="BR21" s="23">
        <f>EXP(-LN(2)/2)*BR20+(1-EXP(-LN(2)/2))/(LN(2)/2)*BL21*BO21*VLOOKUP('Données projet'!$B$11,Paramètres!$A$1:$I$88,3,0)*0.475*44/12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63.979241787280287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13.8</v>
      </c>
      <c r="BY21" s="13">
        <f>IF('Données projet'!$A$114&gt;35,BY20+BX21-CG20,IF(A21&lt;'Données projet'!$A$114,$BV$205^A21,IF(A21='Données projet'!$A$114,'Données projet'!$B$114,BY20+BX21-CG20)))</f>
        <v>74.399999999999991</v>
      </c>
      <c r="BZ21" s="14">
        <f>BY21*VLOOKUP('Données projet'!$B$12,Paramètres!$A$1:$I$88,3,0)*VLOOKUP('Données projet'!$B$12,Paramètres!$A$1:$I$88,5,0)</f>
        <v>48.74687999999999</v>
      </c>
      <c r="CA21" s="14">
        <f t="shared" si="39"/>
        <v>14.289659449206793</v>
      </c>
      <c r="CB21" s="22">
        <f t="shared" si="10"/>
        <v>109.78863954070181</v>
      </c>
      <c r="CC21" s="62">
        <f t="shared" si="11"/>
        <v>366.37919276072955</v>
      </c>
      <c r="CD21" s="62">
        <f ca="1">AVERAGE(OFFSET($CC$3,0,0,'Données projet'!$E$12+1,1))-AVERAGE(OFFSET($H$3,0,0,'Données projet'!$E$12+1,1))</f>
        <v>305.38855494899906</v>
      </c>
      <c r="CE21" s="62">
        <f t="shared" si="40"/>
        <v>298.48106301229177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projet'!$B$12,Paramètres!$A$1:$I$88,3,0)*0.475*44/12</f>
        <v>0</v>
      </c>
      <c r="CL21" s="23">
        <f>EXP(-LN(2)/25)*CL20+(1-EXP(-LN(2)/25))/(LN(2)/25)*Calculateur!CG21*Calculateur!CI21*VLOOKUP('Données projet'!$B$12,Paramètres!$A$1:$I$88,3,0)*0.475*44/12</f>
        <v>0</v>
      </c>
      <c r="CM21" s="23">
        <f>EXP(-LN(2)/2)*CM20+(1-EXP(-LN(2)/2))/(LN(2)/2)*CG21*CJ21*VLOOKUP('Données projet'!$B$12,Paramètres!$A$1:$I$88,3,0)*0.475*44/12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63.979241787280287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13.8</v>
      </c>
      <c r="CT21" s="13">
        <f>IF('Données projet'!$A$140&gt;35,CT20+CS21-DB20,IF(A21&lt;'Données projet'!$A$140,$CQ$205^A21,IF(A21='Données projet'!$A$140,'Données projet'!$B$140,CT20+CS21-DB20)))</f>
        <v>74.399999999999991</v>
      </c>
      <c r="CU21" s="18">
        <f>CT21*VLOOKUP('Données projet'!$B$13,Paramètres!$A$1:$I$88,3,0)*VLOOKUP('Données projet'!$B$13,Paramètres!$A$1:$I$88,5,0)</f>
        <v>59.192639999999997</v>
      </c>
      <c r="CV21" s="14">
        <f t="shared" si="41"/>
        <v>16.963982408330725</v>
      </c>
      <c r="CW21" s="22">
        <f t="shared" si="13"/>
        <v>132.63945069450935</v>
      </c>
      <c r="CX21" s="62">
        <f t="shared" si="14"/>
        <v>389.23000391453706</v>
      </c>
      <c r="CY21" s="62">
        <f ca="1">AVERAGE(OFFSET($CX$3,0,0,'Données projet'!$E$13+1,1))-AVERAGE(OFFSET($H$3,0,0,'Données projet'!$E$13+1,1))</f>
        <v>361.30066984973894</v>
      </c>
      <c r="CZ21" s="62">
        <f t="shared" si="42"/>
        <v>351.78053157121622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projet'!$B$13,Paramètres!$A$1:$I$88,3,0)*0.475*44/12</f>
        <v>0</v>
      </c>
      <c r="DG21" s="23">
        <f>EXP(-LN(2)/25)*DG20+(1-EXP(-LN(2)/25))/(LN(2)/25)*Calculateur!DB21*Calculateur!DD21*VLOOKUP('Données projet'!$B$13,Paramètres!$A$1:$I$88,3,0)*0.475*44/12</f>
        <v>0</v>
      </c>
      <c r="DH21" s="23">
        <f>EXP(-LN(2)/2)*DH20+(1-EXP(-LN(2)/2))/(LN(2)/2)*DB21*DE21*VLOOKUP('Données projet'!$B$13,Paramètres!$A$1:$I$88,3,0)*0.475*44/12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63.979241787280287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10.714285714285714</v>
      </c>
      <c r="DO21" s="13">
        <f>IF('Données projet'!$A$166&gt;35,DO20+DN21-DW20,IF(A21&lt;'Données projet'!$A$166,$DL$205^A21,IF(A21='Données projet'!$A$166,'Données projet'!$B$166,DO20+DN21-DW20)))</f>
        <v>137.14285714285711</v>
      </c>
      <c r="DP21" s="18">
        <f>DO21*VLOOKUP('Données projet'!$B$14,Paramètres!$A$1:$I$88,3,0)*VLOOKUP('Données projet'!$B$14,Paramètres!$A$1:$I$88,5,0)</f>
        <v>69.745371428571417</v>
      </c>
      <c r="DQ21" s="14">
        <f t="shared" si="43"/>
        <v>19.610210917873907</v>
      </c>
      <c r="DR21" s="22">
        <f t="shared" si="16"/>
        <v>155.62763925339226</v>
      </c>
      <c r="DS21" s="62">
        <f t="shared" si="17"/>
        <v>412.21819247342</v>
      </c>
      <c r="DT21" s="62">
        <f ca="1">AVERAGE(OFFSET($DS$3,0,0,'Données projet'!$E$14+1,1))-AVERAGE(OFFSET($H$3,0,0,'Données projet'!$E$14+1,1))</f>
        <v>91.201152634762423</v>
      </c>
      <c r="DU21" s="62">
        <f t="shared" si="44"/>
        <v>233.36981992862445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projet'!$B$14,Paramètres!$A$1:$I$88,3,0)*0.475*44/12</f>
        <v>0</v>
      </c>
      <c r="EB21" s="23">
        <f>EXP(-LN(2)/25)*EB20+(1-EXP(-LN(2)/25))/(LN(2)/25)*Calculateur!DW21*Calculateur!DY21*VLOOKUP('Données projet'!$B$14,Paramètres!$A$1:$I$88,3,0)*0.475*44/12</f>
        <v>0</v>
      </c>
      <c r="EC21" s="23">
        <f>EXP(-LN(2)/2)*EC20+(1-EXP(-LN(2)/2))/(LN(2)/2)*DW21*DZ21*VLOOKUP('Données projet'!$B$14,Paramètres!$A$1:$I$88,3,0)*0.475*44/12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63.979241787280287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projet'!$B$15,Paramètres!$A$1:$I$88,3,0)*0.475*44/12</f>
        <v>#N/A</v>
      </c>
      <c r="EW21" s="23" t="e">
        <f>EXP(-LN(2)/25)*EW20+(1-EXP(-LN(2)/25))/(LN(2)/25)*Calculateur!ER21*Calculateur!ET21*VLOOKUP('Données projet'!$B$15,Paramètres!$A$1:$I$88,3,0)*0.475*44/12</f>
        <v>#N/A</v>
      </c>
      <c r="EX21" s="23" t="e">
        <f>EXP(-LN(2)/2)*EX20+(1-EXP(-LN(2)/2))/(LN(2)/2)*ER21*EU21*VLOOKUP('Données projet'!$B$15,Paramètres!$A$1:$I$88,3,0)*0.475*44/12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63.979241787280287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projet'!$B$16,Paramètres!$A$1:$I$88,3,0)*0.475*44/12</f>
        <v>#N/A</v>
      </c>
      <c r="FR21" s="23" t="e">
        <f>EXP(-LN(2)/25)*FR20+(1-EXP(-LN(2)/25))/(LN(2)/25)*Calculateur!FM21*Calculateur!FO21*VLOOKUP('Données projet'!$B$16,Paramètres!$A$1:$I$88,3,0)*0.475*44/12</f>
        <v>#N/A</v>
      </c>
      <c r="FS21" s="23" t="e">
        <f>EXP(-LN(2)/2)*FS20+(1-EXP(-LN(2)/2))/(LN(2)/2)*FM21*FP21*VLOOKUP('Données projet'!$B$16,Paramètres!$A$1:$I$88,3,0)*0.475*44/12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63.979241787280287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projet'!$B$17,Paramètres!$A$1:$I$88,3,0)*0.475*44/12</f>
        <v>#N/A</v>
      </c>
      <c r="GM21" s="23" t="e">
        <f>EXP(-LN(2)/25)*GM20+(1-EXP(-LN(2)/25))/(LN(2)/25)*Calculateur!GH21*Calculateur!GJ21*VLOOKUP('Données projet'!$B$17,Paramètres!$A$1:$I$88,3,0)*0.475*44/12</f>
        <v>#N/A</v>
      </c>
      <c r="GN21" s="23" t="e">
        <f>EXP(-LN(2)/2)*GN20+(1-EXP(-LN(2)/2))/(LN(2)/2)*GH21*GK21*VLOOKUP('Données projet'!$B$17,Paramètres!$A$1:$I$88,3,0)*0.475*44/12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63.979241787280287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projet'!$B$18,Paramètres!$A$1:$I$88,3,0)*0.475*44/12</f>
        <v>#N/A</v>
      </c>
      <c r="HH21" s="23" t="e">
        <f>EXP(-LN(2)/25)*HH20+(1-EXP(-LN(2)/25))/(LN(2)/25)*Calculateur!HC21*Calculateur!HE21*VLOOKUP('Données projet'!$B$18,Paramètres!$A$1:$I$88,3,0)*0.475*44/12</f>
        <v>#N/A</v>
      </c>
      <c r="HI21" s="23" t="e">
        <f>EXP(-LN(2)/2)*HI20+(1-EXP(-LN(2)/2))/(LN(2)/2)*HC21*HF21*VLOOKUP('Données projet'!$B$18,Paramètres!$A$1:$I$88,3,0)*0.475*44/12</f>
        <v>#N/A</v>
      </c>
      <c r="HJ21" s="24" t="e">
        <f t="shared" si="30"/>
        <v>#N/A</v>
      </c>
    </row>
    <row r="22" spans="1:218" s="5" customFormat="1" x14ac:dyDescent="0.2">
      <c r="A22" s="11">
        <f t="shared" si="31"/>
        <v>19</v>
      </c>
      <c r="B22" s="77">
        <f>'Scénario référence'!$B$16*5+'Scénario référence'!$B$17*0+'Scénario référence'!$B$18*5</f>
        <v>1.6500000000000001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6.0500000000000007</v>
      </c>
      <c r="H22" s="70">
        <f t="shared" si="1"/>
        <v>232.4666666666667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64.08368848187213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23.6</v>
      </c>
      <c r="N22" s="14">
        <f>IF('Données projet'!$A$36&gt;35,N21+M22-V21,IF(A22&lt;'Données projet'!$A$36,$K$205^A22,IF(A22='Données projet'!$A$36,'Données projet'!$B$36,N21+M22-V21)))</f>
        <v>202.39999999999998</v>
      </c>
      <c r="O22" s="14">
        <f>N22*VLOOKUP('Données projet'!$B$9,Paramètres!$A$1:$I$88,3,0)*VLOOKUP('Données projet'!$B$9,Paramètres!$A$1:$I$88,5,0)</f>
        <v>121.0352</v>
      </c>
      <c r="P22" s="14">
        <f t="shared" si="33"/>
        <v>31.916321859626926</v>
      </c>
      <c r="Q22" s="22">
        <f t="shared" si="2"/>
        <v>266.39056723885022</v>
      </c>
      <c r="R22" s="62">
        <f t="shared" si="0"/>
        <v>524.58631389460356</v>
      </c>
      <c r="S22" s="62">
        <f ca="1">AVERAGE(OFFSET($R$3,0,0,'Données projet'!$E$9+1,1))-AVERAGE(OFFSET($H$3,0,0,'Données projet'!$E$9+1,1))</f>
        <v>354.71367224254021</v>
      </c>
      <c r="T22" s="62">
        <f t="shared" si="34"/>
        <v>490.074370133397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3.7425810863317048</v>
      </c>
      <c r="AB22" s="23">
        <f>EXP(-LN(2)/2)*AB21+(1-EXP(-LN(2)/2))/(LN(2)/2)*V22*Y22*VLOOKUP('Données projet'!$B$9,Paramètres!$A$1:$I$88,3,0)*0.475*44/12</f>
        <v>1.5640430511571097</v>
      </c>
      <c r="AC22" s="24">
        <f t="shared" si="3"/>
        <v>5.3066241374888143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64.08368848187213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16.399999999999999</v>
      </c>
      <c r="AI22" s="14">
        <f>IF('Données projet'!$A$62&gt;35,AI21+AH22-AQ21,IF(A22&lt;'Données projet'!$A$62,$AF$205^A22,IF(A22='Données projet'!$A$62,'Données projet'!$B$62,AI21+AH22-AQ21)))</f>
        <v>134.60000000000002</v>
      </c>
      <c r="AJ22" s="14">
        <f>AI22*VLOOKUP('Données projet'!$B$10,Paramètres!$A$1:$I$88,3,0)*VLOOKUP('Données projet'!$B$10,Paramètres!$A$1:$I$88,5,0)</f>
        <v>80.490800000000021</v>
      </c>
      <c r="AK22" s="14">
        <f t="shared" si="35"/>
        <v>22.257144529725775</v>
      </c>
      <c r="AL22" s="22">
        <f t="shared" si="4"/>
        <v>178.95267005593908</v>
      </c>
      <c r="AM22" s="62">
        <f t="shared" si="5"/>
        <v>437.14841671169245</v>
      </c>
      <c r="AN22" s="62">
        <f ca="1">AVERAGE(OFFSET($AM$3,0,0,'Données projet'!$E$10+1,1))-AVERAGE(OFFSET($H$3,0,0,'Données projet'!$E$10+1,1))</f>
        <v>264.73276096087574</v>
      </c>
      <c r="AO22" s="62">
        <f t="shared" si="36"/>
        <v>381.84464918049662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projet'!$B$10,Paramètres!$A$1:$I$88,3,0)*0.475*44/12</f>
        <v>0</v>
      </c>
      <c r="AV22" s="23">
        <f>EXP(-LN(2)/25)*AV21+(1-EXP(-LN(2)/25))/(LN(2)/25)*Calculateur!AQ22*Calculateur!AS22*VLOOKUP('Données projet'!$B$10,Paramètres!$A$1:$I$88,3,0)*0.475*44/12</f>
        <v>2.4950540575544702</v>
      </c>
      <c r="AW22" s="23">
        <f>EXP(-LN(2)/2)*AW21+(1-EXP(-LN(2)/2))/(LN(2)/2)*AQ22*AT22*VLOOKUP('Données projet'!$B$10,Paramètres!$A$1:$I$88,3,0)*0.475*44/12</f>
        <v>1.042695367438073</v>
      </c>
      <c r="AX22" s="23">
        <f t="shared" si="6"/>
        <v>3.5377494249925432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64.08368848187213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2.1</v>
      </c>
      <c r="BD22" s="13">
        <f>IF('Données projet'!$A$88&gt;35,BD21+BC22-BL21,IF(A22&lt;'Données projet'!$A$88,$BA$205^A22,IF(A22='Données projet'!$A$88,'Données projet'!$B$88,BD21+BC22-BL21)))</f>
        <v>34.840696297767764</v>
      </c>
      <c r="BE22" s="14">
        <f>BD22*VLOOKUP('Données projet'!$B$11,Paramètres!$A$1:$I$88,3,0)*VLOOKUP('Données projet'!$B$11,Paramètres!$A$1:$I$88,5,0)</f>
        <v>39.676584943897929</v>
      </c>
      <c r="BF22" s="14">
        <f t="shared" si="37"/>
        <v>11.912885250825237</v>
      </c>
      <c r="BG22" s="22">
        <f t="shared" si="7"/>
        <v>89.851660589142838</v>
      </c>
      <c r="BH22" s="62">
        <f t="shared" si="8"/>
        <v>348.04740724489619</v>
      </c>
      <c r="BI22" s="62">
        <f ca="1">AVERAGE(OFFSET($BH$3,0,0,'Données projet'!$E$11+1,1))-AVERAGE(OFFSET($H$3,0,0,'Données projet'!$E$11+1,1))</f>
        <v>470.57532875732056</v>
      </c>
      <c r="BJ22" s="62">
        <f t="shared" si="38"/>
        <v>286.63787681165888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projet'!$B$11,Paramètres!$A$1:$I$88,3,0)*0.475*44/12</f>
        <v>0</v>
      </c>
      <c r="BQ22" s="23">
        <f>EXP(-LN(2)/25)*BQ21+(1-EXP(-LN(2)/25))/(LN(2)/25)*Calculateur!BL22*Calculateur!BN22*VLOOKUP('Données projet'!$B$11,Paramètres!$A$1:$I$88,3,0)*0.475*44/12</f>
        <v>0</v>
      </c>
      <c r="BR22" s="23">
        <f>EXP(-LN(2)/2)*BR21+(1-EXP(-LN(2)/2))/(LN(2)/2)*BL22*BO22*VLOOKUP('Données projet'!$B$11,Paramètres!$A$1:$I$88,3,0)*0.475*44/12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64.08368848187213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13.8</v>
      </c>
      <c r="BY22" s="13">
        <f>IF('Données projet'!$A$114&gt;35,BY21+BX22-CG21,IF(A22&lt;'Données projet'!$A$114,$BV$205^A22,IF(A22='Données projet'!$A$114,'Données projet'!$B$114,BY21+BX22-CG21)))</f>
        <v>88.199999999999989</v>
      </c>
      <c r="BZ22" s="14">
        <f>BY22*VLOOKUP('Données projet'!$B$12,Paramètres!$A$1:$I$88,3,0)*VLOOKUP('Données projet'!$B$12,Paramètres!$A$1:$I$88,5,0)</f>
        <v>57.788639999999994</v>
      </c>
      <c r="CA22" s="14">
        <f t="shared" si="39"/>
        <v>16.607951763417912</v>
      </c>
      <c r="CB22" s="22">
        <f t="shared" si="10"/>
        <v>129.57406398795285</v>
      </c>
      <c r="CC22" s="62">
        <f t="shared" si="11"/>
        <v>387.76981064370619</v>
      </c>
      <c r="CD22" s="62">
        <f ca="1">AVERAGE(OFFSET($CC$3,0,0,'Données projet'!$E$12+1,1))-AVERAGE(OFFSET($H$3,0,0,'Données projet'!$E$12+1,1))</f>
        <v>305.38855494899906</v>
      </c>
      <c r="CE22" s="62">
        <f t="shared" si="40"/>
        <v>298.48106301229177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projet'!$B$12,Paramètres!$A$1:$I$88,3,0)*0.475*44/12</f>
        <v>0</v>
      </c>
      <c r="CL22" s="23">
        <f>EXP(-LN(2)/25)*CL21+(1-EXP(-LN(2)/25))/(LN(2)/25)*Calculateur!CG22*Calculateur!CI22*VLOOKUP('Données projet'!$B$12,Paramètres!$A$1:$I$88,3,0)*0.475*44/12</f>
        <v>0</v>
      </c>
      <c r="CM22" s="23">
        <f>EXP(-LN(2)/2)*CM21+(1-EXP(-LN(2)/2))/(LN(2)/2)*CG22*CJ22*VLOOKUP('Données projet'!$B$12,Paramètres!$A$1:$I$88,3,0)*0.475*44/12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64.08368848187213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13.8</v>
      </c>
      <c r="CT22" s="13">
        <f>IF('Données projet'!$A$140&gt;35,CT21+CS22-DB21,IF(A22&lt;'Données projet'!$A$140,$CQ$205^A22,IF(A22='Données projet'!$A$140,'Données projet'!$B$140,CT21+CS22-DB21)))</f>
        <v>88.199999999999989</v>
      </c>
      <c r="CU22" s="18">
        <f>CT22*VLOOKUP('Données projet'!$B$13,Paramètres!$A$1:$I$88,3,0)*VLOOKUP('Données projet'!$B$13,Paramètres!$A$1:$I$88,5,0)</f>
        <v>70.171919999999986</v>
      </c>
      <c r="CV22" s="14">
        <f t="shared" si="41"/>
        <v>19.716145269554726</v>
      </c>
      <c r="CW22" s="22">
        <f t="shared" si="13"/>
        <v>156.55504701114111</v>
      </c>
      <c r="CX22" s="62">
        <f t="shared" si="14"/>
        <v>414.75079366689442</v>
      </c>
      <c r="CY22" s="62">
        <f ca="1">AVERAGE(OFFSET($CX$3,0,0,'Données projet'!$E$13+1,1))-AVERAGE(OFFSET($H$3,0,0,'Données projet'!$E$13+1,1))</f>
        <v>361.30066984973894</v>
      </c>
      <c r="CZ22" s="62">
        <f t="shared" si="42"/>
        <v>351.78053157121622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projet'!$B$13,Paramètres!$A$1:$I$88,3,0)*0.475*44/12</f>
        <v>0</v>
      </c>
      <c r="DG22" s="23">
        <f>EXP(-LN(2)/25)*DG21+(1-EXP(-LN(2)/25))/(LN(2)/25)*Calculateur!DB22*Calculateur!DD22*VLOOKUP('Données projet'!$B$13,Paramètres!$A$1:$I$88,3,0)*0.475*44/12</f>
        <v>0</v>
      </c>
      <c r="DH22" s="23">
        <f>EXP(-LN(2)/2)*DH21+(1-EXP(-LN(2)/2))/(LN(2)/2)*DB22*DE22*VLOOKUP('Données projet'!$B$13,Paramètres!$A$1:$I$88,3,0)*0.475*44/12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64.08368848187213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10.714285714285714</v>
      </c>
      <c r="DO22" s="13">
        <f>IF('Données projet'!$A$166&gt;35,DO21+DN22-DW21,IF(A22&lt;'Données projet'!$A$166,$DL$205^A22,IF(A22='Données projet'!$A$166,'Données projet'!$B$166,DO21+DN22-DW21)))</f>
        <v>147.85714285714283</v>
      </c>
      <c r="DP22" s="18">
        <f>DO22*VLOOKUP('Données projet'!$B$14,Paramètres!$A$1:$I$88,3,0)*VLOOKUP('Données projet'!$B$14,Paramètres!$A$1:$I$88,5,0)</f>
        <v>75.194228571428567</v>
      </c>
      <c r="DQ22" s="14">
        <f t="shared" si="43"/>
        <v>20.957945000656011</v>
      </c>
      <c r="DR22" s="22">
        <f t="shared" si="16"/>
        <v>167.46503563804728</v>
      </c>
      <c r="DS22" s="62">
        <f t="shared" si="17"/>
        <v>425.66078229380059</v>
      </c>
      <c r="DT22" s="62">
        <f ca="1">AVERAGE(OFFSET($DS$3,0,0,'Données projet'!$E$14+1,1))-AVERAGE(OFFSET($H$3,0,0,'Données projet'!$E$14+1,1))</f>
        <v>91.201152634762423</v>
      </c>
      <c r="DU22" s="62">
        <f t="shared" si="44"/>
        <v>233.36981992862445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projet'!$B$14,Paramètres!$A$1:$I$88,3,0)*0.475*44/12</f>
        <v>0</v>
      </c>
      <c r="EB22" s="23">
        <f>EXP(-LN(2)/25)*EB21+(1-EXP(-LN(2)/25))/(LN(2)/25)*Calculateur!DW22*Calculateur!DY22*VLOOKUP('Données projet'!$B$14,Paramètres!$A$1:$I$88,3,0)*0.475*44/12</f>
        <v>0</v>
      </c>
      <c r="EC22" s="23">
        <f>EXP(-LN(2)/2)*EC21+(1-EXP(-LN(2)/2))/(LN(2)/2)*DW22*DZ22*VLOOKUP('Données projet'!$B$14,Paramètres!$A$1:$I$88,3,0)*0.475*44/12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64.08368848187213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projet'!$B$15,Paramètres!$A$1:$I$88,3,0)*0.475*44/12</f>
        <v>#N/A</v>
      </c>
      <c r="EW22" s="23" t="e">
        <f>EXP(-LN(2)/25)*EW21+(1-EXP(-LN(2)/25))/(LN(2)/25)*Calculateur!ER22*Calculateur!ET22*VLOOKUP('Données projet'!$B$15,Paramètres!$A$1:$I$88,3,0)*0.475*44/12</f>
        <v>#N/A</v>
      </c>
      <c r="EX22" s="23" t="e">
        <f>EXP(-LN(2)/2)*EX21+(1-EXP(-LN(2)/2))/(LN(2)/2)*ER22*EU22*VLOOKUP('Données projet'!$B$15,Paramètres!$A$1:$I$88,3,0)*0.475*44/12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64.08368848187213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projet'!$B$16,Paramètres!$A$1:$I$88,3,0)*0.475*44/12</f>
        <v>#N/A</v>
      </c>
      <c r="FR22" s="23" t="e">
        <f>EXP(-LN(2)/25)*FR21+(1-EXP(-LN(2)/25))/(LN(2)/25)*Calculateur!FM22*Calculateur!FO22*VLOOKUP('Données projet'!$B$16,Paramètres!$A$1:$I$88,3,0)*0.475*44/12</f>
        <v>#N/A</v>
      </c>
      <c r="FS22" s="23" t="e">
        <f>EXP(-LN(2)/2)*FS21+(1-EXP(-LN(2)/2))/(LN(2)/2)*FM22*FP22*VLOOKUP('Données projet'!$B$16,Paramètres!$A$1:$I$88,3,0)*0.475*44/12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64.08368848187213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projet'!$B$17,Paramètres!$A$1:$I$88,3,0)*0.475*44/12</f>
        <v>#N/A</v>
      </c>
      <c r="GM22" s="23" t="e">
        <f>EXP(-LN(2)/25)*GM21+(1-EXP(-LN(2)/25))/(LN(2)/25)*Calculateur!GH22*Calculateur!GJ22*VLOOKUP('Données projet'!$B$17,Paramètres!$A$1:$I$88,3,0)*0.475*44/12</f>
        <v>#N/A</v>
      </c>
      <c r="GN22" s="23" t="e">
        <f>EXP(-LN(2)/2)*GN21+(1-EXP(-LN(2)/2))/(LN(2)/2)*GH22*GK22*VLOOKUP('Données projet'!$B$17,Paramètres!$A$1:$I$88,3,0)*0.475*44/12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64.08368848187213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projet'!$B$18,Paramètres!$A$1:$I$88,3,0)*0.475*44/12</f>
        <v>#N/A</v>
      </c>
      <c r="HH22" s="23" t="e">
        <f>EXP(-LN(2)/25)*HH21+(1-EXP(-LN(2)/25))/(LN(2)/25)*Calculateur!HC22*Calculateur!HE22*VLOOKUP('Données projet'!$B$18,Paramètres!$A$1:$I$88,3,0)*0.475*44/12</f>
        <v>#N/A</v>
      </c>
      <c r="HI22" s="23" t="e">
        <f>EXP(-LN(2)/2)*HI21+(1-EXP(-LN(2)/2))/(LN(2)/2)*HC22*HF22*VLOOKUP('Données projet'!$B$18,Paramètres!$A$1:$I$88,3,0)*0.475*44/12</f>
        <v>#N/A</v>
      </c>
      <c r="HJ22" s="24" t="e">
        <f t="shared" si="30"/>
        <v>#N/A</v>
      </c>
    </row>
    <row r="23" spans="1:218" s="5" customFormat="1" x14ac:dyDescent="0.2">
      <c r="A23" s="11">
        <f t="shared" si="31"/>
        <v>20</v>
      </c>
      <c r="B23" s="77">
        <f>'Scénario référence'!$B$16*5+'Scénario référence'!$B$17*0+'Scénario référence'!$B$18*5</f>
        <v>1.6500000000000001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6.0500000000000007</v>
      </c>
      <c r="H23" s="70">
        <f t="shared" si="1"/>
        <v>232.4666666666667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64.186323259820625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226</v>
      </c>
      <c r="L23" s="13">
        <f>VLOOKUP(A23,'Données projet'!$A$35:$I$55,9,0)</f>
        <v>23.6</v>
      </c>
      <c r="M23" s="13">
        <f t="array" ref="M23">INDEX(L:L,MIN(IF(ISNUMBER(L23:L219),ROW(L23:L219),"")))</f>
        <v>23.6</v>
      </c>
      <c r="N23" s="14">
        <f>IF('Données projet'!$A$36&gt;35,N22+M23-V22,IF(A23&lt;'Données projet'!$A$36,$K$205^A23,IF(A23='Données projet'!$A$36,'Données projet'!$B$36,N22+M23-V22)))</f>
        <v>225.99999999999997</v>
      </c>
      <c r="O23" s="14">
        <f>N23*VLOOKUP('Données projet'!$B$9,Paramètres!$A$1:$I$88,3,0)*VLOOKUP('Données projet'!$B$9,Paramètres!$A$1:$I$88,5,0)</f>
        <v>135.148</v>
      </c>
      <c r="P23" s="14">
        <f t="shared" si="33"/>
        <v>35.183208974998173</v>
      </c>
      <c r="Q23" s="22">
        <f t="shared" si="2"/>
        <v>296.66018896478846</v>
      </c>
      <c r="R23" s="62">
        <f t="shared" si="0"/>
        <v>556.45448536190861</v>
      </c>
      <c r="S23" s="62">
        <f ca="1">AVERAGE(OFFSET($R$3,0,0,'Données projet'!$E$9+1,1))-AVERAGE(OFFSET($H$3,0,0,'Données projet'!$E$9+1,1))</f>
        <v>354.71367224254021</v>
      </c>
      <c r="T23" s="62">
        <f t="shared" si="34"/>
        <v>490.074370133397</v>
      </c>
      <c r="U23" s="16">
        <f>IF(ISNA(VLOOKUP(A23,'Données projet'!$A$35:$I$55,3,0)),0,VLOOKUP(A23,'Données projet'!$A$35:$I$55,3,0))</f>
        <v>2</v>
      </c>
      <c r="V23" s="16">
        <f>IF(ISNA(VLOOKUP(A23,'Données projet'!$A$35:$I$55,4,0)),0,VLOOKUP(A23,'Données projet'!$A$35:$I$55,4,0))</f>
        <v>70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0.25200000000000006</v>
      </c>
      <c r="Y23" s="17">
        <f>IF(ISNA(VLOOKUP(A23,'Données projet'!$A$35:$I$55,7,0)),0%,VLOOKUP(A23,'Données projet'!$A$35:$I$55,7,0))</f>
        <v>0.44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17.578699046214744</v>
      </c>
      <c r="AB23" s="23">
        <f>EXP(-LN(2)/2)*AB22+(1-EXP(-LN(2)/2))/(LN(2)/2)*V23*Y23*VLOOKUP('Données projet'!$B$9,Paramètres!$A$1:$I$88,3,0)*0.475*44/12</f>
        <v>21.959852796302346</v>
      </c>
      <c r="AC23" s="24">
        <f t="shared" si="3"/>
        <v>39.538551842517094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64.186323259820625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151</v>
      </c>
      <c r="AG23" s="13">
        <f>VLOOKUP(A23,'Données projet'!$A$61:$I$81,9,0)</f>
        <v>16.399999999999999</v>
      </c>
      <c r="AH23" s="13">
        <f t="array" ref="AH23">INDEX(AG:AG,MIN(IF(ISNUMBER(AG23:AG219),ROW(AG23:AG219),"")))</f>
        <v>16.399999999999999</v>
      </c>
      <c r="AI23" s="14">
        <f>IF('Données projet'!$A$62&gt;35,AI22+AH23-AQ22,IF(A23&lt;'Données projet'!$A$62,$AF$205^A23,IF(A23='Données projet'!$A$62,'Données projet'!$B$62,AI22+AH23-AQ22)))</f>
        <v>151.00000000000003</v>
      </c>
      <c r="AJ23" s="14">
        <f>AI23*VLOOKUP('Données projet'!$B$10,Paramètres!$A$1:$I$88,3,0)*VLOOKUP('Données projet'!$B$10,Paramètres!$A$1:$I$88,5,0)</f>
        <v>90.29800000000003</v>
      </c>
      <c r="AK23" s="14">
        <f t="shared" si="35"/>
        <v>24.637081585210545</v>
      </c>
      <c r="AL23" s="22">
        <f t="shared" si="4"/>
        <v>200.17860042757511</v>
      </c>
      <c r="AM23" s="62">
        <f t="shared" si="5"/>
        <v>459.97289682469523</v>
      </c>
      <c r="AN23" s="62">
        <f ca="1">AVERAGE(OFFSET($AM$3,0,0,'Données projet'!$E$10+1,1))-AVERAGE(OFFSET($H$3,0,0,'Données projet'!$E$10+1,1))</f>
        <v>264.73276096087574</v>
      </c>
      <c r="AO23" s="62">
        <f t="shared" si="36"/>
        <v>381.84464918049662</v>
      </c>
      <c r="AP23" s="16">
        <f>IF(ISNA(VLOOKUP(A23,'Données projet'!$A$61:$I$81,3,0)),0,VLOOKUP(A23,'Données projet'!$A$61:$I$81,3,0))</f>
        <v>2</v>
      </c>
      <c r="AQ23" s="16">
        <f>IF(ISNA(VLOOKUP(A23,'Données projet'!$A$61:$I$81,4,0)),0,VLOOKUP(A23,'Données projet'!$A$61:$I$81,4,0))</f>
        <v>49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0.25200000000000006</v>
      </c>
      <c r="AT23" s="17">
        <f>IF(ISNA(VLOOKUP(A23,'Données projet'!$A$61:$I$81,7,0)),0%,VLOOKUP(A23,'Données projet'!$A$61:$I$81,7,0))</f>
        <v>0.44</v>
      </c>
      <c r="AU23" s="23">
        <f>EXP(-LN(2)/35)*AU22+(1-EXP(-LN(2)/35))/(LN(2)/35)*AQ23*AR23*VLOOKUP('Données projet'!$B$10,Paramètres!$A$1:$I$88,3,0)*0.475*44/12</f>
        <v>0</v>
      </c>
      <c r="AV23" s="23">
        <f>EXP(-LN(2)/25)*AV22+(1-EXP(-LN(2)/25))/(LN(2)/25)*Calculateur!AQ23*Calculateur!AS23*VLOOKUP('Données projet'!$B$10,Paramètres!$A$1:$I$88,3,0)*0.475*44/12</f>
        <v>12.183747998693249</v>
      </c>
      <c r="AW23" s="23">
        <f>EXP(-LN(2)/2)*AW22+(1-EXP(-LN(2)/2))/(LN(2)/2)*AQ23*AT23*VLOOKUP('Données projet'!$B$10,Paramètres!$A$1:$I$88,3,0)*0.475*44/12</f>
        <v>15.335032109160279</v>
      </c>
      <c r="AX23" s="23">
        <f t="shared" si="6"/>
        <v>27.51878010785353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64.186323259820625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42</v>
      </c>
      <c r="BB23" s="13">
        <f>VLOOKUP(A23,'Données projet'!$A$87:$I$107,9,0)</f>
        <v>2.1</v>
      </c>
      <c r="BC23" s="13">
        <f t="array" ref="BC23">INDEX(BB:BB,MIN(IF(ISNUMBER(BB23:BB219),ROW(BB23:BB219),"")))</f>
        <v>2.1</v>
      </c>
      <c r="BD23" s="13">
        <f>IF('Données projet'!$A$88&gt;35,BD22+BC23-BL22,IF(A23&lt;'Données projet'!$A$88,$BA$205^A23,IF(A23='Données projet'!$A$88,'Données projet'!$B$88,BD22+BC23-BL22)))</f>
        <v>42</v>
      </c>
      <c r="BE23" s="14">
        <f>BD23*VLOOKUP('Données projet'!$B$11,Paramètres!$A$1:$I$88,3,0)*VLOOKUP('Données projet'!$B$11,Paramètres!$A$1:$I$88,5,0)</f>
        <v>47.829599999999999</v>
      </c>
      <c r="BF23" s="14">
        <f t="shared" si="37"/>
        <v>14.051804929211587</v>
      </c>
      <c r="BG23" s="22">
        <f t="shared" si="7"/>
        <v>107.77678025171018</v>
      </c>
      <c r="BH23" s="62">
        <f t="shared" si="8"/>
        <v>367.57107664883029</v>
      </c>
      <c r="BI23" s="62">
        <f ca="1">AVERAGE(OFFSET($BH$3,0,0,'Données projet'!$E$11+1,1))-AVERAGE(OFFSET($H$3,0,0,'Données projet'!$E$11+1,1))</f>
        <v>470.57532875732056</v>
      </c>
      <c r="BJ23" s="62">
        <f t="shared" si="38"/>
        <v>286.63787681165888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projet'!$B$11,Paramètres!$A$1:$I$88,3,0)*0.475*44/12</f>
        <v>0</v>
      </c>
      <c r="BQ23" s="23">
        <f>EXP(-LN(2)/25)*BQ22+(1-EXP(-LN(2)/25))/(LN(2)/25)*Calculateur!BL23*Calculateur!BN23*VLOOKUP('Données projet'!$B$11,Paramètres!$A$1:$I$88,3,0)*0.475*44/12</f>
        <v>0</v>
      </c>
      <c r="BR23" s="23">
        <f>EXP(-LN(2)/2)*BR22+(1-EXP(-LN(2)/2))/(LN(2)/2)*BL23*BO23*VLOOKUP('Données projet'!$B$11,Paramètres!$A$1:$I$88,3,0)*0.475*44/12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64.186323259820625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102</v>
      </c>
      <c r="BW23" s="13">
        <f>VLOOKUP(A23,'Données projet'!$A$113:$I$133,9,0)</f>
        <v>13.8</v>
      </c>
      <c r="BX23" s="13">
        <f t="array" ref="BX23">INDEX(BW:BW,MIN(IF(ISNUMBER(BW23:BW219),ROW(BW23:BW219),"")))</f>
        <v>13.8</v>
      </c>
      <c r="BY23" s="13">
        <f>IF('Données projet'!$A$114&gt;35,BY22+BX23-CG22,IF(A23&lt;'Données projet'!$A$114,$BV$205^A23,IF(A23='Données projet'!$A$114,'Données projet'!$B$114,BY22+BX23-CG22)))</f>
        <v>101.99999999999999</v>
      </c>
      <c r="BZ23" s="14">
        <f>BY23*VLOOKUP('Données projet'!$B$12,Paramètres!$A$1:$I$88,3,0)*VLOOKUP('Données projet'!$B$12,Paramètres!$A$1:$I$88,5,0)</f>
        <v>66.830399999999983</v>
      </c>
      <c r="CA23" s="14">
        <f t="shared" si="39"/>
        <v>18.884224063325345</v>
      </c>
      <c r="CB23" s="22">
        <f t="shared" si="10"/>
        <v>149.28630357695829</v>
      </c>
      <c r="CC23" s="62">
        <f t="shared" si="11"/>
        <v>409.08059997407838</v>
      </c>
      <c r="CD23" s="62">
        <f ca="1">AVERAGE(OFFSET($CC$3,0,0,'Données projet'!$E$12+1,1))-AVERAGE(OFFSET($H$3,0,0,'Données projet'!$E$12+1,1))</f>
        <v>305.38855494899906</v>
      </c>
      <c r="CE23" s="62">
        <f t="shared" si="40"/>
        <v>298.48106301229177</v>
      </c>
      <c r="CF23" s="16">
        <f>IF(ISNA(VLOOKUP(A23,'Données projet'!$A$113:$I$133,3,0)),0,VLOOKUP(A23,'Données projet'!$A$113:$I$133,3,0))</f>
        <v>3</v>
      </c>
      <c r="CG23" s="16">
        <f>IF(ISNA(VLOOKUP(A23,'Données projet'!$A$113:$I$133,4,0)),0,VLOOKUP(A23,'Données projet'!$A$113:$I$133,4,0))</f>
        <v>35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projet'!$B$12,Paramètres!$A$1:$I$88,3,0)*0.475*44/12</f>
        <v>0</v>
      </c>
      <c r="CL23" s="23">
        <f>EXP(-LN(2)/25)*CL22+(1-EXP(-LN(2)/25))/(LN(2)/25)*Calculateur!CG23*Calculateur!CI23*VLOOKUP('Données projet'!$B$12,Paramètres!$A$1:$I$88,3,0)*0.475*44/12</f>
        <v>0</v>
      </c>
      <c r="CM23" s="23">
        <f>EXP(-LN(2)/2)*CM22+(1-EXP(-LN(2)/2))/(LN(2)/2)*CG23*CJ23*VLOOKUP('Données projet'!$B$12,Paramètres!$A$1:$I$88,3,0)*0.475*44/12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64.186323259820625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102</v>
      </c>
      <c r="CR23" s="13">
        <f>VLOOKUP(A23,'Données projet'!$A$139:$I$159,9,0)</f>
        <v>13.8</v>
      </c>
      <c r="CS23" s="13">
        <f t="array" ref="CS23">INDEX(CR:CR,MIN(IF(ISNUMBER(CR23:CR219),ROW(CR23:CR219),"")))</f>
        <v>13.8</v>
      </c>
      <c r="CT23" s="13">
        <f>IF('Données projet'!$A$140&gt;35,CT22+CS23-DB22,IF(A23&lt;'Données projet'!$A$140,$CQ$205^A23,IF(A23='Données projet'!$A$140,'Données projet'!$B$140,CT22+CS23-DB22)))</f>
        <v>101.99999999999999</v>
      </c>
      <c r="CU23" s="18">
        <f>CT23*VLOOKUP('Données projet'!$B$13,Paramètres!$A$1:$I$88,3,0)*VLOOKUP('Données projet'!$B$13,Paramètres!$A$1:$I$88,5,0)</f>
        <v>81.151200000000003</v>
      </c>
      <c r="CV23" s="14">
        <f t="shared" si="41"/>
        <v>22.418424032002342</v>
      </c>
      <c r="CW23" s="22">
        <f t="shared" si="13"/>
        <v>180.38376185573739</v>
      </c>
      <c r="CX23" s="62">
        <f t="shared" si="14"/>
        <v>440.17805825285745</v>
      </c>
      <c r="CY23" s="62">
        <f ca="1">AVERAGE(OFFSET($CX$3,0,0,'Données projet'!$E$13+1,1))-AVERAGE(OFFSET($H$3,0,0,'Données projet'!$E$13+1,1))</f>
        <v>361.30066984973894</v>
      </c>
      <c r="CZ23" s="62">
        <f t="shared" si="42"/>
        <v>351.78053157121622</v>
      </c>
      <c r="DA23" s="16">
        <f>IF(ISNA(VLOOKUP(A23,'Données projet'!$A$139:$I$159,3,0)),0,VLOOKUP(A23,'Données projet'!$A$139:$I$159,3,0))</f>
        <v>3</v>
      </c>
      <c r="DB23" s="16">
        <f>IF(ISNA(VLOOKUP(A23,'Données projet'!$A$139:$I$159,4,0)),0,VLOOKUP(A23,'Données projet'!$A$139:$I$159,4,0))</f>
        <v>35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projet'!$B$13,Paramètres!$A$1:$I$88,3,0)*0.475*44/12</f>
        <v>0</v>
      </c>
      <c r="DG23" s="23">
        <f>EXP(-LN(2)/25)*DG22+(1-EXP(-LN(2)/25))/(LN(2)/25)*Calculateur!DB23*Calculateur!DD23*VLOOKUP('Données projet'!$B$13,Paramètres!$A$1:$I$88,3,0)*0.475*44/12</f>
        <v>0</v>
      </c>
      <c r="DH23" s="23">
        <f>EXP(-LN(2)/2)*DH22+(1-EXP(-LN(2)/2))/(LN(2)/2)*DB23*DE23*VLOOKUP('Données projet'!$B$13,Paramètres!$A$1:$I$88,3,0)*0.475*44/12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64.186323259820625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10.714285714285714</v>
      </c>
      <c r="DO23" s="13">
        <f>IF('Données projet'!$A$166&gt;35,DO22+DN23-DW22,IF(A23&lt;'Données projet'!$A$166,$DL$205^A23,IF(A23='Données projet'!$A$166,'Données projet'!$B$166,DO22+DN23-DW22)))</f>
        <v>158.57142857142856</v>
      </c>
      <c r="DP23" s="18">
        <f>DO23*VLOOKUP('Données projet'!$B$14,Paramètres!$A$1:$I$88,3,0)*VLOOKUP('Données projet'!$B$14,Paramètres!$A$1:$I$88,5,0)</f>
        <v>80.643085714285718</v>
      </c>
      <c r="DQ23" s="14">
        <f t="shared" si="43"/>
        <v>22.294348585244595</v>
      </c>
      <c r="DR23" s="22">
        <f t="shared" si="16"/>
        <v>179.28269807168192</v>
      </c>
      <c r="DS23" s="62">
        <f t="shared" si="17"/>
        <v>439.07699446880201</v>
      </c>
      <c r="DT23" s="62">
        <f ca="1">AVERAGE(OFFSET($DS$3,0,0,'Données projet'!$E$14+1,1))-AVERAGE(OFFSET($H$3,0,0,'Données projet'!$E$14+1,1))</f>
        <v>91.201152634762423</v>
      </c>
      <c r="DU23" s="62">
        <f t="shared" si="44"/>
        <v>233.36981992862445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projet'!$B$14,Paramètres!$A$1:$I$88,3,0)*0.475*44/12</f>
        <v>0</v>
      </c>
      <c r="EB23" s="23">
        <f>EXP(-LN(2)/25)*EB22+(1-EXP(-LN(2)/25))/(LN(2)/25)*Calculateur!DW23*Calculateur!DY23*VLOOKUP('Données projet'!$B$14,Paramètres!$A$1:$I$88,3,0)*0.475*44/12</f>
        <v>0</v>
      </c>
      <c r="EC23" s="23">
        <f>EXP(-LN(2)/2)*EC22+(1-EXP(-LN(2)/2))/(LN(2)/2)*DW23*DZ23*VLOOKUP('Données projet'!$B$14,Paramètres!$A$1:$I$88,3,0)*0.475*44/12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64.186323259820625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projet'!$B$15,Paramètres!$A$1:$I$88,3,0)*0.475*44/12</f>
        <v>#N/A</v>
      </c>
      <c r="EW23" s="23" t="e">
        <f>EXP(-LN(2)/25)*EW22+(1-EXP(-LN(2)/25))/(LN(2)/25)*Calculateur!ER23*Calculateur!ET23*VLOOKUP('Données projet'!$B$15,Paramètres!$A$1:$I$88,3,0)*0.475*44/12</f>
        <v>#N/A</v>
      </c>
      <c r="EX23" s="23" t="e">
        <f>EXP(-LN(2)/2)*EX22+(1-EXP(-LN(2)/2))/(LN(2)/2)*ER23*EU23*VLOOKUP('Données projet'!$B$15,Paramètres!$A$1:$I$88,3,0)*0.475*44/12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64.186323259820625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projet'!$B$16,Paramètres!$A$1:$I$88,3,0)*0.475*44/12</f>
        <v>#N/A</v>
      </c>
      <c r="FR23" s="23" t="e">
        <f>EXP(-LN(2)/25)*FR22+(1-EXP(-LN(2)/25))/(LN(2)/25)*Calculateur!FM23*Calculateur!FO23*VLOOKUP('Données projet'!$B$16,Paramètres!$A$1:$I$88,3,0)*0.475*44/12</f>
        <v>#N/A</v>
      </c>
      <c r="FS23" s="23" t="e">
        <f>EXP(-LN(2)/2)*FS22+(1-EXP(-LN(2)/2))/(LN(2)/2)*FM23*FP23*VLOOKUP('Données projet'!$B$16,Paramètres!$A$1:$I$88,3,0)*0.475*44/12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64.186323259820625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projet'!$B$17,Paramètres!$A$1:$I$88,3,0)*0.475*44/12</f>
        <v>#N/A</v>
      </c>
      <c r="GM23" s="23" t="e">
        <f>EXP(-LN(2)/25)*GM22+(1-EXP(-LN(2)/25))/(LN(2)/25)*Calculateur!GH23*Calculateur!GJ23*VLOOKUP('Données projet'!$B$17,Paramètres!$A$1:$I$88,3,0)*0.475*44/12</f>
        <v>#N/A</v>
      </c>
      <c r="GN23" s="23" t="e">
        <f>EXP(-LN(2)/2)*GN22+(1-EXP(-LN(2)/2))/(LN(2)/2)*GH23*GK23*VLOOKUP('Données projet'!$B$17,Paramètres!$A$1:$I$88,3,0)*0.475*44/12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64.186323259820625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projet'!$B$18,Paramètres!$A$1:$I$88,3,0)*0.475*44/12</f>
        <v>#N/A</v>
      </c>
      <c r="HH23" s="23" t="e">
        <f>EXP(-LN(2)/25)*HH22+(1-EXP(-LN(2)/25))/(LN(2)/25)*Calculateur!HC23*Calculateur!HE23*VLOOKUP('Données projet'!$B$18,Paramètres!$A$1:$I$88,3,0)*0.475*44/12</f>
        <v>#N/A</v>
      </c>
      <c r="HI23" s="23" t="e">
        <f>EXP(-LN(2)/2)*HI22+(1-EXP(-LN(2)/2))/(LN(2)/2)*HC23*HF23*VLOOKUP('Données projet'!$B$18,Paramètres!$A$1:$I$88,3,0)*0.475*44/12</f>
        <v>#N/A</v>
      </c>
      <c r="HJ23" s="24" t="e">
        <f t="shared" si="30"/>
        <v>#N/A</v>
      </c>
    </row>
    <row r="24" spans="1:218" s="5" customFormat="1" x14ac:dyDescent="0.2">
      <c r="A24" s="11">
        <f t="shared" si="31"/>
        <v>21</v>
      </c>
      <c r="B24" s="77">
        <f>'Scénario référence'!$B$16*5+'Scénario référence'!$B$17*0+'Scénario référence'!$B$18*5</f>
        <v>1.6500000000000001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6.0500000000000007</v>
      </c>
      <c r="H24" s="70">
        <f t="shared" si="1"/>
        <v>232.4666666666667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64.287177553828698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25</v>
      </c>
      <c r="N24" s="14">
        <f>IF('Données projet'!$A$36&gt;35,N23+M24-V23,IF(A24&lt;'Données projet'!$A$36,$K$205^A24,IF(A24='Données projet'!$A$36,'Données projet'!$B$36,N23+M24-V23)))</f>
        <v>180.99999999999997</v>
      </c>
      <c r="O24" s="14">
        <f>N24*VLOOKUP('Données projet'!$B$9,Paramètres!$A$1:$I$88,3,0)*VLOOKUP('Données projet'!$B$9,Paramètres!$A$1:$I$88,5,0)</f>
        <v>108.23799999999999</v>
      </c>
      <c r="P24" s="14">
        <f t="shared" si="33"/>
        <v>28.915454284197679</v>
      </c>
      <c r="Q24" s="22">
        <f t="shared" si="2"/>
        <v>238.8755995449776</v>
      </c>
      <c r="R24" s="62">
        <f t="shared" si="0"/>
        <v>500.26191724234951</v>
      </c>
      <c r="S24" s="62">
        <f ca="1">AVERAGE(OFFSET($R$3,0,0,'Données projet'!$E$9+1,1))-AVERAGE(OFFSET($H$3,0,0,'Données projet'!$E$9+1,1))</f>
        <v>354.71367224254021</v>
      </c>
      <c r="T24" s="62">
        <f t="shared" si="34"/>
        <v>490.074370133397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17.098008596372395</v>
      </c>
      <c r="AB24" s="23">
        <f>EXP(-LN(2)/2)*AB23+(1-EXP(-LN(2)/2))/(LN(2)/2)*V24*Y24*VLOOKUP('Données projet'!$B$9,Paramètres!$A$1:$I$88,3,0)*0.475*44/12</f>
        <v>15.527960826123758</v>
      </c>
      <c r="AC24" s="24">
        <f t="shared" si="3"/>
        <v>32.625969422496155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64.287177553828698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20.8</v>
      </c>
      <c r="AI24" s="14">
        <f>IF('Données projet'!$A$62&gt;35,AI23+AH24-AQ23,IF(A24&lt;'Données projet'!$A$62,$AF$205^A24,IF(A24='Données projet'!$A$62,'Données projet'!$B$62,AI23+AH24-AQ23)))</f>
        <v>122.80000000000004</v>
      </c>
      <c r="AJ24" s="14">
        <f>AI24*VLOOKUP('Données projet'!$B$10,Paramètres!$A$1:$I$88,3,0)*VLOOKUP('Données projet'!$B$10,Paramètres!$A$1:$I$88,5,0)</f>
        <v>73.434400000000025</v>
      </c>
      <c r="AK24" s="14">
        <f t="shared" si="35"/>
        <v>20.523948108959079</v>
      </c>
      <c r="AL24" s="22">
        <f t="shared" si="4"/>
        <v>163.64412295643709</v>
      </c>
      <c r="AM24" s="62">
        <f t="shared" si="5"/>
        <v>425.03044065380902</v>
      </c>
      <c r="AN24" s="62">
        <f ca="1">AVERAGE(OFFSET($AM$3,0,0,'Données projet'!$E$10+1,1))-AVERAGE(OFFSET($H$3,0,0,'Données projet'!$E$10+1,1))</f>
        <v>264.73276096087574</v>
      </c>
      <c r="AO24" s="62">
        <f t="shared" si="36"/>
        <v>381.84464918049662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projet'!$B$10,Paramètres!$A$1:$I$88,3,0)*0.475*44/12</f>
        <v>0</v>
      </c>
      <c r="AV24" s="23">
        <f>EXP(-LN(2)/25)*AV23+(1-EXP(-LN(2)/25))/(LN(2)/25)*Calculateur!AQ24*Calculateur!AS24*VLOOKUP('Données projet'!$B$10,Paramètres!$A$1:$I$88,3,0)*0.475*44/12</f>
        <v>11.850582768953522</v>
      </c>
      <c r="AW24" s="23">
        <f>EXP(-LN(2)/2)*AW23+(1-EXP(-LN(2)/2))/(LN(2)/2)*AQ24*AT24*VLOOKUP('Données projet'!$B$10,Paramètres!$A$1:$I$88,3,0)*0.475*44/12</f>
        <v>10.843505194100679</v>
      </c>
      <c r="AX24" s="23">
        <f t="shared" si="6"/>
        <v>22.694087963054201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64.287177553828698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5.6</v>
      </c>
      <c r="BD24" s="13">
        <f>IF('Données projet'!$A$88&gt;35,BD23+BC24-BL23,IF(A24&lt;'Données projet'!$A$88,$BA$205^A24,IF(A24='Données projet'!$A$88,'Données projet'!$B$88,BD23+BC24-BL23)))</f>
        <v>47.6</v>
      </c>
      <c r="BE24" s="14">
        <f>BD24*VLOOKUP('Données projet'!$B$11,Paramètres!$A$1:$I$88,3,0)*VLOOKUP('Données projet'!$B$11,Paramètres!$A$1:$I$88,5,0)</f>
        <v>54.206879999999998</v>
      </c>
      <c r="BF24" s="14">
        <f t="shared" si="37"/>
        <v>15.695044182455275</v>
      </c>
      <c r="BG24" s="22">
        <f t="shared" si="7"/>
        <v>121.74585128444294</v>
      </c>
      <c r="BH24" s="62">
        <f t="shared" si="8"/>
        <v>383.13216898181486</v>
      </c>
      <c r="BI24" s="62">
        <f ca="1">AVERAGE(OFFSET($BH$3,0,0,'Données projet'!$E$11+1,1))-AVERAGE(OFFSET($H$3,0,0,'Données projet'!$E$11+1,1))</f>
        <v>470.57532875732056</v>
      </c>
      <c r="BJ24" s="62">
        <f t="shared" si="38"/>
        <v>286.63787681165888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projet'!$B$11,Paramètres!$A$1:$I$88,3,0)*0.475*44/12</f>
        <v>0</v>
      </c>
      <c r="BQ24" s="23">
        <f>EXP(-LN(2)/25)*BQ23+(1-EXP(-LN(2)/25))/(LN(2)/25)*Calculateur!BL24*Calculateur!BN24*VLOOKUP('Données projet'!$B$11,Paramètres!$A$1:$I$88,3,0)*0.475*44/12</f>
        <v>0</v>
      </c>
      <c r="BR24" s="23">
        <f>EXP(-LN(2)/2)*BR23+(1-EXP(-LN(2)/2))/(LN(2)/2)*BL24*BO24*VLOOKUP('Données projet'!$B$11,Paramètres!$A$1:$I$88,3,0)*0.475*44/12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64.287177553828698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14.8</v>
      </c>
      <c r="BY24" s="13">
        <f>IF('Données projet'!$A$114&gt;35,BY23+BX24-CG23,IF(A24&lt;'Données projet'!$A$114,$BV$205^A24,IF(A24='Données projet'!$A$114,'Données projet'!$B$114,BY23+BX24-CG23)))</f>
        <v>81.799999999999983</v>
      </c>
      <c r="BZ24" s="14">
        <f>BY24*VLOOKUP('Données projet'!$B$12,Paramètres!$A$1:$I$88,3,0)*VLOOKUP('Données projet'!$B$12,Paramètres!$A$1:$I$88,5,0)</f>
        <v>53.595359999999992</v>
      </c>
      <c r="CA24" s="14">
        <f t="shared" si="39"/>
        <v>15.538491412048067</v>
      </c>
      <c r="CB24" s="22">
        <f t="shared" si="10"/>
        <v>120.40812454265038</v>
      </c>
      <c r="CC24" s="62">
        <f t="shared" si="11"/>
        <v>381.79444224002231</v>
      </c>
      <c r="CD24" s="62">
        <f ca="1">AVERAGE(OFFSET($CC$3,0,0,'Données projet'!$E$12+1,1))-AVERAGE(OFFSET($H$3,0,0,'Données projet'!$E$12+1,1))</f>
        <v>305.38855494899906</v>
      </c>
      <c r="CE24" s="62">
        <f t="shared" si="40"/>
        <v>298.48106301229177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projet'!$B$12,Paramètres!$A$1:$I$88,3,0)*0.475*44/12</f>
        <v>0</v>
      </c>
      <c r="CL24" s="23">
        <f>EXP(-LN(2)/25)*CL23+(1-EXP(-LN(2)/25))/(LN(2)/25)*Calculateur!CG24*Calculateur!CI24*VLOOKUP('Données projet'!$B$12,Paramètres!$A$1:$I$88,3,0)*0.475*44/12</f>
        <v>0</v>
      </c>
      <c r="CM24" s="23">
        <f>EXP(-LN(2)/2)*CM23+(1-EXP(-LN(2)/2))/(LN(2)/2)*CG24*CJ24*VLOOKUP('Données projet'!$B$12,Paramètres!$A$1:$I$88,3,0)*0.475*44/12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64.287177553828698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14.8</v>
      </c>
      <c r="CT24" s="13">
        <f>IF('Données projet'!$A$140&gt;35,CT23+CS24-DB23,IF(A24&lt;'Données projet'!$A$140,$CQ$205^A24,IF(A24='Données projet'!$A$140,'Données projet'!$B$140,CT23+CS24-DB23)))</f>
        <v>81.799999999999983</v>
      </c>
      <c r="CU24" s="18">
        <f>CT24*VLOOKUP('Données projet'!$B$13,Paramètres!$A$1:$I$88,3,0)*VLOOKUP('Données projet'!$B$13,Paramètres!$A$1:$I$88,5,0)</f>
        <v>65.080079999999981</v>
      </c>
      <c r="CV24" s="14">
        <f t="shared" si="41"/>
        <v>18.44653442602603</v>
      </c>
      <c r="CW24" s="22">
        <f t="shared" si="13"/>
        <v>145.47552012532864</v>
      </c>
      <c r="CX24" s="62">
        <f t="shared" si="14"/>
        <v>406.86183782270052</v>
      </c>
      <c r="CY24" s="62">
        <f ca="1">AVERAGE(OFFSET($CX$3,0,0,'Données projet'!$E$13+1,1))-AVERAGE(OFFSET($H$3,0,0,'Données projet'!$E$13+1,1))</f>
        <v>361.30066984973894</v>
      </c>
      <c r="CZ24" s="62">
        <f t="shared" si="42"/>
        <v>351.78053157121622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projet'!$B$13,Paramètres!$A$1:$I$88,3,0)*0.475*44/12</f>
        <v>0</v>
      </c>
      <c r="DG24" s="23">
        <f>EXP(-LN(2)/25)*DG23+(1-EXP(-LN(2)/25))/(LN(2)/25)*Calculateur!DB24*Calculateur!DD24*VLOOKUP('Données projet'!$B$13,Paramètres!$A$1:$I$88,3,0)*0.475*44/12</f>
        <v>0</v>
      </c>
      <c r="DH24" s="23">
        <f>EXP(-LN(2)/2)*DH23+(1-EXP(-LN(2)/2))/(LN(2)/2)*DB24*DE24*VLOOKUP('Données projet'!$B$13,Paramètres!$A$1:$I$88,3,0)*0.475*44/12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64.287177553828698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10.714285714285714</v>
      </c>
      <c r="DO24" s="13">
        <f>IF('Données projet'!$A$166&gt;35,DO23+DN24-DW23,IF(A24&lt;'Données projet'!$A$166,$DL$205^A24,IF(A24='Données projet'!$A$166,'Données projet'!$B$166,DO23+DN24-DW23)))</f>
        <v>169.28571428571428</v>
      </c>
      <c r="DP24" s="18">
        <f>DO24*VLOOKUP('Données projet'!$B$14,Paramètres!$A$1:$I$88,3,0)*VLOOKUP('Données projet'!$B$14,Paramètres!$A$1:$I$88,5,0)</f>
        <v>86.091942857142868</v>
      </c>
      <c r="DQ24" s="14">
        <f t="shared" si="43"/>
        <v>23.620274347725619</v>
      </c>
      <c r="DR24" s="22">
        <f t="shared" si="16"/>
        <v>191.08211163181261</v>
      </c>
      <c r="DS24" s="62">
        <f t="shared" si="17"/>
        <v>452.46842932918452</v>
      </c>
      <c r="DT24" s="62">
        <f ca="1">AVERAGE(OFFSET($DS$3,0,0,'Données projet'!$E$14+1,1))-AVERAGE(OFFSET($H$3,0,0,'Données projet'!$E$14+1,1))</f>
        <v>91.201152634762423</v>
      </c>
      <c r="DU24" s="62">
        <f t="shared" si="44"/>
        <v>233.36981992862445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projet'!$B$14,Paramètres!$A$1:$I$88,3,0)*0.475*44/12</f>
        <v>0</v>
      </c>
      <c r="EB24" s="23">
        <f>EXP(-LN(2)/25)*EB23+(1-EXP(-LN(2)/25))/(LN(2)/25)*Calculateur!DW24*Calculateur!DY24*VLOOKUP('Données projet'!$B$14,Paramètres!$A$1:$I$88,3,0)*0.475*44/12</f>
        <v>0</v>
      </c>
      <c r="EC24" s="23">
        <f>EXP(-LN(2)/2)*EC23+(1-EXP(-LN(2)/2))/(LN(2)/2)*DW24*DZ24*VLOOKUP('Données projet'!$B$14,Paramètres!$A$1:$I$88,3,0)*0.475*44/12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64.287177553828698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projet'!$B$15,Paramètres!$A$1:$I$88,3,0)*0.475*44/12</f>
        <v>#N/A</v>
      </c>
      <c r="EW24" s="23" t="e">
        <f>EXP(-LN(2)/25)*EW23+(1-EXP(-LN(2)/25))/(LN(2)/25)*Calculateur!ER24*Calculateur!ET24*VLOOKUP('Données projet'!$B$15,Paramètres!$A$1:$I$88,3,0)*0.475*44/12</f>
        <v>#N/A</v>
      </c>
      <c r="EX24" s="23" t="e">
        <f>EXP(-LN(2)/2)*EX23+(1-EXP(-LN(2)/2))/(LN(2)/2)*ER24*EU24*VLOOKUP('Données projet'!$B$15,Paramètres!$A$1:$I$88,3,0)*0.475*44/12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64.287177553828698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projet'!$B$16,Paramètres!$A$1:$I$88,3,0)*0.475*44/12</f>
        <v>#N/A</v>
      </c>
      <c r="FR24" s="23" t="e">
        <f>EXP(-LN(2)/25)*FR23+(1-EXP(-LN(2)/25))/(LN(2)/25)*Calculateur!FM24*Calculateur!FO24*VLOOKUP('Données projet'!$B$16,Paramètres!$A$1:$I$88,3,0)*0.475*44/12</f>
        <v>#N/A</v>
      </c>
      <c r="FS24" s="23" t="e">
        <f>EXP(-LN(2)/2)*FS23+(1-EXP(-LN(2)/2))/(LN(2)/2)*FM24*FP24*VLOOKUP('Données projet'!$B$16,Paramètres!$A$1:$I$88,3,0)*0.475*44/12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64.287177553828698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projet'!$B$17,Paramètres!$A$1:$I$88,3,0)*0.475*44/12</f>
        <v>#N/A</v>
      </c>
      <c r="GM24" s="23" t="e">
        <f>EXP(-LN(2)/25)*GM23+(1-EXP(-LN(2)/25))/(LN(2)/25)*Calculateur!GH24*Calculateur!GJ24*VLOOKUP('Données projet'!$B$17,Paramètres!$A$1:$I$88,3,0)*0.475*44/12</f>
        <v>#N/A</v>
      </c>
      <c r="GN24" s="23" t="e">
        <f>EXP(-LN(2)/2)*GN23+(1-EXP(-LN(2)/2))/(LN(2)/2)*GH24*GK24*VLOOKUP('Données projet'!$B$17,Paramètres!$A$1:$I$88,3,0)*0.475*44/12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64.287177553828698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projet'!$B$18,Paramètres!$A$1:$I$88,3,0)*0.475*44/12</f>
        <v>#N/A</v>
      </c>
      <c r="HH24" s="23" t="e">
        <f>EXP(-LN(2)/25)*HH23+(1-EXP(-LN(2)/25))/(LN(2)/25)*Calculateur!HC24*Calculateur!HE24*VLOOKUP('Données projet'!$B$18,Paramètres!$A$1:$I$88,3,0)*0.475*44/12</f>
        <v>#N/A</v>
      </c>
      <c r="HI24" s="23" t="e">
        <f>EXP(-LN(2)/2)*HI23+(1-EXP(-LN(2)/2))/(LN(2)/2)*HC24*HF24*VLOOKUP('Données projet'!$B$18,Paramètres!$A$1:$I$88,3,0)*0.475*44/12</f>
        <v>#N/A</v>
      </c>
      <c r="HJ24" s="24" t="e">
        <f t="shared" si="30"/>
        <v>#N/A</v>
      </c>
    </row>
    <row r="25" spans="1:218" s="5" customFormat="1" x14ac:dyDescent="0.2">
      <c r="A25" s="11">
        <f t="shared" si="31"/>
        <v>22</v>
      </c>
      <c r="B25" s="77">
        <f>'Scénario référence'!$B$16*5+'Scénario référence'!$B$17*0+'Scénario référence'!$B$18*5</f>
        <v>1.6500000000000001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6.0500000000000007</v>
      </c>
      <c r="H25" s="70">
        <f t="shared" si="1"/>
        <v>232.4666666666667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64.386282251312167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25</v>
      </c>
      <c r="N25" s="14">
        <f>IF('Données projet'!$A$36&gt;35,N24+M25-V24,IF(A25&lt;'Données projet'!$A$36,$K$205^A25,IF(A25='Données projet'!$A$36,'Données projet'!$B$36,N24+M25-V24)))</f>
        <v>205.99999999999997</v>
      </c>
      <c r="O25" s="14">
        <f>N25*VLOOKUP('Données projet'!$B$9,Paramètres!$A$1:$I$88,3,0)*VLOOKUP('Données projet'!$B$9,Paramètres!$A$1:$I$88,5,0)</f>
        <v>123.18799999999999</v>
      </c>
      <c r="P25" s="14">
        <f t="shared" si="33"/>
        <v>32.417409489939047</v>
      </c>
      <c r="Q25" s="22">
        <f t="shared" si="2"/>
        <v>271.01275486164383</v>
      </c>
      <c r="R25" s="62">
        <f t="shared" si="0"/>
        <v>533.98467867201066</v>
      </c>
      <c r="S25" s="62">
        <f ca="1">AVERAGE(OFFSET($R$3,0,0,'Données projet'!$E$9+1,1))-AVERAGE(OFFSET($H$3,0,0,'Données projet'!$E$9+1,1))</f>
        <v>354.71367224254021</v>
      </c>
      <c r="T25" s="62">
        <f t="shared" si="34"/>
        <v>490.074370133397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16.630462652159398</v>
      </c>
      <c r="AB25" s="23">
        <f>EXP(-LN(2)/2)*AB24+(1-EXP(-LN(2)/2))/(LN(2)/2)*V25*Y25*VLOOKUP('Données projet'!$B$9,Paramètres!$A$1:$I$88,3,0)*0.475*44/12</f>
        <v>10.979926398151175</v>
      </c>
      <c r="AC25" s="24">
        <f t="shared" si="3"/>
        <v>27.610389050310573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64.386282251312167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20.8</v>
      </c>
      <c r="AI25" s="14">
        <f>IF('Données projet'!$A$62&gt;35,AI24+AH25-AQ24,IF(A25&lt;'Données projet'!$A$62,$AF$205^A25,IF(A25='Données projet'!$A$62,'Données projet'!$B$62,AI24+AH25-AQ24)))</f>
        <v>143.60000000000005</v>
      </c>
      <c r="AJ25" s="14">
        <f>AI25*VLOOKUP('Données projet'!$B$10,Paramètres!$A$1:$I$88,3,0)*VLOOKUP('Données projet'!$B$10,Paramètres!$A$1:$I$88,5,0)</f>
        <v>85.872800000000041</v>
      </c>
      <c r="AK25" s="14">
        <f t="shared" si="35"/>
        <v>23.567140673267325</v>
      </c>
      <c r="AL25" s="22">
        <f t="shared" si="4"/>
        <v>190.60789667260732</v>
      </c>
      <c r="AM25" s="62">
        <f t="shared" si="5"/>
        <v>453.57982048297413</v>
      </c>
      <c r="AN25" s="62">
        <f ca="1">AVERAGE(OFFSET($AM$3,0,0,'Données projet'!$E$10+1,1))-AVERAGE(OFFSET($H$3,0,0,'Données projet'!$E$10+1,1))</f>
        <v>264.73276096087574</v>
      </c>
      <c r="AO25" s="62">
        <f t="shared" si="36"/>
        <v>381.84464918049662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projet'!$B$10,Paramètres!$A$1:$I$88,3,0)*0.475*44/12</f>
        <v>0</v>
      </c>
      <c r="AV25" s="23">
        <f>EXP(-LN(2)/25)*AV24+(1-EXP(-LN(2)/25))/(LN(2)/25)*Calculateur!AQ25*Calculateur!AS25*VLOOKUP('Données projet'!$B$10,Paramètres!$A$1:$I$88,3,0)*0.475*44/12</f>
        <v>11.526527959941426</v>
      </c>
      <c r="AW25" s="23">
        <f>EXP(-LN(2)/2)*AW24+(1-EXP(-LN(2)/2))/(LN(2)/2)*AQ25*AT25*VLOOKUP('Données projet'!$B$10,Paramètres!$A$1:$I$88,3,0)*0.475*44/12</f>
        <v>7.6675160545801413</v>
      </c>
      <c r="AX25" s="23">
        <f t="shared" si="6"/>
        <v>19.194044014521566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64.386282251312167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5.6</v>
      </c>
      <c r="BD25" s="13">
        <f>IF('Données projet'!$A$88&gt;35,BD24+BC25-BL24,IF(A25&lt;'Données projet'!$A$88,$BA$205^A25,IF(A25='Données projet'!$A$88,'Données projet'!$B$88,BD24+BC25-BL24)))</f>
        <v>53.2</v>
      </c>
      <c r="BE25" s="14">
        <f>BD25*VLOOKUP('Données projet'!$B$11,Paramètres!$A$1:$I$88,3,0)*VLOOKUP('Données projet'!$B$11,Paramètres!$A$1:$I$88,5,0)</f>
        <v>60.584159999999997</v>
      </c>
      <c r="BF25" s="14">
        <f t="shared" si="37"/>
        <v>17.315879601565083</v>
      </c>
      <c r="BG25" s="22">
        <f t="shared" si="7"/>
        <v>135.67590230605916</v>
      </c>
      <c r="BH25" s="62">
        <f t="shared" si="8"/>
        <v>398.64782611642602</v>
      </c>
      <c r="BI25" s="62">
        <f ca="1">AVERAGE(OFFSET($BH$3,0,0,'Données projet'!$E$11+1,1))-AVERAGE(OFFSET($H$3,0,0,'Données projet'!$E$11+1,1))</f>
        <v>470.57532875732056</v>
      </c>
      <c r="BJ25" s="62">
        <f t="shared" si="38"/>
        <v>286.63787681165888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projet'!$B$11,Paramètres!$A$1:$I$88,3,0)*0.475*44/12</f>
        <v>0</v>
      </c>
      <c r="BQ25" s="23">
        <f>EXP(-LN(2)/25)*BQ24+(1-EXP(-LN(2)/25))/(LN(2)/25)*Calculateur!BL25*Calculateur!BN25*VLOOKUP('Données projet'!$B$11,Paramètres!$A$1:$I$88,3,0)*0.475*44/12</f>
        <v>0</v>
      </c>
      <c r="BR25" s="23">
        <f>EXP(-LN(2)/2)*BR24+(1-EXP(-LN(2)/2))/(LN(2)/2)*BL25*BO25*VLOOKUP('Données projet'!$B$11,Paramètres!$A$1:$I$88,3,0)*0.475*44/12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64.386282251312167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14.8</v>
      </c>
      <c r="BY25" s="13">
        <f>IF('Données projet'!$A$114&gt;35,BY24+BX25-CG24,IF(A25&lt;'Données projet'!$A$114,$BV$205^A25,IF(A25='Données projet'!$A$114,'Données projet'!$B$114,BY24+BX25-CG24)))</f>
        <v>96.59999999999998</v>
      </c>
      <c r="BZ25" s="14">
        <f>BY25*VLOOKUP('Données projet'!$B$12,Paramètres!$A$1:$I$88,3,0)*VLOOKUP('Données projet'!$B$12,Paramètres!$A$1:$I$88,5,0)</f>
        <v>63.292319999999982</v>
      </c>
      <c r="CA25" s="14">
        <f t="shared" si="39"/>
        <v>17.998065245956816</v>
      </c>
      <c r="CB25" s="22">
        <f t="shared" si="10"/>
        <v>141.58075430337473</v>
      </c>
      <c r="CC25" s="62">
        <f t="shared" si="11"/>
        <v>404.55267811374154</v>
      </c>
      <c r="CD25" s="62">
        <f ca="1">AVERAGE(OFFSET($CC$3,0,0,'Données projet'!$E$12+1,1))-AVERAGE(OFFSET($H$3,0,0,'Données projet'!$E$12+1,1))</f>
        <v>305.38855494899906</v>
      </c>
      <c r="CE25" s="62">
        <f t="shared" si="40"/>
        <v>298.48106301229177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projet'!$B$12,Paramètres!$A$1:$I$88,3,0)*0.475*44/12</f>
        <v>0</v>
      </c>
      <c r="CL25" s="23">
        <f>EXP(-LN(2)/25)*CL24+(1-EXP(-LN(2)/25))/(LN(2)/25)*Calculateur!CG25*Calculateur!CI25*VLOOKUP('Données projet'!$B$12,Paramètres!$A$1:$I$88,3,0)*0.475*44/12</f>
        <v>0</v>
      </c>
      <c r="CM25" s="23">
        <f>EXP(-LN(2)/2)*CM24+(1-EXP(-LN(2)/2))/(LN(2)/2)*CG25*CJ25*VLOOKUP('Données projet'!$B$12,Paramètres!$A$1:$I$88,3,0)*0.475*44/12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64.386282251312167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14.8</v>
      </c>
      <c r="CT25" s="13">
        <f>IF('Données projet'!$A$140&gt;35,CT24+CS25-DB24,IF(A25&lt;'Données projet'!$A$140,$CQ$205^A25,IF(A25='Données projet'!$A$140,'Données projet'!$B$140,CT24+CS25-DB24)))</f>
        <v>96.59999999999998</v>
      </c>
      <c r="CU25" s="18">
        <f>CT25*VLOOKUP('Données projet'!$B$13,Paramètres!$A$1:$I$88,3,0)*VLOOKUP('Données projet'!$B$13,Paramètres!$A$1:$I$88,5,0)</f>
        <v>76.854959999999991</v>
      </c>
      <c r="CV25" s="14">
        <f t="shared" si="41"/>
        <v>21.366419773799993</v>
      </c>
      <c r="CW25" s="22">
        <f t="shared" si="13"/>
        <v>171.06890310603498</v>
      </c>
      <c r="CX25" s="62">
        <f t="shared" si="14"/>
        <v>434.04082691640178</v>
      </c>
      <c r="CY25" s="62">
        <f ca="1">AVERAGE(OFFSET($CX$3,0,0,'Données projet'!$E$13+1,1))-AVERAGE(OFFSET($H$3,0,0,'Données projet'!$E$13+1,1))</f>
        <v>361.30066984973894</v>
      </c>
      <c r="CZ25" s="62">
        <f t="shared" si="42"/>
        <v>351.78053157121622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projet'!$B$13,Paramètres!$A$1:$I$88,3,0)*0.475*44/12</f>
        <v>0</v>
      </c>
      <c r="DG25" s="23">
        <f>EXP(-LN(2)/25)*DG24+(1-EXP(-LN(2)/25))/(LN(2)/25)*Calculateur!DB25*Calculateur!DD25*VLOOKUP('Données projet'!$B$13,Paramètres!$A$1:$I$88,3,0)*0.475*44/12</f>
        <v>0</v>
      </c>
      <c r="DH25" s="23">
        <f>EXP(-LN(2)/2)*DH24+(1-EXP(-LN(2)/2))/(LN(2)/2)*DB25*DE25*VLOOKUP('Données projet'!$B$13,Paramètres!$A$1:$I$88,3,0)*0.475*44/12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64.386282251312167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>
        <f>VLOOKUP(A25,'Données projet'!$A$165:$I$185,2,0)</f>
        <v>180</v>
      </c>
      <c r="DM25" s="13">
        <f>VLOOKUP(A25,'Données projet'!$A$165:$I$185,9,0)</f>
        <v>10.714285714285714</v>
      </c>
      <c r="DN25" s="13">
        <f t="array" ref="DN25">INDEX(DM:DM,MIN(IF(ISNUMBER(DM25:DM221),ROW(DM25:DM221),"")))</f>
        <v>10.714285714285714</v>
      </c>
      <c r="DO25" s="13">
        <f>IF('Données projet'!$A$166&gt;35,DO24+DN25-DW24,IF(A25&lt;'Données projet'!$A$166,$DL$205^A25,IF(A25='Données projet'!$A$166,'Données projet'!$B$166,DO24+DN25-DW24)))</f>
        <v>180</v>
      </c>
      <c r="DP25" s="18">
        <f>DO25*VLOOKUP('Données projet'!$B$14,Paramètres!$A$1:$I$88,3,0)*VLOOKUP('Données projet'!$B$14,Paramètres!$A$1:$I$88,5,0)</f>
        <v>91.540800000000004</v>
      </c>
      <c r="DQ25" s="14">
        <f t="shared" si="43"/>
        <v>24.936460929143145</v>
      </c>
      <c r="DR25" s="22">
        <f t="shared" si="16"/>
        <v>202.86456278492429</v>
      </c>
      <c r="DS25" s="62">
        <f t="shared" si="17"/>
        <v>465.83648659529115</v>
      </c>
      <c r="DT25" s="62">
        <f ca="1">AVERAGE(OFFSET($DS$3,0,0,'Données projet'!$E$14+1,1))-AVERAGE(OFFSET($H$3,0,0,'Données projet'!$E$14+1,1))</f>
        <v>91.201152634762423</v>
      </c>
      <c r="DU25" s="62">
        <f t="shared" si="44"/>
        <v>233.36981992862445</v>
      </c>
      <c r="DV25" s="16">
        <f>IF(ISNA(VLOOKUP(A25,'Données projet'!$A$165:$I$185,3,0)),0,VLOOKUP(A25,'Données projet'!$A$165:$I$185,3,0))</f>
        <v>4</v>
      </c>
      <c r="DW25" s="16">
        <f>IF(ISNA(VLOOKUP(A25,'Données projet'!$A$165:$I$185,4,0)),0,VLOOKUP(A25,'Données projet'!$A$165:$I$185,4,0))</f>
        <v>180</v>
      </c>
      <c r="DX25" s="17">
        <f>IF(ISNA(VLOOKUP(A25,'Données projet'!$A$165:$I$185,5,0)),0%,VLOOKUP(A25,'Données projet'!$A$165:$I$185,5,0)*VLOOKUP('Données projet'!$B$14,Paramètres!$A$1:$I$88,7,0))</f>
        <v>0.48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projet'!$B$14,Paramètres!$A$1:$I$88,3,0)*0.475*44/12</f>
        <v>48.573908600999943</v>
      </c>
      <c r="EB25" s="23">
        <f>EXP(-LN(2)/25)*EB24+(1-EXP(-LN(2)/25))/(LN(2)/25)*Calculateur!DW25*Calculateur!DY25*VLOOKUP('Données projet'!$B$14,Paramètres!$A$1:$I$88,3,0)*0.475*44/12</f>
        <v>0</v>
      </c>
      <c r="EC25" s="23">
        <f>EXP(-LN(2)/2)*EC24+(1-EXP(-LN(2)/2))/(LN(2)/2)*DW25*DZ25*VLOOKUP('Données projet'!$B$14,Paramètres!$A$1:$I$88,3,0)*0.475*44/12</f>
        <v>0</v>
      </c>
      <c r="ED25" s="24">
        <f t="shared" si="18"/>
        <v>48.573908600999943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64.386282251312167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projet'!$B$15,Paramètres!$A$1:$I$88,3,0)*0.475*44/12</f>
        <v>#N/A</v>
      </c>
      <c r="EW25" s="23" t="e">
        <f>EXP(-LN(2)/25)*EW24+(1-EXP(-LN(2)/25))/(LN(2)/25)*Calculateur!ER25*Calculateur!ET25*VLOOKUP('Données projet'!$B$15,Paramètres!$A$1:$I$88,3,0)*0.475*44/12</f>
        <v>#N/A</v>
      </c>
      <c r="EX25" s="23" t="e">
        <f>EXP(-LN(2)/2)*EX24+(1-EXP(-LN(2)/2))/(LN(2)/2)*ER25*EU25*VLOOKUP('Données projet'!$B$15,Paramètres!$A$1:$I$88,3,0)*0.475*44/12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64.386282251312167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projet'!$B$16,Paramètres!$A$1:$I$88,3,0)*0.475*44/12</f>
        <v>#N/A</v>
      </c>
      <c r="FR25" s="23" t="e">
        <f>EXP(-LN(2)/25)*FR24+(1-EXP(-LN(2)/25))/(LN(2)/25)*Calculateur!FM25*Calculateur!FO25*VLOOKUP('Données projet'!$B$16,Paramètres!$A$1:$I$88,3,0)*0.475*44/12</f>
        <v>#N/A</v>
      </c>
      <c r="FS25" s="23" t="e">
        <f>EXP(-LN(2)/2)*FS24+(1-EXP(-LN(2)/2))/(LN(2)/2)*FM25*FP25*VLOOKUP('Données projet'!$B$16,Paramètres!$A$1:$I$88,3,0)*0.475*44/12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64.386282251312167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projet'!$B$17,Paramètres!$A$1:$I$88,3,0)*0.475*44/12</f>
        <v>#N/A</v>
      </c>
      <c r="GM25" s="23" t="e">
        <f>EXP(-LN(2)/25)*GM24+(1-EXP(-LN(2)/25))/(LN(2)/25)*Calculateur!GH25*Calculateur!GJ25*VLOOKUP('Données projet'!$B$17,Paramètres!$A$1:$I$88,3,0)*0.475*44/12</f>
        <v>#N/A</v>
      </c>
      <c r="GN25" s="23" t="e">
        <f>EXP(-LN(2)/2)*GN24+(1-EXP(-LN(2)/2))/(LN(2)/2)*GH25*GK25*VLOOKUP('Données projet'!$B$17,Paramètres!$A$1:$I$88,3,0)*0.475*44/12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64.386282251312167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projet'!$B$18,Paramètres!$A$1:$I$88,3,0)*0.475*44/12</f>
        <v>#N/A</v>
      </c>
      <c r="HH25" s="23" t="e">
        <f>EXP(-LN(2)/25)*HH24+(1-EXP(-LN(2)/25))/(LN(2)/25)*Calculateur!HC25*Calculateur!HE25*VLOOKUP('Données projet'!$B$18,Paramètres!$A$1:$I$88,3,0)*0.475*44/12</f>
        <v>#N/A</v>
      </c>
      <c r="HI25" s="23" t="e">
        <f>EXP(-LN(2)/2)*HI24+(1-EXP(-LN(2)/2))/(LN(2)/2)*HC25*HF25*VLOOKUP('Données projet'!$B$18,Paramètres!$A$1:$I$88,3,0)*0.475*44/12</f>
        <v>#N/A</v>
      </c>
      <c r="HJ25" s="24" t="e">
        <f t="shared" si="30"/>
        <v>#N/A</v>
      </c>
    </row>
    <row r="26" spans="1:218" s="5" customFormat="1" x14ac:dyDescent="0.2">
      <c r="A26" s="11">
        <f t="shared" si="31"/>
        <v>23</v>
      </c>
      <c r="B26" s="77">
        <f>'Scénario référence'!$B$16*5+'Scénario référence'!$B$17*0+'Scénario référence'!$B$18*5</f>
        <v>1.6500000000000001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6.0500000000000007</v>
      </c>
      <c r="H26" s="70">
        <f t="shared" si="1"/>
        <v>232.4666666666667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64.483667703859197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25</v>
      </c>
      <c r="N26" s="14">
        <f>IF('Données projet'!$A$36&gt;35,N25+M26-V25,IF(A26&lt;'Données projet'!$A$36,$K$205^A26,IF(A26='Données projet'!$A$36,'Données projet'!$B$36,N25+M26-V25)))</f>
        <v>230.99999999999997</v>
      </c>
      <c r="O26" s="14">
        <f>N26*VLOOKUP('Données projet'!$B$9,Paramètres!$A$1:$I$88,3,0)*VLOOKUP('Données projet'!$B$9,Paramètres!$A$1:$I$88,5,0)</f>
        <v>138.13800000000001</v>
      </c>
      <c r="P26" s="14">
        <f t="shared" si="33"/>
        <v>35.870115614757175</v>
      </c>
      <c r="Q26" s="22">
        <f t="shared" si="2"/>
        <v>303.06413469570208</v>
      </c>
      <c r="R26" s="62">
        <f t="shared" si="0"/>
        <v>567.61536072096362</v>
      </c>
      <c r="S26" s="62">
        <f ca="1">AVERAGE(OFFSET($R$3,0,0,'Données projet'!$E$9+1,1))-AVERAGE(OFFSET($H$3,0,0,'Données projet'!$E$9+1,1))</f>
        <v>354.71367224254021</v>
      </c>
      <c r="T26" s="62">
        <f t="shared" si="34"/>
        <v>490.074370133397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16.175701776378077</v>
      </c>
      <c r="AB26" s="23">
        <f>EXP(-LN(2)/2)*AB25+(1-EXP(-LN(2)/2))/(LN(2)/2)*V26*Y26*VLOOKUP('Données projet'!$B$9,Paramètres!$A$1:$I$88,3,0)*0.475*44/12</f>
        <v>7.7639804130618799</v>
      </c>
      <c r="AC26" s="24">
        <f t="shared" si="3"/>
        <v>23.939682189439957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64.483667703859197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20.8</v>
      </c>
      <c r="AI26" s="14">
        <f>IF('Données projet'!$A$62&gt;35,AI25+AH26-AQ25,IF(A26&lt;'Données projet'!$A$62,$AF$205^A26,IF(A26='Données projet'!$A$62,'Données projet'!$B$62,AI25+AH26-AQ25)))</f>
        <v>164.40000000000006</v>
      </c>
      <c r="AJ26" s="14">
        <f>AI26*VLOOKUP('Données projet'!$B$10,Paramètres!$A$1:$I$88,3,0)*VLOOKUP('Données projet'!$B$10,Paramètres!$A$1:$I$88,5,0)</f>
        <v>98.311200000000056</v>
      </c>
      <c r="AK26" s="14">
        <f t="shared" si="35"/>
        <v>26.559266282665902</v>
      </c>
      <c r="AL26" s="22">
        <f t="shared" si="4"/>
        <v>217.48272877564321</v>
      </c>
      <c r="AM26" s="62">
        <f t="shared" si="5"/>
        <v>482.03395480090478</v>
      </c>
      <c r="AN26" s="62">
        <f ca="1">AVERAGE(OFFSET($AM$3,0,0,'Données projet'!$E$10+1,1))-AVERAGE(OFFSET($H$3,0,0,'Données projet'!$E$10+1,1))</f>
        <v>264.73276096087574</v>
      </c>
      <c r="AO26" s="62">
        <f t="shared" si="36"/>
        <v>381.84464918049662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projet'!$B$10,Paramètres!$A$1:$I$88,3,0)*0.475*44/12</f>
        <v>0</v>
      </c>
      <c r="AV26" s="23">
        <f>EXP(-LN(2)/25)*AV25+(1-EXP(-LN(2)/25))/(LN(2)/25)*Calculateur!AQ26*Calculateur!AS26*VLOOKUP('Données projet'!$B$10,Paramètres!$A$1:$I$88,3,0)*0.475*44/12</f>
        <v>11.211334446723066</v>
      </c>
      <c r="AW26" s="23">
        <f>EXP(-LN(2)/2)*AW25+(1-EXP(-LN(2)/2))/(LN(2)/2)*AQ26*AT26*VLOOKUP('Données projet'!$B$10,Paramètres!$A$1:$I$88,3,0)*0.475*44/12</f>
        <v>5.4217525970503404</v>
      </c>
      <c r="AX26" s="23">
        <f t="shared" si="6"/>
        <v>16.633087043773408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64.483667703859197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5.6</v>
      </c>
      <c r="BD26" s="13">
        <f>IF('Données projet'!$A$88&gt;35,BD25+BC26-BL25,IF(A26&lt;'Données projet'!$A$88,$BA$205^A26,IF(A26='Données projet'!$A$88,'Données projet'!$B$88,BD25+BC26-BL25)))</f>
        <v>58.800000000000004</v>
      </c>
      <c r="BE26" s="14">
        <f>BD26*VLOOKUP('Données projet'!$B$11,Paramètres!$A$1:$I$88,3,0)*VLOOKUP('Données projet'!$B$11,Paramètres!$A$1:$I$88,5,0)</f>
        <v>66.961439999999996</v>
      </c>
      <c r="BF26" s="14">
        <f t="shared" si="37"/>
        <v>18.9169381762505</v>
      </c>
      <c r="BG26" s="22">
        <f t="shared" si="7"/>
        <v>149.5715086569696</v>
      </c>
      <c r="BH26" s="62">
        <f t="shared" si="8"/>
        <v>414.12273468223111</v>
      </c>
      <c r="BI26" s="62">
        <f ca="1">AVERAGE(OFFSET($BH$3,0,0,'Données projet'!$E$11+1,1))-AVERAGE(OFFSET($H$3,0,0,'Données projet'!$E$11+1,1))</f>
        <v>470.57532875732056</v>
      </c>
      <c r="BJ26" s="62">
        <f t="shared" si="38"/>
        <v>286.63787681165888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projet'!$B$11,Paramètres!$A$1:$I$88,3,0)*0.475*44/12</f>
        <v>0</v>
      </c>
      <c r="BQ26" s="23">
        <f>EXP(-LN(2)/25)*BQ25+(1-EXP(-LN(2)/25))/(LN(2)/25)*Calculateur!BL26*Calculateur!BN26*VLOOKUP('Données projet'!$B$11,Paramètres!$A$1:$I$88,3,0)*0.475*44/12</f>
        <v>0</v>
      </c>
      <c r="BR26" s="23">
        <f>EXP(-LN(2)/2)*BR25+(1-EXP(-LN(2)/2))/(LN(2)/2)*BL26*BO26*VLOOKUP('Données projet'!$B$11,Paramètres!$A$1:$I$88,3,0)*0.475*44/12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64.483667703859197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14.8</v>
      </c>
      <c r="BY26" s="13">
        <f>IF('Données projet'!$A$114&gt;35,BY25+BX26-CG25,IF(A26&lt;'Données projet'!$A$114,$BV$205^A26,IF(A26='Données projet'!$A$114,'Données projet'!$B$114,BY25+BX26-CG25)))</f>
        <v>111.39999999999998</v>
      </c>
      <c r="BZ26" s="14">
        <f>BY26*VLOOKUP('Données projet'!$B$12,Paramètres!$A$1:$I$88,3,0)*VLOOKUP('Données projet'!$B$12,Paramètres!$A$1:$I$88,5,0)</f>
        <v>72.98927999999998</v>
      </c>
      <c r="CA26" s="14">
        <f t="shared" si="39"/>
        <v>20.413984824940087</v>
      </c>
      <c r="CB26" s="22">
        <f t="shared" si="10"/>
        <v>162.67735290343725</v>
      </c>
      <c r="CC26" s="62">
        <f t="shared" si="11"/>
        <v>427.22857892869877</v>
      </c>
      <c r="CD26" s="62">
        <f ca="1">AVERAGE(OFFSET($CC$3,0,0,'Données projet'!$E$12+1,1))-AVERAGE(OFFSET($H$3,0,0,'Données projet'!$E$12+1,1))</f>
        <v>305.38855494899906</v>
      </c>
      <c r="CE26" s="62">
        <f t="shared" si="40"/>
        <v>298.48106301229177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projet'!$B$12,Paramètres!$A$1:$I$88,3,0)*0.475*44/12</f>
        <v>0</v>
      </c>
      <c r="CL26" s="23">
        <f>EXP(-LN(2)/25)*CL25+(1-EXP(-LN(2)/25))/(LN(2)/25)*Calculateur!CG26*Calculateur!CI26*VLOOKUP('Données projet'!$B$12,Paramètres!$A$1:$I$88,3,0)*0.475*44/12</f>
        <v>0</v>
      </c>
      <c r="CM26" s="23">
        <f>EXP(-LN(2)/2)*CM25+(1-EXP(-LN(2)/2))/(LN(2)/2)*CG26*CJ26*VLOOKUP('Données projet'!$B$12,Paramètres!$A$1:$I$88,3,0)*0.475*44/12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64.483667703859197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14.8</v>
      </c>
      <c r="CT26" s="13">
        <f>IF('Données projet'!$A$140&gt;35,CT25+CS26-DB25,IF(A26&lt;'Données projet'!$A$140,$CQ$205^A26,IF(A26='Données projet'!$A$140,'Données projet'!$B$140,CT25+CS26-DB25)))</f>
        <v>111.39999999999998</v>
      </c>
      <c r="CU26" s="18">
        <f>CT26*VLOOKUP('Données projet'!$B$13,Paramètres!$A$1:$I$88,3,0)*VLOOKUP('Données projet'!$B$13,Paramètres!$A$1:$I$88,5,0)</f>
        <v>88.629839999999987</v>
      </c>
      <c r="CV26" s="14">
        <f t="shared" si="41"/>
        <v>24.23448093253452</v>
      </c>
      <c r="CW26" s="22">
        <f t="shared" si="13"/>
        <v>196.57202562416424</v>
      </c>
      <c r="CX26" s="62">
        <f t="shared" si="14"/>
        <v>461.12325164942581</v>
      </c>
      <c r="CY26" s="62">
        <f ca="1">AVERAGE(OFFSET($CX$3,0,0,'Données projet'!$E$13+1,1))-AVERAGE(OFFSET($H$3,0,0,'Données projet'!$E$13+1,1))</f>
        <v>361.30066984973894</v>
      </c>
      <c r="CZ26" s="62">
        <f t="shared" si="42"/>
        <v>351.78053157121622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projet'!$B$13,Paramètres!$A$1:$I$88,3,0)*0.475*44/12</f>
        <v>0</v>
      </c>
      <c r="DG26" s="23">
        <f>EXP(-LN(2)/25)*DG25+(1-EXP(-LN(2)/25))/(LN(2)/25)*Calculateur!DB26*Calculateur!DD26*VLOOKUP('Données projet'!$B$13,Paramètres!$A$1:$I$88,3,0)*0.475*44/12</f>
        <v>0</v>
      </c>
      <c r="DH26" s="23">
        <f>EXP(-LN(2)/2)*DH25+(1-EXP(-LN(2)/2))/(LN(2)/2)*DB26*DE26*VLOOKUP('Données projet'!$B$13,Paramètres!$A$1:$I$88,3,0)*0.475*44/12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64.483667703859197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>
        <f>DO26*VLOOKUP('Données projet'!$B$14,Paramètres!$A$1:$I$88,3,0)*VLOOKUP('Données projet'!$B$14,Paramètres!$A$1:$I$88,5,0)</f>
        <v>0</v>
      </c>
      <c r="DQ26" s="14" t="e">
        <f t="shared" si="43"/>
        <v>#NUM!</v>
      </c>
      <c r="DR26" s="22" t="e">
        <f t="shared" si="16"/>
        <v>#NUM!</v>
      </c>
      <c r="DS26" s="62" t="e">
        <f t="shared" si="17"/>
        <v>#NUM!</v>
      </c>
      <c r="DT26" s="62">
        <f ca="1">AVERAGE(OFFSET($DS$3,0,0,'Données projet'!$E$14+1,1))-AVERAGE(OFFSET($H$3,0,0,'Données projet'!$E$14+1,1))</f>
        <v>91.201152634762423</v>
      </c>
      <c r="DU26" s="62">
        <f t="shared" si="44"/>
        <v>233.36981992862445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projet'!$B$14,Paramètres!$A$1:$I$88,3,0)*0.475*44/12</f>
        <v>47.621403880493141</v>
      </c>
      <c r="EB26" s="23">
        <f>EXP(-LN(2)/25)*EB25+(1-EXP(-LN(2)/25))/(LN(2)/25)*Calculateur!DW26*Calculateur!DY26*VLOOKUP('Données projet'!$B$14,Paramètres!$A$1:$I$88,3,0)*0.475*44/12</f>
        <v>0</v>
      </c>
      <c r="EC26" s="23">
        <f>EXP(-LN(2)/2)*EC25+(1-EXP(-LN(2)/2))/(LN(2)/2)*DW26*DZ26*VLOOKUP('Données projet'!$B$14,Paramètres!$A$1:$I$88,3,0)*0.475*44/12</f>
        <v>0</v>
      </c>
      <c r="ED26" s="24">
        <f t="shared" si="18"/>
        <v>47.621403880493141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64.483667703859197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projet'!$B$15,Paramètres!$A$1:$I$88,3,0)*0.475*44/12</f>
        <v>#N/A</v>
      </c>
      <c r="EW26" s="23" t="e">
        <f>EXP(-LN(2)/25)*EW25+(1-EXP(-LN(2)/25))/(LN(2)/25)*Calculateur!ER26*Calculateur!ET26*VLOOKUP('Données projet'!$B$15,Paramètres!$A$1:$I$88,3,0)*0.475*44/12</f>
        <v>#N/A</v>
      </c>
      <c r="EX26" s="23" t="e">
        <f>EXP(-LN(2)/2)*EX25+(1-EXP(-LN(2)/2))/(LN(2)/2)*ER26*EU26*VLOOKUP('Données projet'!$B$15,Paramètres!$A$1:$I$88,3,0)*0.475*44/12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64.483667703859197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projet'!$B$16,Paramètres!$A$1:$I$88,3,0)*0.475*44/12</f>
        <v>#N/A</v>
      </c>
      <c r="FR26" s="23" t="e">
        <f>EXP(-LN(2)/25)*FR25+(1-EXP(-LN(2)/25))/(LN(2)/25)*Calculateur!FM26*Calculateur!FO26*VLOOKUP('Données projet'!$B$16,Paramètres!$A$1:$I$88,3,0)*0.475*44/12</f>
        <v>#N/A</v>
      </c>
      <c r="FS26" s="23" t="e">
        <f>EXP(-LN(2)/2)*FS25+(1-EXP(-LN(2)/2))/(LN(2)/2)*FM26*FP26*VLOOKUP('Données projet'!$B$16,Paramètres!$A$1:$I$88,3,0)*0.475*44/12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64.483667703859197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projet'!$B$17,Paramètres!$A$1:$I$88,3,0)*0.475*44/12</f>
        <v>#N/A</v>
      </c>
      <c r="GM26" s="23" t="e">
        <f>EXP(-LN(2)/25)*GM25+(1-EXP(-LN(2)/25))/(LN(2)/25)*Calculateur!GH26*Calculateur!GJ26*VLOOKUP('Données projet'!$B$17,Paramètres!$A$1:$I$88,3,0)*0.475*44/12</f>
        <v>#N/A</v>
      </c>
      <c r="GN26" s="23" t="e">
        <f>EXP(-LN(2)/2)*GN25+(1-EXP(-LN(2)/2))/(LN(2)/2)*GH26*GK26*VLOOKUP('Données projet'!$B$17,Paramètres!$A$1:$I$88,3,0)*0.475*44/12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64.483667703859197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projet'!$B$18,Paramètres!$A$1:$I$88,3,0)*0.475*44/12</f>
        <v>#N/A</v>
      </c>
      <c r="HH26" s="23" t="e">
        <f>EXP(-LN(2)/25)*HH25+(1-EXP(-LN(2)/25))/(LN(2)/25)*Calculateur!HC26*Calculateur!HE26*VLOOKUP('Données projet'!$B$18,Paramètres!$A$1:$I$88,3,0)*0.475*44/12</f>
        <v>#N/A</v>
      </c>
      <c r="HI26" s="23" t="e">
        <f>EXP(-LN(2)/2)*HI25+(1-EXP(-LN(2)/2))/(LN(2)/2)*HC26*HF26*VLOOKUP('Données projet'!$B$18,Paramètres!$A$1:$I$88,3,0)*0.475*44/12</f>
        <v>#N/A</v>
      </c>
      <c r="HJ26" s="24" t="e">
        <f t="shared" si="30"/>
        <v>#N/A</v>
      </c>
    </row>
    <row r="27" spans="1:218" s="5" customFormat="1" x14ac:dyDescent="0.2">
      <c r="A27" s="11">
        <f t="shared" si="31"/>
        <v>24</v>
      </c>
      <c r="B27" s="77">
        <f>'Scénario référence'!$B$16*5+'Scénario référence'!$B$17*0+'Scénario référence'!$B$18*5</f>
        <v>1.6500000000000001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6.0500000000000007</v>
      </c>
      <c r="H27" s="70">
        <f t="shared" si="1"/>
        <v>232.4666666666667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64.579363736525792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25</v>
      </c>
      <c r="N27" s="14">
        <f>IF('Données projet'!$A$36&gt;35,N26+M27-V26,IF(A27&lt;'Données projet'!$A$36,$K$205^A27,IF(A27='Données projet'!$A$36,'Données projet'!$B$36,N26+M27-V26)))</f>
        <v>255.99999999999997</v>
      </c>
      <c r="O27" s="14">
        <f>N27*VLOOKUP('Données projet'!$B$9,Paramètres!$A$1:$I$88,3,0)*VLOOKUP('Données projet'!$B$9,Paramètres!$A$1:$I$88,5,0)</f>
        <v>153.08799999999999</v>
      </c>
      <c r="P27" s="14">
        <f t="shared" si="33"/>
        <v>39.279510265435114</v>
      </c>
      <c r="Q27" s="22">
        <f t="shared" si="2"/>
        <v>335.04008037896614</v>
      </c>
      <c r="R27" s="62">
        <f t="shared" si="0"/>
        <v>601.16441407956074</v>
      </c>
      <c r="S27" s="62">
        <f ca="1">AVERAGE(OFFSET($R$3,0,0,'Données projet'!$E$9+1,1))-AVERAGE(OFFSET($H$3,0,0,'Données projet'!$E$9+1,1))</f>
        <v>354.71367224254021</v>
      </c>
      <c r="T27" s="62">
        <f t="shared" si="34"/>
        <v>490.074370133397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15.733376360659832</v>
      </c>
      <c r="AB27" s="23">
        <f>EXP(-LN(2)/2)*AB26+(1-EXP(-LN(2)/2))/(LN(2)/2)*V27*Y27*VLOOKUP('Données projet'!$B$9,Paramètres!$A$1:$I$88,3,0)*0.475*44/12</f>
        <v>5.4899631990755884</v>
      </c>
      <c r="AC27" s="24">
        <f t="shared" si="3"/>
        <v>21.223339559735422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64.579363736525792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20.8</v>
      </c>
      <c r="AI27" s="14">
        <f>IF('Données projet'!$A$62&gt;35,AI26+AH27-AQ26,IF(A27&lt;'Données projet'!$A$62,$AF$205^A27,IF(A27='Données projet'!$A$62,'Données projet'!$B$62,AI26+AH27-AQ26)))</f>
        <v>185.20000000000007</v>
      </c>
      <c r="AJ27" s="14">
        <f>AI27*VLOOKUP('Données projet'!$B$10,Paramètres!$A$1:$I$88,3,0)*VLOOKUP('Données projet'!$B$10,Paramètres!$A$1:$I$88,5,0)</f>
        <v>110.74960000000004</v>
      </c>
      <c r="AK27" s="14">
        <f t="shared" si="35"/>
        <v>29.507526310895475</v>
      </c>
      <c r="AL27" s="22">
        <f t="shared" si="4"/>
        <v>244.28116165814302</v>
      </c>
      <c r="AM27" s="62">
        <f t="shared" si="5"/>
        <v>510.40549535873765</v>
      </c>
      <c r="AN27" s="62">
        <f ca="1">AVERAGE(OFFSET($AM$3,0,0,'Données projet'!$E$10+1,1))-AVERAGE(OFFSET($H$3,0,0,'Données projet'!$E$10+1,1))</f>
        <v>264.73276096087574</v>
      </c>
      <c r="AO27" s="62">
        <f t="shared" si="36"/>
        <v>381.84464918049662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projet'!$B$10,Paramètres!$A$1:$I$88,3,0)*0.475*44/12</f>
        <v>0</v>
      </c>
      <c r="AV27" s="23">
        <f>EXP(-LN(2)/25)*AV26+(1-EXP(-LN(2)/25))/(LN(2)/25)*Calculateur!AQ27*Calculateur!AS27*VLOOKUP('Données projet'!$B$10,Paramètres!$A$1:$I$88,3,0)*0.475*44/12</f>
        <v>10.904759916698969</v>
      </c>
      <c r="AW27" s="23">
        <f>EXP(-LN(2)/2)*AW26+(1-EXP(-LN(2)/2))/(LN(2)/2)*AQ27*AT27*VLOOKUP('Données projet'!$B$10,Paramètres!$A$1:$I$88,3,0)*0.475*44/12</f>
        <v>3.8337580272900711</v>
      </c>
      <c r="AX27" s="23">
        <f t="shared" si="6"/>
        <v>14.738517943989041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64.579363736525792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5.6</v>
      </c>
      <c r="BD27" s="13">
        <f>IF('Données projet'!$A$88&gt;35,BD26+BC27-BL26,IF(A27&lt;'Données projet'!$A$88,$BA$205^A27,IF(A27='Données projet'!$A$88,'Données projet'!$B$88,BD26+BC27-BL26)))</f>
        <v>64.400000000000006</v>
      </c>
      <c r="BE27" s="14">
        <f>BD27*VLOOKUP('Données projet'!$B$11,Paramètres!$A$1:$I$88,3,0)*VLOOKUP('Données projet'!$B$11,Paramètres!$A$1:$I$88,5,0)</f>
        <v>73.338720000000009</v>
      </c>
      <c r="BF27" s="14">
        <f t="shared" si="37"/>
        <v>20.500317703224091</v>
      </c>
      <c r="BG27" s="22">
        <f t="shared" si="7"/>
        <v>163.43632399978199</v>
      </c>
      <c r="BH27" s="62">
        <f t="shared" si="8"/>
        <v>429.56065770037662</v>
      </c>
      <c r="BI27" s="62">
        <f ca="1">AVERAGE(OFFSET($BH$3,0,0,'Données projet'!$E$11+1,1))-AVERAGE(OFFSET($H$3,0,0,'Données projet'!$E$11+1,1))</f>
        <v>470.57532875732056</v>
      </c>
      <c r="BJ27" s="62">
        <f t="shared" si="38"/>
        <v>286.63787681165888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projet'!$B$11,Paramètres!$A$1:$I$88,3,0)*0.475*44/12</f>
        <v>0</v>
      </c>
      <c r="BQ27" s="23">
        <f>EXP(-LN(2)/25)*BQ26+(1-EXP(-LN(2)/25))/(LN(2)/25)*Calculateur!BL27*Calculateur!BN27*VLOOKUP('Données projet'!$B$11,Paramètres!$A$1:$I$88,3,0)*0.475*44/12</f>
        <v>0</v>
      </c>
      <c r="BR27" s="23">
        <f>EXP(-LN(2)/2)*BR26+(1-EXP(-LN(2)/2))/(LN(2)/2)*BL27*BO27*VLOOKUP('Données projet'!$B$11,Paramètres!$A$1:$I$88,3,0)*0.475*44/12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64.579363736525792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14.8</v>
      </c>
      <c r="BY27" s="13">
        <f>IF('Données projet'!$A$114&gt;35,BY26+BX27-CG26,IF(A27&lt;'Données projet'!$A$114,$BV$205^A27,IF(A27='Données projet'!$A$114,'Données projet'!$B$114,BY26+BX27-CG26)))</f>
        <v>126.19999999999997</v>
      </c>
      <c r="BZ27" s="14">
        <f>BY27*VLOOKUP('Données projet'!$B$12,Paramètres!$A$1:$I$88,3,0)*VLOOKUP('Données projet'!$B$12,Paramètres!$A$1:$I$88,5,0)</f>
        <v>82.686239999999984</v>
      </c>
      <c r="CA27" s="14">
        <f t="shared" si="39"/>
        <v>22.79271598914541</v>
      </c>
      <c r="CB27" s="22">
        <f t="shared" si="10"/>
        <v>183.70918168109486</v>
      </c>
      <c r="CC27" s="62">
        <f t="shared" si="11"/>
        <v>449.83351538168949</v>
      </c>
      <c r="CD27" s="62">
        <f ca="1">AVERAGE(OFFSET($CC$3,0,0,'Données projet'!$E$12+1,1))-AVERAGE(OFFSET($H$3,0,0,'Données projet'!$E$12+1,1))</f>
        <v>305.38855494899906</v>
      </c>
      <c r="CE27" s="62">
        <f t="shared" si="40"/>
        <v>298.48106301229177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projet'!$B$12,Paramètres!$A$1:$I$88,3,0)*0.475*44/12</f>
        <v>0</v>
      </c>
      <c r="CL27" s="23">
        <f>EXP(-LN(2)/25)*CL26+(1-EXP(-LN(2)/25))/(LN(2)/25)*Calculateur!CG27*Calculateur!CI27*VLOOKUP('Données projet'!$B$12,Paramètres!$A$1:$I$88,3,0)*0.475*44/12</f>
        <v>0</v>
      </c>
      <c r="CM27" s="23">
        <f>EXP(-LN(2)/2)*CM26+(1-EXP(-LN(2)/2))/(LN(2)/2)*CG27*CJ27*VLOOKUP('Données projet'!$B$12,Paramètres!$A$1:$I$88,3,0)*0.475*44/12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64.579363736525792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14.8</v>
      </c>
      <c r="CT27" s="13">
        <f>IF('Données projet'!$A$140&gt;35,CT26+CS27-DB26,IF(A27&lt;'Données projet'!$A$140,$CQ$205^A27,IF(A27='Données projet'!$A$140,'Données projet'!$B$140,CT26+CS27-DB26)))</f>
        <v>126.19999999999997</v>
      </c>
      <c r="CU27" s="18">
        <f>CT27*VLOOKUP('Données projet'!$B$13,Paramètres!$A$1:$I$88,3,0)*VLOOKUP('Données projet'!$B$13,Paramètres!$A$1:$I$88,5,0)</f>
        <v>100.40472</v>
      </c>
      <c r="CV27" s="14">
        <f t="shared" si="41"/>
        <v>27.058393830330502</v>
      </c>
      <c r="CW27" s="22">
        <f t="shared" si="13"/>
        <v>221.99825658782561</v>
      </c>
      <c r="CX27" s="62">
        <f t="shared" si="14"/>
        <v>488.12259028842021</v>
      </c>
      <c r="CY27" s="62">
        <f ca="1">AVERAGE(OFFSET($CX$3,0,0,'Données projet'!$E$13+1,1))-AVERAGE(OFFSET($H$3,0,0,'Données projet'!$E$13+1,1))</f>
        <v>361.30066984973894</v>
      </c>
      <c r="CZ27" s="62">
        <f t="shared" si="42"/>
        <v>351.78053157121622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projet'!$B$13,Paramètres!$A$1:$I$88,3,0)*0.475*44/12</f>
        <v>0</v>
      </c>
      <c r="DG27" s="23">
        <f>EXP(-LN(2)/25)*DG26+(1-EXP(-LN(2)/25))/(LN(2)/25)*Calculateur!DB27*Calculateur!DD27*VLOOKUP('Données projet'!$B$13,Paramètres!$A$1:$I$88,3,0)*0.475*44/12</f>
        <v>0</v>
      </c>
      <c r="DH27" s="23">
        <f>EXP(-LN(2)/2)*DH26+(1-EXP(-LN(2)/2))/(LN(2)/2)*DB27*DE27*VLOOKUP('Données projet'!$B$13,Paramètres!$A$1:$I$88,3,0)*0.475*44/12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64.579363736525792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>
        <f>DO27*VLOOKUP('Données projet'!$B$14,Paramètres!$A$1:$I$88,3,0)*VLOOKUP('Données projet'!$B$14,Paramètres!$A$1:$I$88,5,0)</f>
        <v>0</v>
      </c>
      <c r="DQ27" s="14" t="e">
        <f t="shared" si="43"/>
        <v>#NUM!</v>
      </c>
      <c r="DR27" s="22" t="e">
        <f t="shared" si="16"/>
        <v>#NUM!</v>
      </c>
      <c r="DS27" s="62" t="e">
        <f t="shared" si="17"/>
        <v>#NUM!</v>
      </c>
      <c r="DT27" s="62">
        <f ca="1">AVERAGE(OFFSET($DS$3,0,0,'Données projet'!$E$14+1,1))-AVERAGE(OFFSET($H$3,0,0,'Données projet'!$E$14+1,1))</f>
        <v>91.201152634762423</v>
      </c>
      <c r="DU27" s="62">
        <f t="shared" si="44"/>
        <v>233.36981992862445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projet'!$B$14,Paramètres!$A$1:$I$88,3,0)*0.475*44/12</f>
        <v>46.687577196584961</v>
      </c>
      <c r="EB27" s="23">
        <f>EXP(-LN(2)/25)*EB26+(1-EXP(-LN(2)/25))/(LN(2)/25)*Calculateur!DW27*Calculateur!DY27*VLOOKUP('Données projet'!$B$14,Paramètres!$A$1:$I$88,3,0)*0.475*44/12</f>
        <v>0</v>
      </c>
      <c r="EC27" s="23">
        <f>EXP(-LN(2)/2)*EC26+(1-EXP(-LN(2)/2))/(LN(2)/2)*DW27*DZ27*VLOOKUP('Données projet'!$B$14,Paramètres!$A$1:$I$88,3,0)*0.475*44/12</f>
        <v>0</v>
      </c>
      <c r="ED27" s="24">
        <f t="shared" si="18"/>
        <v>46.687577196584961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64.579363736525792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projet'!$B$15,Paramètres!$A$1:$I$88,3,0)*0.475*44/12</f>
        <v>#N/A</v>
      </c>
      <c r="EW27" s="23" t="e">
        <f>EXP(-LN(2)/25)*EW26+(1-EXP(-LN(2)/25))/(LN(2)/25)*Calculateur!ER27*Calculateur!ET27*VLOOKUP('Données projet'!$B$15,Paramètres!$A$1:$I$88,3,0)*0.475*44/12</f>
        <v>#N/A</v>
      </c>
      <c r="EX27" s="23" t="e">
        <f>EXP(-LN(2)/2)*EX26+(1-EXP(-LN(2)/2))/(LN(2)/2)*ER27*EU27*VLOOKUP('Données projet'!$B$15,Paramètres!$A$1:$I$88,3,0)*0.475*44/12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64.579363736525792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projet'!$B$16,Paramètres!$A$1:$I$88,3,0)*0.475*44/12</f>
        <v>#N/A</v>
      </c>
      <c r="FR27" s="23" t="e">
        <f>EXP(-LN(2)/25)*FR26+(1-EXP(-LN(2)/25))/(LN(2)/25)*Calculateur!FM27*Calculateur!FO27*VLOOKUP('Données projet'!$B$16,Paramètres!$A$1:$I$88,3,0)*0.475*44/12</f>
        <v>#N/A</v>
      </c>
      <c r="FS27" s="23" t="e">
        <f>EXP(-LN(2)/2)*FS26+(1-EXP(-LN(2)/2))/(LN(2)/2)*FM27*FP27*VLOOKUP('Données projet'!$B$16,Paramètres!$A$1:$I$88,3,0)*0.475*44/12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64.579363736525792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projet'!$B$17,Paramètres!$A$1:$I$88,3,0)*0.475*44/12</f>
        <v>#N/A</v>
      </c>
      <c r="GM27" s="23" t="e">
        <f>EXP(-LN(2)/25)*GM26+(1-EXP(-LN(2)/25))/(LN(2)/25)*Calculateur!GH27*Calculateur!GJ27*VLOOKUP('Données projet'!$B$17,Paramètres!$A$1:$I$88,3,0)*0.475*44/12</f>
        <v>#N/A</v>
      </c>
      <c r="GN27" s="23" t="e">
        <f>EXP(-LN(2)/2)*GN26+(1-EXP(-LN(2)/2))/(LN(2)/2)*GH27*GK27*VLOOKUP('Données projet'!$B$17,Paramètres!$A$1:$I$88,3,0)*0.475*44/12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64.579363736525792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projet'!$B$18,Paramètres!$A$1:$I$88,3,0)*0.475*44/12</f>
        <v>#N/A</v>
      </c>
      <c r="HH27" s="23" t="e">
        <f>EXP(-LN(2)/25)*HH26+(1-EXP(-LN(2)/25))/(LN(2)/25)*Calculateur!HC27*Calculateur!HE27*VLOOKUP('Données projet'!$B$18,Paramètres!$A$1:$I$88,3,0)*0.475*44/12</f>
        <v>#N/A</v>
      </c>
      <c r="HI27" s="23" t="e">
        <f>EXP(-LN(2)/2)*HI26+(1-EXP(-LN(2)/2))/(LN(2)/2)*HC27*HF27*VLOOKUP('Données projet'!$B$18,Paramètres!$A$1:$I$88,3,0)*0.475*44/12</f>
        <v>#N/A</v>
      </c>
      <c r="HJ27" s="24" t="e">
        <f t="shared" si="30"/>
        <v>#N/A</v>
      </c>
    </row>
    <row r="28" spans="1:218" s="5" customFormat="1" x14ac:dyDescent="0.2">
      <c r="A28" s="11">
        <f t="shared" si="31"/>
        <v>25</v>
      </c>
      <c r="B28" s="77">
        <f>'Scénario référence'!$B$16*5+'Scénario référence'!$B$17*0+'Scénario référence'!$B$18*5</f>
        <v>1.6500000000000001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6.0500000000000007</v>
      </c>
      <c r="H28" s="70">
        <f t="shared" si="1"/>
        <v>232.4666666666667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64.673399656969892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281</v>
      </c>
      <c r="L28" s="13">
        <f>VLOOKUP(A28,'Données projet'!$A$35:$I$55,9,0)</f>
        <v>25</v>
      </c>
      <c r="M28" s="13">
        <f t="array" ref="M28">INDEX(L:L,MIN(IF(ISNUMBER(L28:L224),ROW(L28:L224),"")))</f>
        <v>25</v>
      </c>
      <c r="N28" s="14">
        <f>IF('Données projet'!$A$36&gt;35,N27+M28-V27,IF(A28&lt;'Données projet'!$A$36,$K$205^A28,IF(A28='Données projet'!$A$36,'Données projet'!$B$36,N27+M28-V27)))</f>
        <v>281</v>
      </c>
      <c r="O28" s="14">
        <f>N28*VLOOKUP('Données projet'!$B$9,Paramètres!$A$1:$I$88,3,0)*VLOOKUP('Données projet'!$B$9,Paramètres!$A$1:$I$88,5,0)</f>
        <v>168.03800000000004</v>
      </c>
      <c r="P28" s="14">
        <f t="shared" si="33"/>
        <v>42.650304418351887</v>
      </c>
      <c r="Q28" s="22">
        <f t="shared" si="2"/>
        <v>366.94879686196288</v>
      </c>
      <c r="R28" s="62">
        <f t="shared" si="0"/>
        <v>634.64015115974132</v>
      </c>
      <c r="S28" s="62">
        <f ca="1">AVERAGE(OFFSET($R$3,0,0,'Données projet'!$E$9+1,1))-AVERAGE(OFFSET($H$3,0,0,'Données projet'!$E$9+1,1))</f>
        <v>354.71367224254021</v>
      </c>
      <c r="T28" s="62">
        <f t="shared" si="34"/>
        <v>490.074370133397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70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0.25200000000000006</v>
      </c>
      <c r="Y28" s="17">
        <f>IF(ISNA(VLOOKUP(A28,'Données projet'!$A$35:$I$55,7,0)),0%,VLOOKUP(A28,'Données projet'!$A$35:$I$55,7,0))</f>
        <v>0.44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29.241605393197851</v>
      </c>
      <c r="AB28" s="23">
        <f>EXP(-LN(2)/2)*AB27+(1-EXP(-LN(2)/2))/(LN(2)/2)*V28*Y28*VLOOKUP('Données projet'!$B$9,Paramètres!$A$1:$I$88,3,0)*0.475*44/12</f>
        <v>24.735897555292397</v>
      </c>
      <c r="AC28" s="24">
        <f t="shared" si="3"/>
        <v>53.977502948490248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64.673399656969892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206</v>
      </c>
      <c r="AG28" s="13">
        <f>VLOOKUP(A28,'Données projet'!$A$61:$I$81,9,0)</f>
        <v>20.8</v>
      </c>
      <c r="AH28" s="13">
        <f t="array" ref="AH28">INDEX(AG:AG,MIN(IF(ISNUMBER(AG28:AG224),ROW(AG28:AG224),"")))</f>
        <v>20.8</v>
      </c>
      <c r="AI28" s="14">
        <f>IF('Données projet'!$A$62&gt;35,AI27+AH28-AQ27,IF(A28&lt;'Données projet'!$A$62,$AF$205^A28,IF(A28='Données projet'!$A$62,'Données projet'!$B$62,AI27+AH28-AQ27)))</f>
        <v>206.00000000000009</v>
      </c>
      <c r="AJ28" s="14">
        <f>AI28*VLOOKUP('Données projet'!$B$10,Paramètres!$A$1:$I$88,3,0)*VLOOKUP('Données projet'!$B$10,Paramètres!$A$1:$I$88,5,0)</f>
        <v>123.18800000000006</v>
      </c>
      <c r="AK28" s="14">
        <f t="shared" si="35"/>
        <v>32.417409489939047</v>
      </c>
      <c r="AL28" s="22">
        <f t="shared" si="4"/>
        <v>271.01275486164394</v>
      </c>
      <c r="AM28" s="62">
        <f t="shared" si="5"/>
        <v>538.70410915942239</v>
      </c>
      <c r="AN28" s="62">
        <f ca="1">AVERAGE(OFFSET($AM$3,0,0,'Données projet'!$E$10+1,1))-AVERAGE(OFFSET($H$3,0,0,'Données projet'!$E$10+1,1))</f>
        <v>264.73276096087574</v>
      </c>
      <c r="AO28" s="62">
        <f t="shared" si="36"/>
        <v>381.84464918049662</v>
      </c>
      <c r="AP28" s="16">
        <f>IF(ISNA(VLOOKUP(A28,'Données projet'!$A$61:$I$81,3,0)),0,VLOOKUP(A28,'Données projet'!$A$61:$I$81,3,0))</f>
        <v>3</v>
      </c>
      <c r="AQ28" s="16">
        <f>IF(ISNA(VLOOKUP(A28,'Données projet'!$A$61:$I$81,4,0)),0,VLOOKUP(A28,'Données projet'!$A$61:$I$81,4,0))</f>
        <v>49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0.25200000000000006</v>
      </c>
      <c r="AT28" s="17">
        <f>IF(ISNA(VLOOKUP(A28,'Données projet'!$A$61:$I$81,7,0)),0%,VLOOKUP(A28,'Données projet'!$A$61:$I$81,7,0))</f>
        <v>0.44</v>
      </c>
      <c r="AU28" s="23">
        <f>EXP(-LN(2)/35)*AU27+(1-EXP(-LN(2)/35))/(LN(2)/35)*AQ28*AR28*VLOOKUP('Données projet'!$B$10,Paramètres!$A$1:$I$88,3,0)*0.475*44/12</f>
        <v>0</v>
      </c>
      <c r="AV28" s="23">
        <f>EXP(-LN(2)/25)*AV27+(1-EXP(-LN(2)/25))/(LN(2)/25)*Calculateur!AQ28*Calculateur!AS28*VLOOKUP('Données projet'!$B$10,Paramètres!$A$1:$I$88,3,0)*0.475*44/12</f>
        <v>20.363490008872233</v>
      </c>
      <c r="AW28" s="23">
        <f>EXP(-LN(2)/2)*AW27+(1-EXP(-LN(2)/2))/(LN(2)/2)*AQ28*AT28*VLOOKUP('Données projet'!$B$10,Paramètres!$A$1:$I$88,3,0)*0.475*44/12</f>
        <v>17.30861144265819</v>
      </c>
      <c r="AX28" s="23">
        <f t="shared" si="6"/>
        <v>37.672101451530423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64.673399656969892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70</v>
      </c>
      <c r="BB28" s="13">
        <f>VLOOKUP(A28,'Données projet'!$A$87:$I$107,9,0)</f>
        <v>5.6</v>
      </c>
      <c r="BC28" s="13">
        <f t="array" ref="BC28">INDEX(BB:BB,MIN(IF(ISNUMBER(BB28:BB224),ROW(BB28:BB224),"")))</f>
        <v>5.6</v>
      </c>
      <c r="BD28" s="13">
        <f>IF('Données projet'!$A$88&gt;35,BD27+BC28-BL27,IF(A28&lt;'Données projet'!$A$88,$BA$205^A28,IF(A28='Données projet'!$A$88,'Données projet'!$B$88,BD27+BC28-BL27)))</f>
        <v>70</v>
      </c>
      <c r="BE28" s="14">
        <f>BD28*VLOOKUP('Données projet'!$B$11,Paramètres!$A$1:$I$88,3,0)*VLOOKUP('Données projet'!$B$11,Paramètres!$A$1:$I$88,5,0)</f>
        <v>79.716000000000008</v>
      </c>
      <c r="BF28" s="14">
        <f t="shared" si="37"/>
        <v>22.067730286351054</v>
      </c>
      <c r="BG28" s="22">
        <f t="shared" si="7"/>
        <v>177.27333024872806</v>
      </c>
      <c r="BH28" s="62">
        <f t="shared" si="8"/>
        <v>444.96468454650653</v>
      </c>
      <c r="BI28" s="62">
        <f ca="1">AVERAGE(OFFSET($BH$3,0,0,'Données projet'!$E$11+1,1))-AVERAGE(OFFSET($H$3,0,0,'Données projet'!$E$11+1,1))</f>
        <v>470.57532875732056</v>
      </c>
      <c r="BJ28" s="62">
        <f t="shared" si="38"/>
        <v>286.63787681165888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8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projet'!$B$11,Paramètres!$A$1:$I$88,3,0)*0.475*44/12</f>
        <v>0</v>
      </c>
      <c r="BQ28" s="23">
        <f>EXP(-LN(2)/25)*BQ27+(1-EXP(-LN(2)/25))/(LN(2)/25)*Calculateur!BL28*Calculateur!BN28*VLOOKUP('Données projet'!$B$11,Paramètres!$A$1:$I$88,3,0)*0.475*44/12</f>
        <v>0</v>
      </c>
      <c r="BR28" s="23">
        <f>EXP(-LN(2)/2)*BR27+(1-EXP(-LN(2)/2))/(LN(2)/2)*BL28*BO28*VLOOKUP('Données projet'!$B$11,Paramètres!$A$1:$I$88,3,0)*0.475*44/12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64.673399656969892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141</v>
      </c>
      <c r="BW28" s="13">
        <f>VLOOKUP(A28,'Données projet'!$A$113:$I$133,9,0)</f>
        <v>14.8</v>
      </c>
      <c r="BX28" s="13">
        <f t="array" ref="BX28">INDEX(BW:BW,MIN(IF(ISNUMBER(BW28:BW224),ROW(BW28:BW224),"")))</f>
        <v>14.8</v>
      </c>
      <c r="BY28" s="13">
        <f>IF('Données projet'!$A$114&gt;35,BY27+BX28-CG27,IF(A28&lt;'Données projet'!$A$114,$BV$205^A28,IF(A28='Données projet'!$A$114,'Données projet'!$B$114,BY27+BX28-CG27)))</f>
        <v>140.99999999999997</v>
      </c>
      <c r="BZ28" s="14">
        <f>BY28*VLOOKUP('Données projet'!$B$12,Paramètres!$A$1:$I$88,3,0)*VLOOKUP('Données projet'!$B$12,Paramètres!$A$1:$I$88,5,0)</f>
        <v>92.383199999999974</v>
      </c>
      <c r="CA28" s="14">
        <f t="shared" si="39"/>
        <v>25.13911825557507</v>
      </c>
      <c r="CB28" s="22">
        <f t="shared" si="10"/>
        <v>204.68470429512652</v>
      </c>
      <c r="CC28" s="62">
        <f t="shared" si="11"/>
        <v>472.376058592905</v>
      </c>
      <c r="CD28" s="62">
        <f ca="1">AVERAGE(OFFSET($CC$3,0,0,'Données projet'!$E$12+1,1))-AVERAGE(OFFSET($H$3,0,0,'Données projet'!$E$12+1,1))</f>
        <v>305.38855494899906</v>
      </c>
      <c r="CE28" s="62">
        <f t="shared" si="40"/>
        <v>298.48106301229177</v>
      </c>
      <c r="CF28" s="16">
        <f>IF(ISNA(VLOOKUP(A28,'Données projet'!$A$113:$I$133,3,0)),0,VLOOKUP(A28,'Données projet'!$A$113:$I$133,3,0))</f>
        <v>4</v>
      </c>
      <c r="CG28" s="16">
        <f>IF(ISNA(VLOOKUP(A28,'Données projet'!$A$113:$I$133,4,0)),0,VLOOKUP(A28,'Données projet'!$A$113:$I$133,4,0))</f>
        <v>35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projet'!$B$12,Paramètres!$A$1:$I$88,3,0)*0.475*44/12</f>
        <v>0</v>
      </c>
      <c r="CL28" s="23">
        <f>EXP(-LN(2)/25)*CL27+(1-EXP(-LN(2)/25))/(LN(2)/25)*Calculateur!CG28*Calculateur!CI28*VLOOKUP('Données projet'!$B$12,Paramètres!$A$1:$I$88,3,0)*0.475*44/12</f>
        <v>0</v>
      </c>
      <c r="CM28" s="23">
        <f>EXP(-LN(2)/2)*CM27+(1-EXP(-LN(2)/2))/(LN(2)/2)*CG28*CJ28*VLOOKUP('Données projet'!$B$12,Paramètres!$A$1:$I$88,3,0)*0.475*44/12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64.673399656969892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141</v>
      </c>
      <c r="CR28" s="13">
        <f>VLOOKUP(A28,'Données projet'!$A$139:$I$159,9,0)</f>
        <v>14.8</v>
      </c>
      <c r="CS28" s="13">
        <f t="array" ref="CS28">INDEX(CR:CR,MIN(IF(ISNUMBER(CR28:CR224),ROW(CR28:CR224),"")))</f>
        <v>14.8</v>
      </c>
      <c r="CT28" s="13">
        <f>IF('Données projet'!$A$140&gt;35,CT27+CS28-DB27,IF(A28&lt;'Données projet'!$A$140,$CQ$205^A28,IF(A28='Données projet'!$A$140,'Données projet'!$B$140,CT27+CS28-DB27)))</f>
        <v>140.99999999999997</v>
      </c>
      <c r="CU28" s="18">
        <f>CT28*VLOOKUP('Données projet'!$B$13,Paramètres!$A$1:$I$88,3,0)*VLOOKUP('Données projet'!$B$13,Paramètres!$A$1:$I$88,5,0)</f>
        <v>112.17959999999998</v>
      </c>
      <c r="CV28" s="14">
        <f t="shared" si="41"/>
        <v>29.8439274472838</v>
      </c>
      <c r="CW28" s="22">
        <f t="shared" si="13"/>
        <v>247.35764363735257</v>
      </c>
      <c r="CX28" s="62">
        <f t="shared" si="14"/>
        <v>515.04899793513096</v>
      </c>
      <c r="CY28" s="62">
        <f ca="1">AVERAGE(OFFSET($CX$3,0,0,'Données projet'!$E$13+1,1))-AVERAGE(OFFSET($H$3,0,0,'Données projet'!$E$13+1,1))</f>
        <v>361.30066984973894</v>
      </c>
      <c r="CZ28" s="62">
        <f t="shared" si="42"/>
        <v>351.78053157121622</v>
      </c>
      <c r="DA28" s="16">
        <f>IF(ISNA(VLOOKUP(A28,'Données projet'!$A$139:$I$159,3,0)),0,VLOOKUP(A28,'Données projet'!$A$139:$I$159,3,0))</f>
        <v>4</v>
      </c>
      <c r="DB28" s="16">
        <f>IF(ISNA(VLOOKUP(A28,'Données projet'!$A$139:$I$159,4,0)),0,VLOOKUP(A28,'Données projet'!$A$139:$I$159,4,0))</f>
        <v>35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projet'!$B$13,Paramètres!$A$1:$I$88,3,0)*0.475*44/12</f>
        <v>0</v>
      </c>
      <c r="DG28" s="23">
        <f>EXP(-LN(2)/25)*DG27+(1-EXP(-LN(2)/25))/(LN(2)/25)*Calculateur!DB28*Calculateur!DD28*VLOOKUP('Données projet'!$B$13,Paramètres!$A$1:$I$88,3,0)*0.475*44/12</f>
        <v>0</v>
      </c>
      <c r="DH28" s="23">
        <f>EXP(-LN(2)/2)*DH27+(1-EXP(-LN(2)/2))/(LN(2)/2)*DB28*DE28*VLOOKUP('Données projet'!$B$13,Paramètres!$A$1:$I$88,3,0)*0.475*44/12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64.673399656969892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>
        <f>DO28*VLOOKUP('Données projet'!$B$14,Paramètres!$A$1:$I$88,3,0)*VLOOKUP('Données projet'!$B$14,Paramètres!$A$1:$I$88,5,0)</f>
        <v>0</v>
      </c>
      <c r="DQ28" s="14" t="e">
        <f t="shared" si="43"/>
        <v>#NUM!</v>
      </c>
      <c r="DR28" s="22" t="e">
        <f t="shared" si="16"/>
        <v>#NUM!</v>
      </c>
      <c r="DS28" s="62" t="e">
        <f t="shared" si="17"/>
        <v>#NUM!</v>
      </c>
      <c r="DT28" s="62">
        <f ca="1">AVERAGE(OFFSET($DS$3,0,0,'Données projet'!$E$14+1,1))-AVERAGE(OFFSET($H$3,0,0,'Données projet'!$E$14+1,1))</f>
        <v>91.201152634762423</v>
      </c>
      <c r="DU28" s="62">
        <f t="shared" si="44"/>
        <v>233.36981992862445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projet'!$B$14,Paramètres!$A$1:$I$88,3,0)*0.475*44/12</f>
        <v>45.772062284370186</v>
      </c>
      <c r="EB28" s="23">
        <f>EXP(-LN(2)/25)*EB27+(1-EXP(-LN(2)/25))/(LN(2)/25)*Calculateur!DW28*Calculateur!DY28*VLOOKUP('Données projet'!$B$14,Paramètres!$A$1:$I$88,3,0)*0.475*44/12</f>
        <v>0</v>
      </c>
      <c r="EC28" s="23">
        <f>EXP(-LN(2)/2)*EC27+(1-EXP(-LN(2)/2))/(LN(2)/2)*DW28*DZ28*VLOOKUP('Données projet'!$B$14,Paramètres!$A$1:$I$88,3,0)*0.475*44/12</f>
        <v>0</v>
      </c>
      <c r="ED28" s="24">
        <f t="shared" si="18"/>
        <v>45.772062284370186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64.673399656969892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projet'!$B$15,Paramètres!$A$1:$I$88,3,0)*0.475*44/12</f>
        <v>#N/A</v>
      </c>
      <c r="EW28" s="23" t="e">
        <f>EXP(-LN(2)/25)*EW27+(1-EXP(-LN(2)/25))/(LN(2)/25)*Calculateur!ER28*Calculateur!ET28*VLOOKUP('Données projet'!$B$15,Paramètres!$A$1:$I$88,3,0)*0.475*44/12</f>
        <v>#N/A</v>
      </c>
      <c r="EX28" s="23" t="e">
        <f>EXP(-LN(2)/2)*EX27+(1-EXP(-LN(2)/2))/(LN(2)/2)*ER28*EU28*VLOOKUP('Données projet'!$B$15,Paramètres!$A$1:$I$88,3,0)*0.475*44/12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64.673399656969892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projet'!$B$16,Paramètres!$A$1:$I$88,3,0)*0.475*44/12</f>
        <v>#N/A</v>
      </c>
      <c r="FR28" s="23" t="e">
        <f>EXP(-LN(2)/25)*FR27+(1-EXP(-LN(2)/25))/(LN(2)/25)*Calculateur!FM28*Calculateur!FO28*VLOOKUP('Données projet'!$B$16,Paramètres!$A$1:$I$88,3,0)*0.475*44/12</f>
        <v>#N/A</v>
      </c>
      <c r="FS28" s="23" t="e">
        <f>EXP(-LN(2)/2)*FS27+(1-EXP(-LN(2)/2))/(LN(2)/2)*FM28*FP28*VLOOKUP('Données projet'!$B$16,Paramètres!$A$1:$I$88,3,0)*0.475*44/12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64.673399656969892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projet'!$B$17,Paramètres!$A$1:$I$88,3,0)*0.475*44/12</f>
        <v>#N/A</v>
      </c>
      <c r="GM28" s="23" t="e">
        <f>EXP(-LN(2)/25)*GM27+(1-EXP(-LN(2)/25))/(LN(2)/25)*Calculateur!GH28*Calculateur!GJ28*VLOOKUP('Données projet'!$B$17,Paramètres!$A$1:$I$88,3,0)*0.475*44/12</f>
        <v>#N/A</v>
      </c>
      <c r="GN28" s="23" t="e">
        <f>EXP(-LN(2)/2)*GN27+(1-EXP(-LN(2)/2))/(LN(2)/2)*GH28*GK28*VLOOKUP('Données projet'!$B$17,Paramètres!$A$1:$I$88,3,0)*0.475*44/12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64.673399656969892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projet'!$B$18,Paramètres!$A$1:$I$88,3,0)*0.475*44/12</f>
        <v>#N/A</v>
      </c>
      <c r="HH28" s="23" t="e">
        <f>EXP(-LN(2)/25)*HH27+(1-EXP(-LN(2)/25))/(LN(2)/25)*Calculateur!HC28*Calculateur!HE28*VLOOKUP('Données projet'!$B$18,Paramètres!$A$1:$I$88,3,0)*0.475*44/12</f>
        <v>#N/A</v>
      </c>
      <c r="HI28" s="23" t="e">
        <f>EXP(-LN(2)/2)*HI27+(1-EXP(-LN(2)/2))/(LN(2)/2)*HC28*HF28*VLOOKUP('Données projet'!$B$18,Paramètres!$A$1:$I$88,3,0)*0.475*44/12</f>
        <v>#N/A</v>
      </c>
      <c r="HJ28" s="24" t="e">
        <f t="shared" si="30"/>
        <v>#N/A</v>
      </c>
    </row>
    <row r="29" spans="1:218" s="5" customFormat="1" x14ac:dyDescent="0.2">
      <c r="A29" s="11">
        <f t="shared" si="31"/>
        <v>26</v>
      </c>
      <c r="B29" s="77">
        <f>'Scénario référence'!$B$16*5+'Scénario référence'!$B$17*0+'Scénario référence'!$B$18*5</f>
        <v>1.6500000000000001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6.0500000000000007</v>
      </c>
      <c r="H29" s="70">
        <f t="shared" si="1"/>
        <v>232.4666666666667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64.765804264427118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26.6</v>
      </c>
      <c r="N29" s="14">
        <f>IF('Données projet'!$A$36&gt;35,N28+M29-V28,IF(A29&lt;'Données projet'!$A$36,$K$205^A29,IF(A29='Données projet'!$A$36,'Données projet'!$B$36,N28+M29-V28)))</f>
        <v>237.60000000000002</v>
      </c>
      <c r="O29" s="14">
        <f>N29*VLOOKUP('Données projet'!$B$9,Paramètres!$A$1:$I$88,3,0)*VLOOKUP('Données projet'!$B$9,Paramètres!$A$1:$I$88,5,0)</f>
        <v>142.08480000000003</v>
      </c>
      <c r="P29" s="14">
        <f t="shared" si="33"/>
        <v>36.774192249654888</v>
      </c>
      <c r="Q29" s="22">
        <f t="shared" si="2"/>
        <v>311.51274483481569</v>
      </c>
      <c r="R29" s="62">
        <f t="shared" si="0"/>
        <v>580.76513824882625</v>
      </c>
      <c r="S29" s="62">
        <f ca="1">AVERAGE(OFFSET($R$3,0,0,'Données projet'!$E$9+1,1))-AVERAGE(OFFSET($H$3,0,0,'Données projet'!$E$9+1,1))</f>
        <v>354.71367224254021</v>
      </c>
      <c r="T29" s="62">
        <f t="shared" si="34"/>
        <v>490.074370133397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28.441992155971661</v>
      </c>
      <c r="AB29" s="23">
        <f>EXP(-LN(2)/2)*AB28+(1-EXP(-LN(2)/2))/(LN(2)/2)*V29*Y29*VLOOKUP('Données projet'!$B$9,Paramètres!$A$1:$I$88,3,0)*0.475*44/12</f>
        <v>17.490920900082997</v>
      </c>
      <c r="AC29" s="24">
        <f t="shared" si="3"/>
        <v>45.932913056054659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64.765804264427118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20.399999999999999</v>
      </c>
      <c r="AI29" s="14">
        <f>IF('Données projet'!$A$62&gt;35,AI28+AH29-AQ28,IF(A29&lt;'Données projet'!$A$62,$AF$205^A29,IF(A29='Données projet'!$A$62,'Données projet'!$B$62,AI28+AH29-AQ28)))</f>
        <v>177.40000000000009</v>
      </c>
      <c r="AJ29" s="14">
        <f>AI29*VLOOKUP('Données projet'!$B$10,Paramètres!$A$1:$I$88,3,0)*VLOOKUP('Données projet'!$B$10,Paramètres!$A$1:$I$88,5,0)</f>
        <v>106.08520000000006</v>
      </c>
      <c r="AK29" s="14">
        <f t="shared" si="35"/>
        <v>28.406690903826767</v>
      </c>
      <c r="AL29" s="22">
        <f t="shared" si="4"/>
        <v>234.24004332416504</v>
      </c>
      <c r="AM29" s="62">
        <f t="shared" si="5"/>
        <v>503.49243673817557</v>
      </c>
      <c r="AN29" s="62">
        <f ca="1">AVERAGE(OFFSET($AM$3,0,0,'Données projet'!$E$10+1,1))-AVERAGE(OFFSET($H$3,0,0,'Données projet'!$E$10+1,1))</f>
        <v>264.73276096087574</v>
      </c>
      <c r="AO29" s="62">
        <f t="shared" si="36"/>
        <v>381.84464918049662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projet'!$B$10,Paramètres!$A$1:$I$88,3,0)*0.475*44/12</f>
        <v>0</v>
      </c>
      <c r="AV29" s="23">
        <f>EXP(-LN(2)/25)*AV28+(1-EXP(-LN(2)/25))/(LN(2)/25)*Calculateur!AQ29*Calculateur!AS29*VLOOKUP('Données projet'!$B$10,Paramètres!$A$1:$I$88,3,0)*0.475*44/12</f>
        <v>19.806649303710223</v>
      </c>
      <c r="AW29" s="23">
        <f>EXP(-LN(2)/2)*AW28+(1-EXP(-LN(2)/2))/(LN(2)/2)*AQ29*AT29*VLOOKUP('Données projet'!$B$10,Paramètres!$A$1:$I$88,3,0)*0.475*44/12</f>
        <v>12.239036524026679</v>
      </c>
      <c r="AX29" s="23">
        <f t="shared" si="6"/>
        <v>32.045685827736904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64.765804264427118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69</v>
      </c>
      <c r="BE29" s="14">
        <f>BD29*VLOOKUP('Données projet'!$B$11,Paramètres!$A$1:$I$88,3,0)*VLOOKUP('Données projet'!$B$11,Paramètres!$A$1:$I$88,5,0)</f>
        <v>78.577200000000005</v>
      </c>
      <c r="BF29" s="14">
        <f t="shared" si="37"/>
        <v>21.788939637935243</v>
      </c>
      <c r="BG29" s="22">
        <f t="shared" si="7"/>
        <v>174.8043598694039</v>
      </c>
      <c r="BH29" s="62">
        <f t="shared" si="8"/>
        <v>444.05675328341442</v>
      </c>
      <c r="BI29" s="62">
        <f ca="1">AVERAGE(OFFSET($BH$3,0,0,'Données projet'!$E$11+1,1))-AVERAGE(OFFSET($H$3,0,0,'Données projet'!$E$11+1,1))</f>
        <v>470.57532875732056</v>
      </c>
      <c r="BJ29" s="62">
        <f t="shared" si="38"/>
        <v>286.63787681165888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projet'!$B$11,Paramètres!$A$1:$I$88,3,0)*0.475*44/12</f>
        <v>0</v>
      </c>
      <c r="BQ29" s="23">
        <f>EXP(-LN(2)/25)*BQ28+(1-EXP(-LN(2)/25))/(LN(2)/25)*Calculateur!BL29*Calculateur!BN29*VLOOKUP('Données projet'!$B$11,Paramètres!$A$1:$I$88,3,0)*0.475*44/12</f>
        <v>0</v>
      </c>
      <c r="BR29" s="23">
        <f>EXP(-LN(2)/2)*BR28+(1-EXP(-LN(2)/2))/(LN(2)/2)*BL29*BO29*VLOOKUP('Données projet'!$B$11,Paramètres!$A$1:$I$88,3,0)*0.475*44/12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64.765804264427118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14.2</v>
      </c>
      <c r="BY29" s="13">
        <f>IF('Données projet'!$A$114&gt;35,BY28+BX29-CG28,IF(A29&lt;'Données projet'!$A$114,$BV$205^A29,IF(A29='Données projet'!$A$114,'Données projet'!$B$114,BY28+BX29-CG28)))</f>
        <v>120.19999999999996</v>
      </c>
      <c r="BZ29" s="14">
        <f>BY29*VLOOKUP('Données projet'!$B$12,Paramètres!$A$1:$I$88,3,0)*VLOOKUP('Données projet'!$B$12,Paramètres!$A$1:$I$88,5,0)</f>
        <v>78.755039999999966</v>
      </c>
      <c r="CA29" s="14">
        <f t="shared" si="39"/>
        <v>21.832507629707017</v>
      </c>
      <c r="CB29" s="22">
        <f t="shared" si="10"/>
        <v>175.18997878840631</v>
      </c>
      <c r="CC29" s="62">
        <f t="shared" si="11"/>
        <v>444.44237220241689</v>
      </c>
      <c r="CD29" s="62">
        <f ca="1">AVERAGE(OFFSET($CC$3,0,0,'Données projet'!$E$12+1,1))-AVERAGE(OFFSET($H$3,0,0,'Données projet'!$E$12+1,1))</f>
        <v>305.38855494899906</v>
      </c>
      <c r="CE29" s="62">
        <f t="shared" si="40"/>
        <v>298.48106301229177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projet'!$B$12,Paramètres!$A$1:$I$88,3,0)*0.475*44/12</f>
        <v>0</v>
      </c>
      <c r="CL29" s="23">
        <f>EXP(-LN(2)/25)*CL28+(1-EXP(-LN(2)/25))/(LN(2)/25)*Calculateur!CG29*Calculateur!CI29*VLOOKUP('Données projet'!$B$12,Paramètres!$A$1:$I$88,3,0)*0.475*44/12</f>
        <v>0</v>
      </c>
      <c r="CM29" s="23">
        <f>EXP(-LN(2)/2)*CM28+(1-EXP(-LN(2)/2))/(LN(2)/2)*CG29*CJ29*VLOOKUP('Données projet'!$B$12,Paramètres!$A$1:$I$88,3,0)*0.475*44/12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64.765804264427118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14.2</v>
      </c>
      <c r="CT29" s="13">
        <f>IF('Données projet'!$A$140&gt;35,CT28+CS29-DB28,IF(A29&lt;'Données projet'!$A$140,$CQ$205^A29,IF(A29='Données projet'!$A$140,'Données projet'!$B$140,CT28+CS29-DB28)))</f>
        <v>120.19999999999996</v>
      </c>
      <c r="CU29" s="18">
        <f>CT29*VLOOKUP('Données projet'!$B$13,Paramètres!$A$1:$I$88,3,0)*VLOOKUP('Données projet'!$B$13,Paramètres!$A$1:$I$88,5,0)</f>
        <v>95.631119999999967</v>
      </c>
      <c r="CV29" s="14">
        <f t="shared" si="41"/>
        <v>25.918481589892234</v>
      </c>
      <c r="CW29" s="22">
        <f t="shared" si="13"/>
        <v>211.69888943572892</v>
      </c>
      <c r="CX29" s="62">
        <f t="shared" si="14"/>
        <v>480.95128284973947</v>
      </c>
      <c r="CY29" s="62">
        <f ca="1">AVERAGE(OFFSET($CX$3,0,0,'Données projet'!$E$13+1,1))-AVERAGE(OFFSET($H$3,0,0,'Données projet'!$E$13+1,1))</f>
        <v>361.30066984973894</v>
      </c>
      <c r="CZ29" s="62">
        <f t="shared" si="42"/>
        <v>351.78053157121622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projet'!$B$13,Paramètres!$A$1:$I$88,3,0)*0.475*44/12</f>
        <v>0</v>
      </c>
      <c r="DG29" s="23">
        <f>EXP(-LN(2)/25)*DG28+(1-EXP(-LN(2)/25))/(LN(2)/25)*Calculateur!DB29*Calculateur!DD29*VLOOKUP('Données projet'!$B$13,Paramètres!$A$1:$I$88,3,0)*0.475*44/12</f>
        <v>0</v>
      </c>
      <c r="DH29" s="23">
        <f>EXP(-LN(2)/2)*DH28+(1-EXP(-LN(2)/2))/(LN(2)/2)*DB29*DE29*VLOOKUP('Données projet'!$B$13,Paramètres!$A$1:$I$88,3,0)*0.475*44/12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64.765804264427118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>
        <f>DO29*VLOOKUP('Données projet'!$B$14,Paramètres!$A$1:$I$88,3,0)*VLOOKUP('Données projet'!$B$14,Paramètres!$A$1:$I$88,5,0)</f>
        <v>0</v>
      </c>
      <c r="DQ29" s="14" t="e">
        <f t="shared" si="43"/>
        <v>#NUM!</v>
      </c>
      <c r="DR29" s="22" t="e">
        <f t="shared" si="16"/>
        <v>#NUM!</v>
      </c>
      <c r="DS29" s="62" t="e">
        <f t="shared" si="17"/>
        <v>#NUM!</v>
      </c>
      <c r="DT29" s="62">
        <f ca="1">AVERAGE(OFFSET($DS$3,0,0,'Données projet'!$E$14+1,1))-AVERAGE(OFFSET($H$3,0,0,'Données projet'!$E$14+1,1))</f>
        <v>91.201152634762423</v>
      </c>
      <c r="DU29" s="62">
        <f t="shared" si="44"/>
        <v>233.36981992862445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projet'!$B$14,Paramètres!$A$1:$I$88,3,0)*0.475*44/12</f>
        <v>44.874500061174984</v>
      </c>
      <c r="EB29" s="23">
        <f>EXP(-LN(2)/25)*EB28+(1-EXP(-LN(2)/25))/(LN(2)/25)*Calculateur!DW29*Calculateur!DY29*VLOOKUP('Données projet'!$B$14,Paramètres!$A$1:$I$88,3,0)*0.475*44/12</f>
        <v>0</v>
      </c>
      <c r="EC29" s="23">
        <f>EXP(-LN(2)/2)*EC28+(1-EXP(-LN(2)/2))/(LN(2)/2)*DW29*DZ29*VLOOKUP('Données projet'!$B$14,Paramètres!$A$1:$I$88,3,0)*0.475*44/12</f>
        <v>0</v>
      </c>
      <c r="ED29" s="24">
        <f t="shared" si="18"/>
        <v>44.874500061174984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64.765804264427118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projet'!$B$15,Paramètres!$A$1:$I$88,3,0)*0.475*44/12</f>
        <v>#N/A</v>
      </c>
      <c r="EW29" s="23" t="e">
        <f>EXP(-LN(2)/25)*EW28+(1-EXP(-LN(2)/25))/(LN(2)/25)*Calculateur!ER29*Calculateur!ET29*VLOOKUP('Données projet'!$B$15,Paramètres!$A$1:$I$88,3,0)*0.475*44/12</f>
        <v>#N/A</v>
      </c>
      <c r="EX29" s="23" t="e">
        <f>EXP(-LN(2)/2)*EX28+(1-EXP(-LN(2)/2))/(LN(2)/2)*ER29*EU29*VLOOKUP('Données projet'!$B$15,Paramètres!$A$1:$I$88,3,0)*0.475*44/12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64.765804264427118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projet'!$B$16,Paramètres!$A$1:$I$88,3,0)*0.475*44/12</f>
        <v>#N/A</v>
      </c>
      <c r="FR29" s="23" t="e">
        <f>EXP(-LN(2)/25)*FR28+(1-EXP(-LN(2)/25))/(LN(2)/25)*Calculateur!FM29*Calculateur!FO29*VLOOKUP('Données projet'!$B$16,Paramètres!$A$1:$I$88,3,0)*0.475*44/12</f>
        <v>#N/A</v>
      </c>
      <c r="FS29" s="23" t="e">
        <f>EXP(-LN(2)/2)*FS28+(1-EXP(-LN(2)/2))/(LN(2)/2)*FM29*FP29*VLOOKUP('Données projet'!$B$16,Paramètres!$A$1:$I$88,3,0)*0.475*44/12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64.765804264427118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projet'!$B$17,Paramètres!$A$1:$I$88,3,0)*0.475*44/12</f>
        <v>#N/A</v>
      </c>
      <c r="GM29" s="23" t="e">
        <f>EXP(-LN(2)/25)*GM28+(1-EXP(-LN(2)/25))/(LN(2)/25)*Calculateur!GH29*Calculateur!GJ29*VLOOKUP('Données projet'!$B$17,Paramètres!$A$1:$I$88,3,0)*0.475*44/12</f>
        <v>#N/A</v>
      </c>
      <c r="GN29" s="23" t="e">
        <f>EXP(-LN(2)/2)*GN28+(1-EXP(-LN(2)/2))/(LN(2)/2)*GH29*GK29*VLOOKUP('Données projet'!$B$17,Paramètres!$A$1:$I$88,3,0)*0.475*44/12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64.765804264427118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projet'!$B$18,Paramètres!$A$1:$I$88,3,0)*0.475*44/12</f>
        <v>#N/A</v>
      </c>
      <c r="HH29" s="23" t="e">
        <f>EXP(-LN(2)/25)*HH28+(1-EXP(-LN(2)/25))/(LN(2)/25)*Calculateur!HC29*Calculateur!HE29*VLOOKUP('Données projet'!$B$18,Paramètres!$A$1:$I$88,3,0)*0.475*44/12</f>
        <v>#N/A</v>
      </c>
      <c r="HI29" s="23" t="e">
        <f>EXP(-LN(2)/2)*HI28+(1-EXP(-LN(2)/2))/(LN(2)/2)*HC29*HF29*VLOOKUP('Données projet'!$B$18,Paramètres!$A$1:$I$88,3,0)*0.475*44/12</f>
        <v>#N/A</v>
      </c>
      <c r="HJ29" s="24" t="e">
        <f t="shared" si="30"/>
        <v>#N/A</v>
      </c>
    </row>
    <row r="30" spans="1:218" s="5" customFormat="1" x14ac:dyDescent="0.2">
      <c r="A30" s="11">
        <f t="shared" si="31"/>
        <v>27</v>
      </c>
      <c r="B30" s="77">
        <f>'Scénario référence'!$B$16*5+'Scénario référence'!$B$17*0+'Scénario référence'!$B$18*5</f>
        <v>1.6500000000000001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6.0500000000000007</v>
      </c>
      <c r="H30" s="70">
        <f t="shared" si="1"/>
        <v>232.4666666666667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64.856605858530713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26.6</v>
      </c>
      <c r="N30" s="14">
        <f>IF('Données projet'!$A$36&gt;35,N29+M30-V29,IF(A30&lt;'Données projet'!$A$36,$K$205^A30,IF(A30='Données projet'!$A$36,'Données projet'!$B$36,N29+M30-V29)))</f>
        <v>264.20000000000005</v>
      </c>
      <c r="O30" s="14">
        <f>N30*VLOOKUP('Données projet'!$B$9,Paramètres!$A$1:$I$88,3,0)*VLOOKUP('Données projet'!$B$9,Paramètres!$A$1:$I$88,5,0)</f>
        <v>157.99160000000003</v>
      </c>
      <c r="P30" s="14">
        <f t="shared" si="33"/>
        <v>40.389182682530297</v>
      </c>
      <c r="Q30" s="22">
        <f t="shared" si="2"/>
        <v>345.513196505407</v>
      </c>
      <c r="R30" s="62">
        <f t="shared" si="0"/>
        <v>616.32075132001955</v>
      </c>
      <c r="S30" s="62">
        <f ca="1">AVERAGE(OFFSET($R$3,0,0,'Données projet'!$E$9+1,1))-AVERAGE(OFFSET($H$3,0,0,'Données projet'!$E$9+1,1))</f>
        <v>354.71367224254021</v>
      </c>
      <c r="T30" s="62">
        <f t="shared" si="34"/>
        <v>490.074370133397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27.664244384767255</v>
      </c>
      <c r="AB30" s="23">
        <f>EXP(-LN(2)/2)*AB29+(1-EXP(-LN(2)/2))/(LN(2)/2)*V30*Y30*VLOOKUP('Données projet'!$B$9,Paramètres!$A$1:$I$88,3,0)*0.475*44/12</f>
        <v>12.3679487776462</v>
      </c>
      <c r="AC30" s="24">
        <f t="shared" si="3"/>
        <v>40.032193162413456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64.856605858530713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20.399999999999999</v>
      </c>
      <c r="AI30" s="14">
        <f>IF('Données projet'!$A$62&gt;35,AI29+AH30-AQ29,IF(A30&lt;'Données projet'!$A$62,$AF$205^A30,IF(A30='Données projet'!$A$62,'Données projet'!$B$62,AI29+AH30-AQ29)))</f>
        <v>197.8000000000001</v>
      </c>
      <c r="AJ30" s="14">
        <f>AI30*VLOOKUP('Données projet'!$B$10,Paramètres!$A$1:$I$88,3,0)*VLOOKUP('Données projet'!$B$10,Paramètres!$A$1:$I$88,5,0)</f>
        <v>118.28440000000006</v>
      </c>
      <c r="AK30" s="14">
        <f t="shared" si="35"/>
        <v>31.274529043461754</v>
      </c>
      <c r="AL30" s="22">
        <f t="shared" si="4"/>
        <v>260.4818014173627</v>
      </c>
      <c r="AM30" s="62">
        <f t="shared" si="5"/>
        <v>531.28935623197526</v>
      </c>
      <c r="AN30" s="62">
        <f ca="1">AVERAGE(OFFSET($AM$3,0,0,'Données projet'!$E$10+1,1))-AVERAGE(OFFSET($H$3,0,0,'Données projet'!$E$10+1,1))</f>
        <v>264.73276096087574</v>
      </c>
      <c r="AO30" s="62">
        <f t="shared" si="36"/>
        <v>381.84464918049662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projet'!$B$10,Paramètres!$A$1:$I$88,3,0)*0.475*44/12</f>
        <v>0</v>
      </c>
      <c r="AV30" s="23">
        <f>EXP(-LN(2)/25)*AV29+(1-EXP(-LN(2)/25))/(LN(2)/25)*Calculateur!AQ30*Calculateur!AS30*VLOOKUP('Données projet'!$B$10,Paramètres!$A$1:$I$88,3,0)*0.475*44/12</f>
        <v>19.265035436913848</v>
      </c>
      <c r="AW30" s="23">
        <f>EXP(-LN(2)/2)*AW29+(1-EXP(-LN(2)/2))/(LN(2)/2)*AQ30*AT30*VLOOKUP('Données projet'!$B$10,Paramètres!$A$1:$I$88,3,0)*0.475*44/12</f>
        <v>8.6543057213290968</v>
      </c>
      <c r="AX30" s="23">
        <f t="shared" si="6"/>
        <v>27.919341158242943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64.856605858530713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76</v>
      </c>
      <c r="BE30" s="14">
        <f>BD30*VLOOKUP('Données projet'!$B$11,Paramètres!$A$1:$I$88,3,0)*VLOOKUP('Données projet'!$B$11,Paramètres!$A$1:$I$88,5,0)</f>
        <v>86.5488</v>
      </c>
      <c r="BF30" s="14">
        <f t="shared" si="37"/>
        <v>23.730993988781254</v>
      </c>
      <c r="BG30" s="22">
        <f t="shared" si="7"/>
        <v>192.07064119712734</v>
      </c>
      <c r="BH30" s="62">
        <f t="shared" si="8"/>
        <v>462.87819601173999</v>
      </c>
      <c r="BI30" s="62">
        <f ca="1">AVERAGE(OFFSET($BH$3,0,0,'Données projet'!$E$11+1,1))-AVERAGE(OFFSET($H$3,0,0,'Données projet'!$E$11+1,1))</f>
        <v>470.57532875732056</v>
      </c>
      <c r="BJ30" s="62">
        <f t="shared" si="38"/>
        <v>286.63787681165888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projet'!$B$11,Paramètres!$A$1:$I$88,3,0)*0.475*44/12</f>
        <v>0</v>
      </c>
      <c r="BQ30" s="23">
        <f>EXP(-LN(2)/25)*BQ29+(1-EXP(-LN(2)/25))/(LN(2)/25)*Calculateur!BL30*Calculateur!BN30*VLOOKUP('Données projet'!$B$11,Paramètres!$A$1:$I$88,3,0)*0.475*44/12</f>
        <v>0</v>
      </c>
      <c r="BR30" s="23">
        <f>EXP(-LN(2)/2)*BR29+(1-EXP(-LN(2)/2))/(LN(2)/2)*BL30*BO30*VLOOKUP('Données projet'!$B$11,Paramètres!$A$1:$I$88,3,0)*0.475*44/12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64.856605858530713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14.2</v>
      </c>
      <c r="BY30" s="13">
        <f>IF('Données projet'!$A$114&gt;35,BY29+BX30-CG29,IF(A30&lt;'Données projet'!$A$114,$BV$205^A30,IF(A30='Données projet'!$A$114,'Données projet'!$B$114,BY29+BX30-CG29)))</f>
        <v>134.39999999999995</v>
      </c>
      <c r="BZ30" s="14">
        <f>BY30*VLOOKUP('Données projet'!$B$12,Paramètres!$A$1:$I$88,3,0)*VLOOKUP('Données projet'!$B$12,Paramètres!$A$1:$I$88,5,0)</f>
        <v>88.058879999999974</v>
      </c>
      <c r="CA30" s="14">
        <f t="shared" si="39"/>
        <v>24.096481170231179</v>
      </c>
      <c r="CB30" s="22">
        <f t="shared" si="10"/>
        <v>195.33725403815257</v>
      </c>
      <c r="CC30" s="62">
        <f t="shared" si="11"/>
        <v>466.14480885276521</v>
      </c>
      <c r="CD30" s="62">
        <f ca="1">AVERAGE(OFFSET($CC$3,0,0,'Données projet'!$E$12+1,1))-AVERAGE(OFFSET($H$3,0,0,'Données projet'!$E$12+1,1))</f>
        <v>305.38855494899906</v>
      </c>
      <c r="CE30" s="62">
        <f t="shared" si="40"/>
        <v>298.48106301229177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projet'!$B$12,Paramètres!$A$1:$I$88,3,0)*0.475*44/12</f>
        <v>0</v>
      </c>
      <c r="CL30" s="23">
        <f>EXP(-LN(2)/25)*CL29+(1-EXP(-LN(2)/25))/(LN(2)/25)*Calculateur!CG30*Calculateur!CI30*VLOOKUP('Données projet'!$B$12,Paramètres!$A$1:$I$88,3,0)*0.475*44/12</f>
        <v>0</v>
      </c>
      <c r="CM30" s="23">
        <f>EXP(-LN(2)/2)*CM29+(1-EXP(-LN(2)/2))/(LN(2)/2)*CG30*CJ30*VLOOKUP('Données projet'!$B$12,Paramètres!$A$1:$I$88,3,0)*0.475*44/12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64.856605858530713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14.2</v>
      </c>
      <c r="CT30" s="13">
        <f>IF('Données projet'!$A$140&gt;35,CT29+CS30-DB29,IF(A30&lt;'Données projet'!$A$140,$CQ$205^A30,IF(A30='Données projet'!$A$140,'Données projet'!$B$140,CT29+CS30-DB29)))</f>
        <v>134.39999999999995</v>
      </c>
      <c r="CU30" s="18">
        <f>CT30*VLOOKUP('Données projet'!$B$13,Paramètres!$A$1:$I$88,3,0)*VLOOKUP('Données projet'!$B$13,Paramètres!$A$1:$I$88,5,0)</f>
        <v>106.92863999999996</v>
      </c>
      <c r="CV30" s="14">
        <f t="shared" si="41"/>
        <v>28.606159868782917</v>
      </c>
      <c r="CW30" s="22">
        <f t="shared" si="13"/>
        <v>236.05644310479681</v>
      </c>
      <c r="CX30" s="62">
        <f t="shared" si="14"/>
        <v>506.86399791940943</v>
      </c>
      <c r="CY30" s="62">
        <f ca="1">AVERAGE(OFFSET($CX$3,0,0,'Données projet'!$E$13+1,1))-AVERAGE(OFFSET($H$3,0,0,'Données projet'!$E$13+1,1))</f>
        <v>361.30066984973894</v>
      </c>
      <c r="CZ30" s="62">
        <f t="shared" si="42"/>
        <v>351.78053157121622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projet'!$B$13,Paramètres!$A$1:$I$88,3,0)*0.475*44/12</f>
        <v>0</v>
      </c>
      <c r="DG30" s="23">
        <f>EXP(-LN(2)/25)*DG29+(1-EXP(-LN(2)/25))/(LN(2)/25)*Calculateur!DB30*Calculateur!DD30*VLOOKUP('Données projet'!$B$13,Paramètres!$A$1:$I$88,3,0)*0.475*44/12</f>
        <v>0</v>
      </c>
      <c r="DH30" s="23">
        <f>EXP(-LN(2)/2)*DH29+(1-EXP(-LN(2)/2))/(LN(2)/2)*DB30*DE30*VLOOKUP('Données projet'!$B$13,Paramètres!$A$1:$I$88,3,0)*0.475*44/12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64.856605858530713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>
        <f>DO30*VLOOKUP('Données projet'!$B$14,Paramètres!$A$1:$I$88,3,0)*VLOOKUP('Données projet'!$B$14,Paramètres!$A$1:$I$88,5,0)</f>
        <v>0</v>
      </c>
      <c r="DQ30" s="14" t="e">
        <f t="shared" si="43"/>
        <v>#NUM!</v>
      </c>
      <c r="DR30" s="22" t="e">
        <f t="shared" si="16"/>
        <v>#NUM!</v>
      </c>
      <c r="DS30" s="62" t="e">
        <f t="shared" si="17"/>
        <v>#NUM!</v>
      </c>
      <c r="DT30" s="62">
        <f ca="1">AVERAGE(OFFSET($DS$3,0,0,'Données projet'!$E$14+1,1))-AVERAGE(OFFSET($H$3,0,0,'Données projet'!$E$14+1,1))</f>
        <v>91.201152634762423</v>
      </c>
      <c r="DU30" s="62">
        <f t="shared" si="44"/>
        <v>233.36981992862445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projet'!$B$14,Paramètres!$A$1:$I$88,3,0)*0.475*44/12</f>
        <v>43.994538485717747</v>
      </c>
      <c r="EB30" s="23">
        <f>EXP(-LN(2)/25)*EB29+(1-EXP(-LN(2)/25))/(LN(2)/25)*Calculateur!DW30*Calculateur!DY30*VLOOKUP('Données projet'!$B$14,Paramètres!$A$1:$I$88,3,0)*0.475*44/12</f>
        <v>0</v>
      </c>
      <c r="EC30" s="23">
        <f>EXP(-LN(2)/2)*EC29+(1-EXP(-LN(2)/2))/(LN(2)/2)*DW30*DZ30*VLOOKUP('Données projet'!$B$14,Paramètres!$A$1:$I$88,3,0)*0.475*44/12</f>
        <v>0</v>
      </c>
      <c r="ED30" s="24">
        <f t="shared" si="18"/>
        <v>43.994538485717747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64.856605858530713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projet'!$B$15,Paramètres!$A$1:$I$88,3,0)*0.475*44/12</f>
        <v>#N/A</v>
      </c>
      <c r="EW30" s="23" t="e">
        <f>EXP(-LN(2)/25)*EW29+(1-EXP(-LN(2)/25))/(LN(2)/25)*Calculateur!ER30*Calculateur!ET30*VLOOKUP('Données projet'!$B$15,Paramètres!$A$1:$I$88,3,0)*0.475*44/12</f>
        <v>#N/A</v>
      </c>
      <c r="EX30" s="23" t="e">
        <f>EXP(-LN(2)/2)*EX29+(1-EXP(-LN(2)/2))/(LN(2)/2)*ER30*EU30*VLOOKUP('Données projet'!$B$15,Paramètres!$A$1:$I$88,3,0)*0.475*44/12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64.856605858530713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projet'!$B$16,Paramètres!$A$1:$I$88,3,0)*0.475*44/12</f>
        <v>#N/A</v>
      </c>
      <c r="FR30" s="23" t="e">
        <f>EXP(-LN(2)/25)*FR29+(1-EXP(-LN(2)/25))/(LN(2)/25)*Calculateur!FM30*Calculateur!FO30*VLOOKUP('Données projet'!$B$16,Paramètres!$A$1:$I$88,3,0)*0.475*44/12</f>
        <v>#N/A</v>
      </c>
      <c r="FS30" s="23" t="e">
        <f>EXP(-LN(2)/2)*FS29+(1-EXP(-LN(2)/2))/(LN(2)/2)*FM30*FP30*VLOOKUP('Données projet'!$B$16,Paramètres!$A$1:$I$88,3,0)*0.475*44/12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64.856605858530713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projet'!$B$17,Paramètres!$A$1:$I$88,3,0)*0.475*44/12</f>
        <v>#N/A</v>
      </c>
      <c r="GM30" s="23" t="e">
        <f>EXP(-LN(2)/25)*GM29+(1-EXP(-LN(2)/25))/(LN(2)/25)*Calculateur!GH30*Calculateur!GJ30*VLOOKUP('Données projet'!$B$17,Paramètres!$A$1:$I$88,3,0)*0.475*44/12</f>
        <v>#N/A</v>
      </c>
      <c r="GN30" s="23" t="e">
        <f>EXP(-LN(2)/2)*GN29+(1-EXP(-LN(2)/2))/(LN(2)/2)*GH30*GK30*VLOOKUP('Données projet'!$B$17,Paramètres!$A$1:$I$88,3,0)*0.475*44/12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64.856605858530713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projet'!$B$18,Paramètres!$A$1:$I$88,3,0)*0.475*44/12</f>
        <v>#N/A</v>
      </c>
      <c r="HH30" s="23" t="e">
        <f>EXP(-LN(2)/25)*HH29+(1-EXP(-LN(2)/25))/(LN(2)/25)*Calculateur!HC30*Calculateur!HE30*VLOOKUP('Données projet'!$B$18,Paramètres!$A$1:$I$88,3,0)*0.475*44/12</f>
        <v>#N/A</v>
      </c>
      <c r="HI30" s="23" t="e">
        <f>EXP(-LN(2)/2)*HI29+(1-EXP(-LN(2)/2))/(LN(2)/2)*HC30*HF30*VLOOKUP('Données projet'!$B$18,Paramètres!$A$1:$I$88,3,0)*0.475*44/12</f>
        <v>#N/A</v>
      </c>
      <c r="HJ30" s="24" t="e">
        <f t="shared" si="30"/>
        <v>#N/A</v>
      </c>
    </row>
    <row r="31" spans="1:218" s="5" customFormat="1" x14ac:dyDescent="0.2">
      <c r="A31" s="11">
        <f t="shared" si="31"/>
        <v>28</v>
      </c>
      <c r="B31" s="77">
        <f>'Scénario référence'!$B$16*5+'Scénario référence'!$B$17*0+'Scénario référence'!$B$18*5</f>
        <v>1.6500000000000001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6.0500000000000007</v>
      </c>
      <c r="H31" s="70">
        <f t="shared" si="1"/>
        <v>232.4666666666667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64.945832247978572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26.6</v>
      </c>
      <c r="N31" s="14">
        <f>IF('Données projet'!$A$36&gt;35,N30+M31-V30,IF(A31&lt;'Données projet'!$A$36,$K$205^A31,IF(A31='Données projet'!$A$36,'Données projet'!$B$36,N30+M31-V30)))</f>
        <v>290.80000000000007</v>
      </c>
      <c r="O31" s="14">
        <f>N31*VLOOKUP('Données projet'!$B$9,Paramètres!$A$1:$I$88,3,0)*VLOOKUP('Données projet'!$B$9,Paramètres!$A$1:$I$88,5,0)</f>
        <v>173.89840000000004</v>
      </c>
      <c r="P31" s="14">
        <f t="shared" si="33"/>
        <v>43.961980047450574</v>
      </c>
      <c r="Q31" s="22">
        <f t="shared" si="2"/>
        <v>379.44016191597643</v>
      </c>
      <c r="R31" s="62">
        <f t="shared" si="0"/>
        <v>651.79710238078678</v>
      </c>
      <c r="S31" s="62">
        <f ca="1">AVERAGE(OFFSET($R$3,0,0,'Données projet'!$E$9+1,1))-AVERAGE(OFFSET($H$3,0,0,'Données projet'!$E$9+1,1))</f>
        <v>354.71367224254021</v>
      </c>
      <c r="T31" s="62">
        <f t="shared" si="34"/>
        <v>490.074370133397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0</v>
      </c>
      <c r="AA31" s="23">
        <f>EXP(-LN(2)/25)*AA30+(1-EXP(-LN(2)/25))/(LN(2)/25)*Calculateur!V31*Calculateur!X31*VLOOKUP('Données projet'!$B$9,Paramètres!$A$1:$I$88,3,0)*0.475*44/12</f>
        <v>26.907764167266411</v>
      </c>
      <c r="AB31" s="23">
        <f>EXP(-LN(2)/2)*AB30+(1-EXP(-LN(2)/2))/(LN(2)/2)*V31*Y31*VLOOKUP('Données projet'!$B$9,Paramètres!$A$1:$I$88,3,0)*0.475*44/12</f>
        <v>8.7454604500415005</v>
      </c>
      <c r="AC31" s="24">
        <f t="shared" si="3"/>
        <v>35.653224617307913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64.945832247978572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20.399999999999999</v>
      </c>
      <c r="AI31" s="14">
        <f>IF('Données projet'!$A$62&gt;35,AI30+AH31-AQ30,IF(A31&lt;'Données projet'!$A$62,$AF$205^A31,IF(A31='Données projet'!$A$62,'Données projet'!$B$62,AI30+AH31-AQ30)))</f>
        <v>218.2000000000001</v>
      </c>
      <c r="AJ31" s="14">
        <f>AI31*VLOOKUP('Données projet'!$B$10,Paramètres!$A$1:$I$88,3,0)*VLOOKUP('Données projet'!$B$10,Paramètres!$A$1:$I$88,5,0)</f>
        <v>130.48360000000008</v>
      </c>
      <c r="AK31" s="14">
        <f t="shared" si="35"/>
        <v>34.108080933526097</v>
      </c>
      <c r="AL31" s="22">
        <f t="shared" si="4"/>
        <v>286.66384429255805</v>
      </c>
      <c r="AM31" s="62">
        <f t="shared" si="5"/>
        <v>559.02078475736835</v>
      </c>
      <c r="AN31" s="62">
        <f ca="1">AVERAGE(OFFSET($AM$3,0,0,'Données projet'!$E$10+1,1))-AVERAGE(OFFSET($H$3,0,0,'Données projet'!$E$10+1,1))</f>
        <v>264.73276096087574</v>
      </c>
      <c r="AO31" s="62">
        <f t="shared" si="36"/>
        <v>381.84464918049662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projet'!$B$10,Paramètres!$A$1:$I$88,3,0)*0.475*44/12</f>
        <v>0</v>
      </c>
      <c r="AV31" s="23">
        <f>EXP(-LN(2)/25)*AV30+(1-EXP(-LN(2)/25))/(LN(2)/25)*Calculateur!AQ31*Calculateur!AS31*VLOOKUP('Données projet'!$B$10,Paramètres!$A$1:$I$88,3,0)*0.475*44/12</f>
        <v>18.738232029787255</v>
      </c>
      <c r="AW31" s="23">
        <f>EXP(-LN(2)/2)*AW30+(1-EXP(-LN(2)/2))/(LN(2)/2)*AQ31*AT31*VLOOKUP('Données projet'!$B$10,Paramètres!$A$1:$I$88,3,0)*0.475*44/12</f>
        <v>6.1195182620133401</v>
      </c>
      <c r="AX31" s="23">
        <f t="shared" si="6"/>
        <v>24.857750291800595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64.945832247978572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83</v>
      </c>
      <c r="BE31" s="14">
        <f>BD31*VLOOKUP('Données projet'!$B$11,Paramètres!$A$1:$I$88,3,0)*VLOOKUP('Données projet'!$B$11,Paramètres!$A$1:$I$88,5,0)</f>
        <v>94.520399999999995</v>
      </c>
      <c r="BF31" s="14">
        <f t="shared" si="37"/>
        <v>25.65230775629616</v>
      </c>
      <c r="BG31" s="22">
        <f t="shared" si="7"/>
        <v>209.30079934221578</v>
      </c>
      <c r="BH31" s="62">
        <f t="shared" si="8"/>
        <v>481.65773980702608</v>
      </c>
      <c r="BI31" s="62">
        <f ca="1">AVERAGE(OFFSET($BH$3,0,0,'Données projet'!$E$11+1,1))-AVERAGE(OFFSET($H$3,0,0,'Données projet'!$E$11+1,1))</f>
        <v>470.57532875732056</v>
      </c>
      <c r="BJ31" s="62">
        <f t="shared" si="38"/>
        <v>286.63787681165888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projet'!$B$11,Paramètres!$A$1:$I$88,3,0)*0.475*44/12</f>
        <v>0</v>
      </c>
      <c r="BQ31" s="23">
        <f>EXP(-LN(2)/25)*BQ30+(1-EXP(-LN(2)/25))/(LN(2)/25)*Calculateur!BL31*Calculateur!BN31*VLOOKUP('Données projet'!$B$11,Paramètres!$A$1:$I$88,3,0)*0.475*44/12</f>
        <v>0</v>
      </c>
      <c r="BR31" s="23">
        <f>EXP(-LN(2)/2)*BR30+(1-EXP(-LN(2)/2))/(LN(2)/2)*BL31*BO31*VLOOKUP('Données projet'!$B$11,Paramètres!$A$1:$I$88,3,0)*0.475*44/12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64.945832247978572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14.2</v>
      </c>
      <c r="BY31" s="13">
        <f>IF('Données projet'!$A$114&gt;35,BY30+BX31-CG30,IF(A31&lt;'Données projet'!$A$114,$BV$205^A31,IF(A31='Données projet'!$A$114,'Données projet'!$B$114,BY30+BX31-CG30)))</f>
        <v>148.59999999999994</v>
      </c>
      <c r="BZ31" s="14">
        <f>BY31*VLOOKUP('Données projet'!$B$12,Paramètres!$A$1:$I$88,3,0)*VLOOKUP('Données projet'!$B$12,Paramètres!$A$1:$I$88,5,0)</f>
        <v>97.362719999999953</v>
      </c>
      <c r="CA31" s="14">
        <f t="shared" si="39"/>
        <v>26.332727987771989</v>
      </c>
      <c r="CB31" s="22">
        <f t="shared" si="10"/>
        <v>215.43623857870276</v>
      </c>
      <c r="CC31" s="62">
        <f t="shared" si="11"/>
        <v>487.79317904351308</v>
      </c>
      <c r="CD31" s="62">
        <f ca="1">AVERAGE(OFFSET($CC$3,0,0,'Données projet'!$E$12+1,1))-AVERAGE(OFFSET($H$3,0,0,'Données projet'!$E$12+1,1))</f>
        <v>305.38855494899906</v>
      </c>
      <c r="CE31" s="62">
        <f t="shared" si="40"/>
        <v>298.48106301229177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projet'!$B$12,Paramètres!$A$1:$I$88,3,0)*0.475*44/12</f>
        <v>0</v>
      </c>
      <c r="CL31" s="23">
        <f>EXP(-LN(2)/25)*CL30+(1-EXP(-LN(2)/25))/(LN(2)/25)*Calculateur!CG31*Calculateur!CI31*VLOOKUP('Données projet'!$B$12,Paramètres!$A$1:$I$88,3,0)*0.475*44/12</f>
        <v>0</v>
      </c>
      <c r="CM31" s="23">
        <f>EXP(-LN(2)/2)*CM30+(1-EXP(-LN(2)/2))/(LN(2)/2)*CG31*CJ31*VLOOKUP('Données projet'!$B$12,Paramètres!$A$1:$I$88,3,0)*0.475*44/12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64.945832247978572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14.2</v>
      </c>
      <c r="CT31" s="13">
        <f>IF('Données projet'!$A$140&gt;35,CT30+CS31-DB30,IF(A31&lt;'Données projet'!$A$140,$CQ$205^A31,IF(A31='Données projet'!$A$140,'Données projet'!$B$140,CT30+CS31-DB30)))</f>
        <v>148.59999999999994</v>
      </c>
      <c r="CU31" s="18">
        <f>CT31*VLOOKUP('Données projet'!$B$13,Paramètres!$A$1:$I$88,3,0)*VLOOKUP('Données projet'!$B$13,Paramètres!$A$1:$I$88,5,0)</f>
        <v>118.22615999999996</v>
      </c>
      <c r="CV31" s="14">
        <f t="shared" si="41"/>
        <v>31.260922342884676</v>
      </c>
      <c r="CW31" s="22">
        <f t="shared" si="13"/>
        <v>260.35666841385739</v>
      </c>
      <c r="CX31" s="62">
        <f t="shared" si="14"/>
        <v>532.71360887866763</v>
      </c>
      <c r="CY31" s="62">
        <f ca="1">AVERAGE(OFFSET($CX$3,0,0,'Données projet'!$E$13+1,1))-AVERAGE(OFFSET($H$3,0,0,'Données projet'!$E$13+1,1))</f>
        <v>361.30066984973894</v>
      </c>
      <c r="CZ31" s="62">
        <f t="shared" si="42"/>
        <v>351.78053157121622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projet'!$B$13,Paramètres!$A$1:$I$88,3,0)*0.475*44/12</f>
        <v>0</v>
      </c>
      <c r="DG31" s="23">
        <f>EXP(-LN(2)/25)*DG30+(1-EXP(-LN(2)/25))/(LN(2)/25)*Calculateur!DB31*Calculateur!DD31*VLOOKUP('Données projet'!$B$13,Paramètres!$A$1:$I$88,3,0)*0.475*44/12</f>
        <v>0</v>
      </c>
      <c r="DH31" s="23">
        <f>EXP(-LN(2)/2)*DH30+(1-EXP(-LN(2)/2))/(LN(2)/2)*DB31*DE31*VLOOKUP('Données projet'!$B$13,Paramètres!$A$1:$I$88,3,0)*0.475*44/12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64.945832247978572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>
        <f>DO31*VLOOKUP('Données projet'!$B$14,Paramètres!$A$1:$I$88,3,0)*VLOOKUP('Données projet'!$B$14,Paramètres!$A$1:$I$88,5,0)</f>
        <v>0</v>
      </c>
      <c r="DQ31" s="14" t="e">
        <f t="shared" si="43"/>
        <v>#NUM!</v>
      </c>
      <c r="DR31" s="22" t="e">
        <f t="shared" si="16"/>
        <v>#NUM!</v>
      </c>
      <c r="DS31" s="62" t="e">
        <f t="shared" si="17"/>
        <v>#NUM!</v>
      </c>
      <c r="DT31" s="62">
        <f ca="1">AVERAGE(OFFSET($DS$3,0,0,'Données projet'!$E$14+1,1))-AVERAGE(OFFSET($H$3,0,0,'Données projet'!$E$14+1,1))</f>
        <v>91.201152634762423</v>
      </c>
      <c r="DU31" s="62">
        <f t="shared" si="44"/>
        <v>233.36981992862445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projet'!$B$14,Paramètres!$A$1:$I$88,3,0)*0.475*44/12</f>
        <v>43.131832420031657</v>
      </c>
      <c r="EB31" s="23">
        <f>EXP(-LN(2)/25)*EB30+(1-EXP(-LN(2)/25))/(LN(2)/25)*Calculateur!DW31*Calculateur!DY31*VLOOKUP('Données projet'!$B$14,Paramètres!$A$1:$I$88,3,0)*0.475*44/12</f>
        <v>0</v>
      </c>
      <c r="EC31" s="23">
        <f>EXP(-LN(2)/2)*EC30+(1-EXP(-LN(2)/2))/(LN(2)/2)*DW31*DZ31*VLOOKUP('Données projet'!$B$14,Paramètres!$A$1:$I$88,3,0)*0.475*44/12</f>
        <v>0</v>
      </c>
      <c r="ED31" s="24">
        <f t="shared" si="18"/>
        <v>43.131832420031657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64.945832247978572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projet'!$B$15,Paramètres!$A$1:$I$88,3,0)*0.475*44/12</f>
        <v>#N/A</v>
      </c>
      <c r="EW31" s="23" t="e">
        <f>EXP(-LN(2)/25)*EW30+(1-EXP(-LN(2)/25))/(LN(2)/25)*Calculateur!ER31*Calculateur!ET31*VLOOKUP('Données projet'!$B$15,Paramètres!$A$1:$I$88,3,0)*0.475*44/12</f>
        <v>#N/A</v>
      </c>
      <c r="EX31" s="23" t="e">
        <f>EXP(-LN(2)/2)*EX30+(1-EXP(-LN(2)/2))/(LN(2)/2)*ER31*EU31*VLOOKUP('Données projet'!$B$15,Paramètres!$A$1:$I$88,3,0)*0.475*44/12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64.945832247978572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projet'!$B$16,Paramètres!$A$1:$I$88,3,0)*0.475*44/12</f>
        <v>#N/A</v>
      </c>
      <c r="FR31" s="23" t="e">
        <f>EXP(-LN(2)/25)*FR30+(1-EXP(-LN(2)/25))/(LN(2)/25)*Calculateur!FM31*Calculateur!FO31*VLOOKUP('Données projet'!$B$16,Paramètres!$A$1:$I$88,3,0)*0.475*44/12</f>
        <v>#N/A</v>
      </c>
      <c r="FS31" s="23" t="e">
        <f>EXP(-LN(2)/2)*FS30+(1-EXP(-LN(2)/2))/(LN(2)/2)*FM31*FP31*VLOOKUP('Données projet'!$B$16,Paramètres!$A$1:$I$88,3,0)*0.475*44/12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64.945832247978572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projet'!$B$17,Paramètres!$A$1:$I$88,3,0)*0.475*44/12</f>
        <v>#N/A</v>
      </c>
      <c r="GM31" s="23" t="e">
        <f>EXP(-LN(2)/25)*GM30+(1-EXP(-LN(2)/25))/(LN(2)/25)*Calculateur!GH31*Calculateur!GJ31*VLOOKUP('Données projet'!$B$17,Paramètres!$A$1:$I$88,3,0)*0.475*44/12</f>
        <v>#N/A</v>
      </c>
      <c r="GN31" s="23" t="e">
        <f>EXP(-LN(2)/2)*GN30+(1-EXP(-LN(2)/2))/(LN(2)/2)*GH31*GK31*VLOOKUP('Données projet'!$B$17,Paramètres!$A$1:$I$88,3,0)*0.475*44/12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64.945832247978572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projet'!$B$18,Paramètres!$A$1:$I$88,3,0)*0.475*44/12</f>
        <v>#N/A</v>
      </c>
      <c r="HH31" s="23" t="e">
        <f>EXP(-LN(2)/25)*HH30+(1-EXP(-LN(2)/25))/(LN(2)/25)*Calculateur!HC31*Calculateur!HE31*VLOOKUP('Données projet'!$B$18,Paramètres!$A$1:$I$88,3,0)*0.475*44/12</f>
        <v>#N/A</v>
      </c>
      <c r="HI31" s="23" t="e">
        <f>EXP(-LN(2)/2)*HI30+(1-EXP(-LN(2)/2))/(LN(2)/2)*HC31*HF31*VLOOKUP('Données projet'!$B$18,Paramètres!$A$1:$I$88,3,0)*0.475*44/12</f>
        <v>#N/A</v>
      </c>
      <c r="HJ31" s="24" t="e">
        <f t="shared" si="30"/>
        <v>#N/A</v>
      </c>
    </row>
    <row r="32" spans="1:218" s="5" customFormat="1" x14ac:dyDescent="0.2">
      <c r="A32" s="11">
        <f t="shared" si="31"/>
        <v>29</v>
      </c>
      <c r="B32" s="77">
        <f>'Scénario référence'!$B$16*5+'Scénario référence'!$B$17*0+'Scénario référence'!$B$18*5</f>
        <v>1.6500000000000001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6.0500000000000007</v>
      </c>
      <c r="H32" s="70">
        <f t="shared" si="1"/>
        <v>232.4666666666667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65.033510759049832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26.6</v>
      </c>
      <c r="N32" s="14">
        <f>IF('Données projet'!$A$36&gt;35,N31+M32-V31,IF(A32&lt;'Données projet'!$A$36,$K$205^A32,IF(A32='Données projet'!$A$36,'Données projet'!$B$36,N31+M32-V31)))</f>
        <v>317.40000000000009</v>
      </c>
      <c r="O32" s="14">
        <f>N32*VLOOKUP('Données projet'!$B$9,Paramètres!$A$1:$I$88,3,0)*VLOOKUP('Données projet'!$B$9,Paramètres!$A$1:$I$88,5,0)</f>
        <v>189.80520000000007</v>
      </c>
      <c r="P32" s="14">
        <f t="shared" si="33"/>
        <v>47.496882766206909</v>
      </c>
      <c r="Q32" s="22">
        <f t="shared" si="2"/>
        <v>413.30112748447715</v>
      </c>
      <c r="R32" s="62">
        <f t="shared" si="0"/>
        <v>687.20177804543766</v>
      </c>
      <c r="S32" s="62">
        <f ca="1">AVERAGE(OFFSET($R$3,0,0,'Données projet'!$E$9+1,1))-AVERAGE(OFFSET($H$3,0,0,'Données projet'!$E$9+1,1))</f>
        <v>354.71367224254021</v>
      </c>
      <c r="T32" s="62">
        <f t="shared" si="34"/>
        <v>490.074370133397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0</v>
      </c>
      <c r="AA32" s="23">
        <f>EXP(-LN(2)/25)*AA31+(1-EXP(-LN(2)/25))/(LN(2)/25)*Calculateur!V32*Calculateur!X32*VLOOKUP('Données projet'!$B$9,Paramètres!$A$1:$I$88,3,0)*0.475*44/12</f>
        <v>26.171969941094691</v>
      </c>
      <c r="AB32" s="23">
        <f>EXP(-LN(2)/2)*AB31+(1-EXP(-LN(2)/2))/(LN(2)/2)*V32*Y32*VLOOKUP('Données projet'!$B$9,Paramètres!$A$1:$I$88,3,0)*0.475*44/12</f>
        <v>6.1839743888231009</v>
      </c>
      <c r="AC32" s="24">
        <f t="shared" si="3"/>
        <v>32.35594432991779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65.033510759049832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20.399999999999999</v>
      </c>
      <c r="AI32" s="14">
        <f>IF('Données projet'!$A$62&gt;35,AI31+AH32-AQ31,IF(A32&lt;'Données projet'!$A$62,$AF$205^A32,IF(A32='Données projet'!$A$62,'Données projet'!$B$62,AI31+AH32-AQ31)))</f>
        <v>238.60000000000011</v>
      </c>
      <c r="AJ32" s="14">
        <f>AI32*VLOOKUP('Données projet'!$B$10,Paramètres!$A$1:$I$88,3,0)*VLOOKUP('Données projet'!$B$10,Paramètres!$A$1:$I$88,5,0)</f>
        <v>142.68280000000007</v>
      </c>
      <c r="AK32" s="14">
        <f t="shared" si="35"/>
        <v>36.910916699993791</v>
      </c>
      <c r="AL32" s="22">
        <f t="shared" si="4"/>
        <v>312.79238991915594</v>
      </c>
      <c r="AM32" s="62">
        <f t="shared" si="5"/>
        <v>586.69304048011645</v>
      </c>
      <c r="AN32" s="62">
        <f ca="1">AVERAGE(OFFSET($AM$3,0,0,'Données projet'!$E$10+1,1))-AVERAGE(OFFSET($H$3,0,0,'Données projet'!$E$10+1,1))</f>
        <v>264.73276096087574</v>
      </c>
      <c r="AO32" s="62">
        <f t="shared" si="36"/>
        <v>381.84464918049662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projet'!$B$10,Paramètres!$A$1:$I$88,3,0)*0.475*44/12</f>
        <v>0</v>
      </c>
      <c r="AV32" s="23">
        <f>EXP(-LN(2)/25)*AV31+(1-EXP(-LN(2)/25))/(LN(2)/25)*Calculateur!AQ32*Calculateur!AS32*VLOOKUP('Données projet'!$B$10,Paramètres!$A$1:$I$88,3,0)*0.475*44/12</f>
        <v>18.225834089531926</v>
      </c>
      <c r="AW32" s="23">
        <f>EXP(-LN(2)/2)*AW31+(1-EXP(-LN(2)/2))/(LN(2)/2)*AQ32*AT32*VLOOKUP('Données projet'!$B$10,Paramètres!$A$1:$I$88,3,0)*0.475*44/12</f>
        <v>4.3271528606645484</v>
      </c>
      <c r="AX32" s="23">
        <f t="shared" si="6"/>
        <v>22.552986950196473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65.033510759049832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90</v>
      </c>
      <c r="BE32" s="14">
        <f>BD32*VLOOKUP('Données projet'!$B$11,Paramètres!$A$1:$I$88,3,0)*VLOOKUP('Données projet'!$B$11,Paramètres!$A$1:$I$88,5,0)</f>
        <v>102.492</v>
      </c>
      <c r="BF32" s="14">
        <f t="shared" si="37"/>
        <v>27.554829018858843</v>
      </c>
      <c r="BG32" s="22">
        <f t="shared" si="7"/>
        <v>226.49822720784584</v>
      </c>
      <c r="BH32" s="62">
        <f t="shared" si="8"/>
        <v>500.39887776880636</v>
      </c>
      <c r="BI32" s="62">
        <f ca="1">AVERAGE(OFFSET($BH$3,0,0,'Données projet'!$E$11+1,1))-AVERAGE(OFFSET($H$3,0,0,'Données projet'!$E$11+1,1))</f>
        <v>470.57532875732056</v>
      </c>
      <c r="BJ32" s="62">
        <f t="shared" si="38"/>
        <v>286.63787681165888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projet'!$B$11,Paramètres!$A$1:$I$88,3,0)*0.475*44/12</f>
        <v>0</v>
      </c>
      <c r="BQ32" s="23">
        <f>EXP(-LN(2)/25)*BQ31+(1-EXP(-LN(2)/25))/(LN(2)/25)*Calculateur!BL32*Calculateur!BN32*VLOOKUP('Données projet'!$B$11,Paramètres!$A$1:$I$88,3,0)*0.475*44/12</f>
        <v>0</v>
      </c>
      <c r="BR32" s="23">
        <f>EXP(-LN(2)/2)*BR31+(1-EXP(-LN(2)/2))/(LN(2)/2)*BL32*BO32*VLOOKUP('Données projet'!$B$11,Paramètres!$A$1:$I$88,3,0)*0.475*44/12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65.033510759049832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14.2</v>
      </c>
      <c r="BY32" s="13">
        <f>IF('Données projet'!$A$114&gt;35,BY31+BX32-CG31,IF(A32&lt;'Données projet'!$A$114,$BV$205^A32,IF(A32='Données projet'!$A$114,'Données projet'!$B$114,BY31+BX32-CG31)))</f>
        <v>162.79999999999993</v>
      </c>
      <c r="BZ32" s="14">
        <f>BY32*VLOOKUP('Données projet'!$B$12,Paramètres!$A$1:$I$88,3,0)*VLOOKUP('Données projet'!$B$12,Paramètres!$A$1:$I$88,5,0)</f>
        <v>106.66655999999995</v>
      </c>
      <c r="CA32" s="14">
        <f t="shared" si="39"/>
        <v>28.544199055651799</v>
      </c>
      <c r="CB32" s="22">
        <f t="shared" si="10"/>
        <v>235.49207202192679</v>
      </c>
      <c r="CC32" s="62">
        <f t="shared" si="11"/>
        <v>509.3927225828873</v>
      </c>
      <c r="CD32" s="62">
        <f ca="1">AVERAGE(OFFSET($CC$3,0,0,'Données projet'!$E$12+1,1))-AVERAGE(OFFSET($H$3,0,0,'Données projet'!$E$12+1,1))</f>
        <v>305.38855494899906</v>
      </c>
      <c r="CE32" s="62">
        <f t="shared" si="40"/>
        <v>298.48106301229177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projet'!$B$12,Paramètres!$A$1:$I$88,3,0)*0.475*44/12</f>
        <v>0</v>
      </c>
      <c r="CL32" s="23">
        <f>EXP(-LN(2)/25)*CL31+(1-EXP(-LN(2)/25))/(LN(2)/25)*Calculateur!CG32*Calculateur!CI32*VLOOKUP('Données projet'!$B$12,Paramètres!$A$1:$I$88,3,0)*0.475*44/12</f>
        <v>0</v>
      </c>
      <c r="CM32" s="23">
        <f>EXP(-LN(2)/2)*CM31+(1-EXP(-LN(2)/2))/(LN(2)/2)*CG32*CJ32*VLOOKUP('Données projet'!$B$12,Paramètres!$A$1:$I$88,3,0)*0.475*44/12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65.033510759049832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14.2</v>
      </c>
      <c r="CT32" s="13">
        <f>IF('Données projet'!$A$140&gt;35,CT31+CS32-DB31,IF(A32&lt;'Données projet'!$A$140,$CQ$205^A32,IF(A32='Données projet'!$A$140,'Données projet'!$B$140,CT31+CS32-DB31)))</f>
        <v>162.79999999999993</v>
      </c>
      <c r="CU32" s="18">
        <f>CT32*VLOOKUP('Données projet'!$B$13,Paramètres!$A$1:$I$88,3,0)*VLOOKUP('Données projet'!$B$13,Paramètres!$A$1:$I$88,5,0)</f>
        <v>129.52367999999996</v>
      </c>
      <c r="CV32" s="14">
        <f t="shared" si="41"/>
        <v>33.886272262901727</v>
      </c>
      <c r="CW32" s="22">
        <f t="shared" si="13"/>
        <v>284.60566685788712</v>
      </c>
      <c r="CX32" s="62">
        <f t="shared" si="14"/>
        <v>558.50631741884763</v>
      </c>
      <c r="CY32" s="62">
        <f ca="1">AVERAGE(OFFSET($CX$3,0,0,'Données projet'!$E$13+1,1))-AVERAGE(OFFSET($H$3,0,0,'Données projet'!$E$13+1,1))</f>
        <v>361.30066984973894</v>
      </c>
      <c r="CZ32" s="62">
        <f t="shared" si="42"/>
        <v>351.78053157121622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projet'!$B$13,Paramètres!$A$1:$I$88,3,0)*0.475*44/12</f>
        <v>0</v>
      </c>
      <c r="DG32" s="23">
        <f>EXP(-LN(2)/25)*DG31+(1-EXP(-LN(2)/25))/(LN(2)/25)*Calculateur!DB32*Calculateur!DD32*VLOOKUP('Données projet'!$B$13,Paramètres!$A$1:$I$88,3,0)*0.475*44/12</f>
        <v>0</v>
      </c>
      <c r="DH32" s="23">
        <f>EXP(-LN(2)/2)*DH31+(1-EXP(-LN(2)/2))/(LN(2)/2)*DB32*DE32*VLOOKUP('Données projet'!$B$13,Paramètres!$A$1:$I$88,3,0)*0.475*44/12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65.033510759049832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>
        <f>DO32*VLOOKUP('Données projet'!$B$14,Paramètres!$A$1:$I$88,3,0)*VLOOKUP('Données projet'!$B$14,Paramètres!$A$1:$I$88,5,0)</f>
        <v>0</v>
      </c>
      <c r="DQ32" s="14" t="e">
        <f t="shared" si="43"/>
        <v>#NUM!</v>
      </c>
      <c r="DR32" s="22" t="e">
        <f t="shared" si="16"/>
        <v>#NUM!</v>
      </c>
      <c r="DS32" s="62" t="e">
        <f t="shared" si="17"/>
        <v>#NUM!</v>
      </c>
      <c r="DT32" s="62">
        <f ca="1">AVERAGE(OFFSET($DS$3,0,0,'Données projet'!$E$14+1,1))-AVERAGE(OFFSET($H$3,0,0,'Données projet'!$E$14+1,1))</f>
        <v>91.201152634762423</v>
      </c>
      <c r="DU32" s="62">
        <f t="shared" si="44"/>
        <v>233.36981992862445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projet'!$B$14,Paramètres!$A$1:$I$88,3,0)*0.475*44/12</f>
        <v>42.286043494094933</v>
      </c>
      <c r="EB32" s="23">
        <f>EXP(-LN(2)/25)*EB31+(1-EXP(-LN(2)/25))/(LN(2)/25)*Calculateur!DW32*Calculateur!DY32*VLOOKUP('Données projet'!$B$14,Paramètres!$A$1:$I$88,3,0)*0.475*44/12</f>
        <v>0</v>
      </c>
      <c r="EC32" s="23">
        <f>EXP(-LN(2)/2)*EC31+(1-EXP(-LN(2)/2))/(LN(2)/2)*DW32*DZ32*VLOOKUP('Données projet'!$B$14,Paramètres!$A$1:$I$88,3,0)*0.475*44/12</f>
        <v>0</v>
      </c>
      <c r="ED32" s="24">
        <f t="shared" si="18"/>
        <v>42.286043494094933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65.033510759049832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projet'!$B$15,Paramètres!$A$1:$I$88,3,0)*0.475*44/12</f>
        <v>#N/A</v>
      </c>
      <c r="EW32" s="23" t="e">
        <f>EXP(-LN(2)/25)*EW31+(1-EXP(-LN(2)/25))/(LN(2)/25)*Calculateur!ER32*Calculateur!ET32*VLOOKUP('Données projet'!$B$15,Paramètres!$A$1:$I$88,3,0)*0.475*44/12</f>
        <v>#N/A</v>
      </c>
      <c r="EX32" s="23" t="e">
        <f>EXP(-LN(2)/2)*EX31+(1-EXP(-LN(2)/2))/(LN(2)/2)*ER32*EU32*VLOOKUP('Données projet'!$B$15,Paramètres!$A$1:$I$88,3,0)*0.475*44/12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65.033510759049832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projet'!$B$16,Paramètres!$A$1:$I$88,3,0)*0.475*44/12</f>
        <v>#N/A</v>
      </c>
      <c r="FR32" s="23" t="e">
        <f>EXP(-LN(2)/25)*FR31+(1-EXP(-LN(2)/25))/(LN(2)/25)*Calculateur!FM32*Calculateur!FO32*VLOOKUP('Données projet'!$B$16,Paramètres!$A$1:$I$88,3,0)*0.475*44/12</f>
        <v>#N/A</v>
      </c>
      <c r="FS32" s="23" t="e">
        <f>EXP(-LN(2)/2)*FS31+(1-EXP(-LN(2)/2))/(LN(2)/2)*FM32*FP32*VLOOKUP('Données projet'!$B$16,Paramètres!$A$1:$I$88,3,0)*0.475*44/12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65.033510759049832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projet'!$B$17,Paramètres!$A$1:$I$88,3,0)*0.475*44/12</f>
        <v>#N/A</v>
      </c>
      <c r="GM32" s="23" t="e">
        <f>EXP(-LN(2)/25)*GM31+(1-EXP(-LN(2)/25))/(LN(2)/25)*Calculateur!GH32*Calculateur!GJ32*VLOOKUP('Données projet'!$B$17,Paramètres!$A$1:$I$88,3,0)*0.475*44/12</f>
        <v>#N/A</v>
      </c>
      <c r="GN32" s="23" t="e">
        <f>EXP(-LN(2)/2)*GN31+(1-EXP(-LN(2)/2))/(LN(2)/2)*GH32*GK32*VLOOKUP('Données projet'!$B$17,Paramètres!$A$1:$I$88,3,0)*0.475*44/12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65.033510759049832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projet'!$B$18,Paramètres!$A$1:$I$88,3,0)*0.475*44/12</f>
        <v>#N/A</v>
      </c>
      <c r="HH32" s="23" t="e">
        <f>EXP(-LN(2)/25)*HH31+(1-EXP(-LN(2)/25))/(LN(2)/25)*Calculateur!HC32*Calculateur!HE32*VLOOKUP('Données projet'!$B$18,Paramètres!$A$1:$I$88,3,0)*0.475*44/12</f>
        <v>#N/A</v>
      </c>
      <c r="HI32" s="23" t="e">
        <f>EXP(-LN(2)/2)*HI31+(1-EXP(-LN(2)/2))/(LN(2)/2)*HC32*HF32*VLOOKUP('Données projet'!$B$18,Paramètres!$A$1:$I$88,3,0)*0.475*44/12</f>
        <v>#N/A</v>
      </c>
      <c r="HJ32" s="24" t="e">
        <f t="shared" si="30"/>
        <v>#N/A</v>
      </c>
    </row>
    <row r="33" spans="1:218" s="5" customFormat="1" x14ac:dyDescent="0.2">
      <c r="A33" s="11">
        <f t="shared" si="31"/>
        <v>30</v>
      </c>
      <c r="B33" s="77">
        <f>'Scénario référence'!$B$16*5+'Scénario référence'!$B$17*0+'Scénario référence'!$B$18*5</f>
        <v>1.6500000000000001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6.0500000000000007</v>
      </c>
      <c r="H33" s="70">
        <f t="shared" si="1"/>
        <v>232.4666666666667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65.119668243973791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344</v>
      </c>
      <c r="L33" s="13">
        <f>VLOOKUP(A33,'Données projet'!$A$35:$I$55,9,0)</f>
        <v>26.6</v>
      </c>
      <c r="M33" s="13">
        <f t="array" ref="M33">INDEX(L:L,MIN(IF(ISNUMBER(L33:L229),ROW(L33:L229),"")))</f>
        <v>26.6</v>
      </c>
      <c r="N33" s="14">
        <f>IF('Données projet'!$A$36&gt;35,N32+M33-V32,IF(A33&lt;'Données projet'!$A$36,$K$205^A33,IF(A33='Données projet'!$A$36,'Données projet'!$B$36,N32+M33-V32)))</f>
        <v>344.00000000000011</v>
      </c>
      <c r="O33" s="14">
        <f>N33*VLOOKUP('Données projet'!$B$9,Paramètres!$A$1:$I$88,3,0)*VLOOKUP('Données projet'!$B$9,Paramètres!$A$1:$I$88,5,0)</f>
        <v>205.7120000000001</v>
      </c>
      <c r="P33" s="14">
        <f t="shared" si="33"/>
        <v>50.997427696933762</v>
      </c>
      <c r="Q33" s="22">
        <f t="shared" si="2"/>
        <v>447.10225323882645</v>
      </c>
      <c r="R33" s="62">
        <f t="shared" si="0"/>
        <v>722.54103680006369</v>
      </c>
      <c r="S33" s="62">
        <f ca="1">AVERAGE(OFFSET($R$3,0,0,'Données projet'!$E$9+1,1))-AVERAGE(OFFSET($H$3,0,0,'Données projet'!$E$9+1,1))</f>
        <v>354.71367224254021</v>
      </c>
      <c r="T33" s="62">
        <f t="shared" si="34"/>
        <v>490.074370133397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70</v>
      </c>
      <c r="W33" s="17">
        <f>IF(ISNA(VLOOKUP(A33,'Données projet'!$A$35:$I$55,5,0)),0%,VLOOKUP(A33,'Données projet'!$A$35:$I$55,5,0)*VLOOKUP('Données projet'!$B$9,Paramètres!$A$1:$I$88,7,0))</f>
        <v>0</v>
      </c>
      <c r="X33" s="17">
        <f>IF(ISNA(VLOOKUP(A33,'Données projet'!$A$35:$I$55,6,0)),0%,VLOOKUP(A33,'Données projet'!$A$35:$I$55,6,0)*VLOOKUP('Données projet'!$B$9,Paramètres!$A$1:$I$88,7,0))</f>
        <v>0.25200000000000006</v>
      </c>
      <c r="Y33" s="17">
        <f>IF(ISNA(VLOOKUP(A33,'Données projet'!$A$35:$I$55,7,0)),0%,VLOOKUP(A33,'Données projet'!$A$35:$I$55,7,0))</f>
        <v>0.44</v>
      </c>
      <c r="Z33" s="23">
        <f>EXP(-LN(2)/35)*Z32+(1-EXP(-LN(2)/35))/(LN(2)/35)*V33*W33*VLOOKUP('Données projet'!$B$9,Paramètres!$A$1:$I$88,3,0)*0.475*44/12</f>
        <v>0</v>
      </c>
      <c r="AA33" s="23">
        <f>EXP(-LN(2)/25)*AA32+(1-EXP(-LN(2)/25))/(LN(2)/25)*Calculateur!V33*Calculateur!X33*VLOOKUP('Données projet'!$B$9,Paramètres!$A$1:$I$88,3,0)*0.475*44/12</f>
        <v>39.394755083233939</v>
      </c>
      <c r="AB33" s="23">
        <f>EXP(-LN(2)/2)*AB32+(1-EXP(-LN(2)/2))/(LN(2)/2)*V33*Y33*VLOOKUP('Données projet'!$B$9,Paramètres!$A$1:$I$88,3,0)*0.475*44/12</f>
        <v>25.226637573782206</v>
      </c>
      <c r="AC33" s="24">
        <f t="shared" si="3"/>
        <v>64.621392657016145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65.119668243973791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259</v>
      </c>
      <c r="AG33" s="13">
        <f>VLOOKUP(A33,'Données projet'!$A$61:$I$81,9,0)</f>
        <v>20.399999999999999</v>
      </c>
      <c r="AH33" s="13">
        <f t="array" ref="AH33">INDEX(AG:AG,MIN(IF(ISNUMBER(AG33:AG229),ROW(AG33:AG229),"")))</f>
        <v>20.399999999999999</v>
      </c>
      <c r="AI33" s="14">
        <f>IF('Données projet'!$A$62&gt;35,AI32+AH33-AQ32,IF(A33&lt;'Données projet'!$A$62,$AF$205^A33,IF(A33='Données projet'!$A$62,'Données projet'!$B$62,AI32+AH33-AQ32)))</f>
        <v>259.00000000000011</v>
      </c>
      <c r="AJ33" s="14">
        <f>AI33*VLOOKUP('Données projet'!$B$10,Paramètres!$A$1:$I$88,3,0)*VLOOKUP('Données projet'!$B$10,Paramètres!$A$1:$I$88,5,0)</f>
        <v>154.88200000000009</v>
      </c>
      <c r="AK33" s="14">
        <f t="shared" si="35"/>
        <v>39.685961121105834</v>
      </c>
      <c r="AL33" s="22">
        <f t="shared" si="4"/>
        <v>338.87253228592613</v>
      </c>
      <c r="AM33" s="62">
        <f t="shared" si="5"/>
        <v>614.31131584716331</v>
      </c>
      <c r="AN33" s="62">
        <f ca="1">AVERAGE(OFFSET($AM$3,0,0,'Données projet'!$E$10+1,1))-AVERAGE(OFFSET($H$3,0,0,'Données projet'!$E$10+1,1))</f>
        <v>264.73276096087574</v>
      </c>
      <c r="AO33" s="62">
        <f t="shared" si="36"/>
        <v>381.84464918049662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49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0.25200000000000006</v>
      </c>
      <c r="AT33" s="17">
        <f>IF(ISNA(VLOOKUP(A33,'Données projet'!$A$61:$I$81,7,0)),0%,VLOOKUP(A33,'Données projet'!$A$61:$I$81,7,0))</f>
        <v>0.44</v>
      </c>
      <c r="AU33" s="23">
        <f>EXP(-LN(2)/35)*AU32+(1-EXP(-LN(2)/35))/(LN(2)/35)*AQ33*AR33*VLOOKUP('Données projet'!$B$10,Paramètres!$A$1:$I$88,3,0)*0.475*44/12</f>
        <v>0</v>
      </c>
      <c r="AV33" s="23">
        <f>EXP(-LN(2)/25)*AV32+(1-EXP(-LN(2)/25))/(LN(2)/25)*Calculateur!AQ33*Calculateur!AS33*VLOOKUP('Données projet'!$B$10,Paramètres!$A$1:$I$88,3,0)*0.475*44/12</f>
        <v>27.484369023450512</v>
      </c>
      <c r="AW33" s="23">
        <f>EXP(-LN(2)/2)*AW32+(1-EXP(-LN(2)/2))/(LN(2)/2)*AQ33*AT33*VLOOKUP('Données projet'!$B$10,Paramètres!$A$1:$I$88,3,0)*0.475*44/12</f>
        <v>17.65749427513969</v>
      </c>
      <c r="AX33" s="23">
        <f t="shared" si="6"/>
        <v>45.141863298590202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65.119668243973791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97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97</v>
      </c>
      <c r="BE33" s="14">
        <f>BD33*VLOOKUP('Données projet'!$B$11,Paramètres!$A$1:$I$88,3,0)*VLOOKUP('Données projet'!$B$11,Paramètres!$A$1:$I$88,5,0)</f>
        <v>110.46360000000001</v>
      </c>
      <c r="BF33" s="14">
        <f t="shared" si="37"/>
        <v>29.440185598328203</v>
      </c>
      <c r="BG33" s="22">
        <f t="shared" si="7"/>
        <v>243.66575991708831</v>
      </c>
      <c r="BH33" s="62">
        <f t="shared" si="8"/>
        <v>519.10454347832558</v>
      </c>
      <c r="BI33" s="62">
        <f ca="1">AVERAGE(OFFSET($BH$3,0,0,'Données projet'!$E$11+1,1))-AVERAGE(OFFSET($H$3,0,0,'Données projet'!$E$11+1,1))</f>
        <v>470.57532875732056</v>
      </c>
      <c r="BJ33" s="62">
        <f t="shared" si="38"/>
        <v>286.63787681165888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21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projet'!$B$11,Paramètres!$A$1:$I$88,3,0)*0.475*44/12</f>
        <v>0</v>
      </c>
      <c r="BQ33" s="23">
        <f>EXP(-LN(2)/25)*BQ32+(1-EXP(-LN(2)/25))/(LN(2)/25)*Calculateur!BL33*Calculateur!BN33*VLOOKUP('Données projet'!$B$11,Paramètres!$A$1:$I$88,3,0)*0.475*44/12</f>
        <v>0</v>
      </c>
      <c r="BR33" s="23">
        <f>EXP(-LN(2)/2)*BR32+(1-EXP(-LN(2)/2))/(LN(2)/2)*BL33*BO33*VLOOKUP('Données projet'!$B$11,Paramètres!$A$1:$I$88,3,0)*0.475*44/12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65.119668243973791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177</v>
      </c>
      <c r="BW33" s="13">
        <f>VLOOKUP(A33,'Données projet'!$A$113:$I$133,9,0)</f>
        <v>14.2</v>
      </c>
      <c r="BX33" s="13">
        <f t="array" ref="BX33">INDEX(BW:BW,MIN(IF(ISNUMBER(BW33:BW229),ROW(BW33:BW229),"")))</f>
        <v>14.2</v>
      </c>
      <c r="BY33" s="13">
        <f>IF('Données projet'!$A$114&gt;35,BY32+BX33-CG32,IF(A33&lt;'Données projet'!$A$114,$BV$205^A33,IF(A33='Données projet'!$A$114,'Données projet'!$B$114,BY32+BX33-CG32)))</f>
        <v>176.99999999999991</v>
      </c>
      <c r="BZ33" s="14">
        <f>BY33*VLOOKUP('Données projet'!$B$12,Paramètres!$A$1:$I$88,3,0)*VLOOKUP('Données projet'!$B$12,Paramètres!$A$1:$I$88,5,0)</f>
        <v>115.97039999999994</v>
      </c>
      <c r="CA33" s="14">
        <f t="shared" si="39"/>
        <v>30.733301120222766</v>
      </c>
      <c r="CB33" s="22">
        <f t="shared" si="10"/>
        <v>255.50894611772119</v>
      </c>
      <c r="CC33" s="62">
        <f t="shared" si="11"/>
        <v>530.94772967895847</v>
      </c>
      <c r="CD33" s="62">
        <f ca="1">AVERAGE(OFFSET($CC$3,0,0,'Données projet'!$E$12+1,1))-AVERAGE(OFFSET($H$3,0,0,'Données projet'!$E$12+1,1))</f>
        <v>305.38855494899906</v>
      </c>
      <c r="CE33" s="62">
        <f t="shared" si="40"/>
        <v>298.48106301229177</v>
      </c>
      <c r="CF33" s="16">
        <f>IF(ISNA(VLOOKUP(A33,'Données projet'!$A$113:$I$133,3,0)),0,VLOOKUP(A33,'Données projet'!$A$113:$I$133,3,0))</f>
        <v>5</v>
      </c>
      <c r="CG33" s="16">
        <f>IF(ISNA(VLOOKUP(A33,'Données projet'!$A$113:$I$133,4,0)),0,VLOOKUP(A33,'Données projet'!$A$113:$I$133,4,0))</f>
        <v>35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projet'!$B$12,Paramètres!$A$1:$I$88,3,0)*0.475*44/12</f>
        <v>0</v>
      </c>
      <c r="CL33" s="23">
        <f>EXP(-LN(2)/25)*CL32+(1-EXP(-LN(2)/25))/(LN(2)/25)*Calculateur!CG33*Calculateur!CI33*VLOOKUP('Données projet'!$B$12,Paramètres!$A$1:$I$88,3,0)*0.475*44/12</f>
        <v>0</v>
      </c>
      <c r="CM33" s="23">
        <f>EXP(-LN(2)/2)*CM32+(1-EXP(-LN(2)/2))/(LN(2)/2)*CG33*CJ33*VLOOKUP('Données projet'!$B$12,Paramètres!$A$1:$I$88,3,0)*0.475*44/12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65.119668243973791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177</v>
      </c>
      <c r="CR33" s="13">
        <f>VLOOKUP(A33,'Données projet'!$A$139:$I$159,9,0)</f>
        <v>14.2</v>
      </c>
      <c r="CS33" s="13">
        <f t="array" ref="CS33">INDEX(CR:CR,MIN(IF(ISNUMBER(CR33:CR229),ROW(CR33:CR229),"")))</f>
        <v>14.2</v>
      </c>
      <c r="CT33" s="13">
        <f>IF('Données projet'!$A$140&gt;35,CT32+CS33-DB32,IF(A33&lt;'Données projet'!$A$140,$CQ$205^A33,IF(A33='Données projet'!$A$140,'Données projet'!$B$140,CT32+CS33-DB32)))</f>
        <v>176.99999999999991</v>
      </c>
      <c r="CU33" s="18">
        <f>CT33*VLOOKUP('Données projet'!$B$13,Paramètres!$A$1:$I$88,3,0)*VLOOKUP('Données projet'!$B$13,Paramètres!$A$1:$I$88,5,0)</f>
        <v>140.82119999999992</v>
      </c>
      <c r="CV33" s="14">
        <f t="shared" si="41"/>
        <v>36.485066799987997</v>
      </c>
      <c r="CW33" s="22">
        <f t="shared" si="13"/>
        <v>308.80841467664561</v>
      </c>
      <c r="CX33" s="62">
        <f t="shared" si="14"/>
        <v>584.24719823788291</v>
      </c>
      <c r="CY33" s="62">
        <f ca="1">AVERAGE(OFFSET($CX$3,0,0,'Données projet'!$E$13+1,1))-AVERAGE(OFFSET($H$3,0,0,'Données projet'!$E$13+1,1))</f>
        <v>361.30066984973894</v>
      </c>
      <c r="CZ33" s="62">
        <f t="shared" si="42"/>
        <v>351.78053157121622</v>
      </c>
      <c r="DA33" s="16">
        <f>IF(ISNA(VLOOKUP(A33,'Données projet'!$A$139:$I$159,3,0)),0,VLOOKUP(A33,'Données projet'!$A$139:$I$159,3,0))</f>
        <v>5</v>
      </c>
      <c r="DB33" s="16">
        <f>IF(ISNA(VLOOKUP(A33,'Données projet'!$A$139:$I$159,4,0)),0,VLOOKUP(A33,'Données projet'!$A$139:$I$159,4,0))</f>
        <v>35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projet'!$B$13,Paramètres!$A$1:$I$88,3,0)*0.475*44/12</f>
        <v>0</v>
      </c>
      <c r="DG33" s="23">
        <f>EXP(-LN(2)/25)*DG32+(1-EXP(-LN(2)/25))/(LN(2)/25)*Calculateur!DB33*Calculateur!DD33*VLOOKUP('Données projet'!$B$13,Paramètres!$A$1:$I$88,3,0)*0.475*44/12</f>
        <v>0</v>
      </c>
      <c r="DH33" s="23">
        <f>EXP(-LN(2)/2)*DH32+(1-EXP(-LN(2)/2))/(LN(2)/2)*DB33*DE33*VLOOKUP('Données projet'!$B$13,Paramètres!$A$1:$I$88,3,0)*0.475*44/12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65.119668243973791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>
        <f>DO33*VLOOKUP('Données projet'!$B$14,Paramètres!$A$1:$I$88,3,0)*VLOOKUP('Données projet'!$B$14,Paramètres!$A$1:$I$88,5,0)</f>
        <v>0</v>
      </c>
      <c r="DQ33" s="14" t="e">
        <f t="shared" si="43"/>
        <v>#NUM!</v>
      </c>
      <c r="DR33" s="22" t="e">
        <f t="shared" si="16"/>
        <v>#NUM!</v>
      </c>
      <c r="DS33" s="62" t="e">
        <f t="shared" si="17"/>
        <v>#NUM!</v>
      </c>
      <c r="DT33" s="62">
        <f ca="1">AVERAGE(OFFSET($DS$3,0,0,'Données projet'!$E$14+1,1))-AVERAGE(OFFSET($H$3,0,0,'Données projet'!$E$14+1,1))</f>
        <v>91.201152634762423</v>
      </c>
      <c r="DU33" s="62">
        <f t="shared" si="44"/>
        <v>233.36981992862445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projet'!$B$14,Paramètres!$A$1:$I$88,3,0)*0.475*44/12</f>
        <v>41.456839973115521</v>
      </c>
      <c r="EB33" s="23">
        <f>EXP(-LN(2)/25)*EB32+(1-EXP(-LN(2)/25))/(LN(2)/25)*Calculateur!DW33*Calculateur!DY33*VLOOKUP('Données projet'!$B$14,Paramètres!$A$1:$I$88,3,0)*0.475*44/12</f>
        <v>0</v>
      </c>
      <c r="EC33" s="23">
        <f>EXP(-LN(2)/2)*EC32+(1-EXP(-LN(2)/2))/(LN(2)/2)*DW33*DZ33*VLOOKUP('Données projet'!$B$14,Paramètres!$A$1:$I$88,3,0)*0.475*44/12</f>
        <v>0</v>
      </c>
      <c r="ED33" s="24">
        <f t="shared" si="18"/>
        <v>41.456839973115521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65.119668243973791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projet'!$B$15,Paramètres!$A$1:$I$88,3,0)*0.475*44/12</f>
        <v>#N/A</v>
      </c>
      <c r="EW33" s="23" t="e">
        <f>EXP(-LN(2)/25)*EW32+(1-EXP(-LN(2)/25))/(LN(2)/25)*Calculateur!ER33*Calculateur!ET33*VLOOKUP('Données projet'!$B$15,Paramètres!$A$1:$I$88,3,0)*0.475*44/12</f>
        <v>#N/A</v>
      </c>
      <c r="EX33" s="23" t="e">
        <f>EXP(-LN(2)/2)*EX32+(1-EXP(-LN(2)/2))/(LN(2)/2)*ER33*EU33*VLOOKUP('Données projet'!$B$15,Paramètres!$A$1:$I$88,3,0)*0.475*44/12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65.119668243973791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projet'!$B$16,Paramètres!$A$1:$I$88,3,0)*0.475*44/12</f>
        <v>#N/A</v>
      </c>
      <c r="FR33" s="23" t="e">
        <f>EXP(-LN(2)/25)*FR32+(1-EXP(-LN(2)/25))/(LN(2)/25)*Calculateur!FM33*Calculateur!FO33*VLOOKUP('Données projet'!$B$16,Paramètres!$A$1:$I$88,3,0)*0.475*44/12</f>
        <v>#N/A</v>
      </c>
      <c r="FS33" s="23" t="e">
        <f>EXP(-LN(2)/2)*FS32+(1-EXP(-LN(2)/2))/(LN(2)/2)*FM33*FP33*VLOOKUP('Données projet'!$B$16,Paramètres!$A$1:$I$88,3,0)*0.475*44/12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65.119668243973791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projet'!$B$17,Paramètres!$A$1:$I$88,3,0)*0.475*44/12</f>
        <v>#N/A</v>
      </c>
      <c r="GM33" s="23" t="e">
        <f>EXP(-LN(2)/25)*GM32+(1-EXP(-LN(2)/25))/(LN(2)/25)*Calculateur!GH33*Calculateur!GJ33*VLOOKUP('Données projet'!$B$17,Paramètres!$A$1:$I$88,3,0)*0.475*44/12</f>
        <v>#N/A</v>
      </c>
      <c r="GN33" s="23" t="e">
        <f>EXP(-LN(2)/2)*GN32+(1-EXP(-LN(2)/2))/(LN(2)/2)*GH33*GK33*VLOOKUP('Données projet'!$B$17,Paramètres!$A$1:$I$88,3,0)*0.475*44/12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65.119668243973791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projet'!$B$18,Paramètres!$A$1:$I$88,3,0)*0.475*44/12</f>
        <v>#N/A</v>
      </c>
      <c r="HH33" s="23" t="e">
        <f>EXP(-LN(2)/25)*HH32+(1-EXP(-LN(2)/25))/(LN(2)/25)*Calculateur!HC33*Calculateur!HE33*VLOOKUP('Données projet'!$B$18,Paramètres!$A$1:$I$88,3,0)*0.475*44/12</f>
        <v>#N/A</v>
      </c>
      <c r="HI33" s="23" t="e">
        <f>EXP(-LN(2)/2)*HI32+(1-EXP(-LN(2)/2))/(LN(2)/2)*HC33*HF33*VLOOKUP('Données projet'!$B$18,Paramètres!$A$1:$I$88,3,0)*0.475*44/12</f>
        <v>#N/A</v>
      </c>
      <c r="HJ33" s="24" t="e">
        <f t="shared" si="30"/>
        <v>#N/A</v>
      </c>
    </row>
    <row r="34" spans="1:218" s="5" customFormat="1" x14ac:dyDescent="0.2">
      <c r="A34" s="11">
        <f t="shared" si="31"/>
        <v>31</v>
      </c>
      <c r="B34" s="77">
        <f>'Scénario référence'!$B$16*5+'Scénario référence'!$B$17*0+'Scénario référence'!$B$18*5</f>
        <v>1.6500000000000001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6.0500000000000007</v>
      </c>
      <c r="H34" s="70">
        <f t="shared" si="1"/>
        <v>232.4666666666667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65.204331089153584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26.8</v>
      </c>
      <c r="N34" s="14">
        <f>IF('Données projet'!$A$36&gt;35,N33+M34-V33,IF(A34&lt;'Données projet'!$A$36,$K$205^A34,IF(A34='Données projet'!$A$36,'Données projet'!$B$36,N33+M34-V33)))</f>
        <v>300.80000000000013</v>
      </c>
      <c r="O34" s="14">
        <f>N34*VLOOKUP('Données projet'!$B$9,Paramètres!$A$1:$I$88,3,0)*VLOOKUP('Données projet'!$B$9,Paramètres!$A$1:$I$88,5,0)</f>
        <v>179.87840000000008</v>
      </c>
      <c r="P34" s="14">
        <f t="shared" si="33"/>
        <v>45.295131342961916</v>
      </c>
      <c r="Q34" s="22">
        <f t="shared" si="2"/>
        <v>392.17723375565879</v>
      </c>
      <c r="R34" s="62">
        <f t="shared" si="0"/>
        <v>667.92644774922201</v>
      </c>
      <c r="S34" s="62">
        <f ca="1">AVERAGE(OFFSET($R$3,0,0,'Données projet'!$E$9+1,1))-AVERAGE(OFFSET($H$3,0,0,'Données projet'!$E$9+1,1))</f>
        <v>354.71367224254021</v>
      </c>
      <c r="T34" s="62">
        <f t="shared" si="34"/>
        <v>490.074370133397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0</v>
      </c>
      <c r="AA34" s="23">
        <f>EXP(-LN(2)/25)*AA33+(1-EXP(-LN(2)/25))/(LN(2)/25)*Calculateur!V34*Calculateur!X34*VLOOKUP('Données projet'!$B$9,Paramètres!$A$1:$I$88,3,0)*0.475*44/12</f>
        <v>38.317503433802777</v>
      </c>
      <c r="AB34" s="23">
        <f>EXP(-LN(2)/2)*AB33+(1-EXP(-LN(2)/2))/(LN(2)/2)*V34*Y34*VLOOKUP('Données projet'!$B$9,Paramètres!$A$1:$I$88,3,0)*0.475*44/12</f>
        <v>17.837926494956754</v>
      </c>
      <c r="AC34" s="24">
        <f t="shared" si="3"/>
        <v>56.155429928759531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65.204331089153584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18.399999999999999</v>
      </c>
      <c r="AI34" s="14">
        <f>IF('Données projet'!$A$62&gt;35,AI33+AH34-AQ33,IF(A34&lt;'Données projet'!$A$62,$AF$205^A34,IF(A34='Données projet'!$A$62,'Données projet'!$B$62,AI33+AH34-AQ33)))</f>
        <v>228.40000000000009</v>
      </c>
      <c r="AJ34" s="14">
        <f>AI34*VLOOKUP('Données projet'!$B$10,Paramètres!$A$1:$I$88,3,0)*VLOOKUP('Données projet'!$B$10,Paramètres!$A$1:$I$88,5,0)</f>
        <v>136.58320000000006</v>
      </c>
      <c r="AK34" s="14">
        <f t="shared" si="35"/>
        <v>35.513142550162883</v>
      </c>
      <c r="AL34" s="22">
        <f t="shared" si="4"/>
        <v>299.73446327486715</v>
      </c>
      <c r="AM34" s="62">
        <f t="shared" si="5"/>
        <v>575.48367726843026</v>
      </c>
      <c r="AN34" s="62">
        <f ca="1">AVERAGE(OFFSET($AM$3,0,0,'Données projet'!$E$10+1,1))-AVERAGE(OFFSET($H$3,0,0,'Données projet'!$E$10+1,1))</f>
        <v>264.73276096087574</v>
      </c>
      <c r="AO34" s="62">
        <f t="shared" si="36"/>
        <v>381.84464918049662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projet'!$B$10,Paramètres!$A$1:$I$88,3,0)*0.475*44/12</f>
        <v>0</v>
      </c>
      <c r="AV34" s="23">
        <f>EXP(-LN(2)/25)*AV33+(1-EXP(-LN(2)/25))/(LN(2)/25)*Calculateur!AQ34*Calculateur!AS34*VLOOKUP('Données projet'!$B$10,Paramètres!$A$1:$I$88,3,0)*0.475*44/12</f>
        <v>26.732807507164107</v>
      </c>
      <c r="AW34" s="23">
        <f>EXP(-LN(2)/2)*AW33+(1-EXP(-LN(2)/2))/(LN(2)/2)*AQ34*AT34*VLOOKUP('Données projet'!$B$10,Paramètres!$A$1:$I$88,3,0)*0.475*44/12</f>
        <v>12.485733940713917</v>
      </c>
      <c r="AX34" s="23">
        <f t="shared" si="6"/>
        <v>39.218541447878025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65.204331089153584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8</v>
      </c>
      <c r="BD34" s="13">
        <f>IF('Données projet'!$A$88&gt;35,BD33+BC34-BL33,IF(A34&lt;'Données projet'!$A$88,$BA$205^A34,IF(A34='Données projet'!$A$88,'Données projet'!$B$88,BD33+BC34-BL33)))</f>
        <v>84</v>
      </c>
      <c r="BE34" s="14">
        <f>BD34*VLOOKUP('Données projet'!$B$11,Paramètres!$A$1:$I$88,3,0)*VLOOKUP('Données projet'!$B$11,Paramètres!$A$1:$I$88,5,0)</f>
        <v>95.659199999999998</v>
      </c>
      <c r="BF34" s="14">
        <f t="shared" si="37"/>
        <v>25.92520602338745</v>
      </c>
      <c r="BG34" s="22">
        <f t="shared" si="7"/>
        <v>211.75950715739978</v>
      </c>
      <c r="BH34" s="62">
        <f t="shared" si="8"/>
        <v>487.50872115096297</v>
      </c>
      <c r="BI34" s="62">
        <f ca="1">AVERAGE(OFFSET($BH$3,0,0,'Données projet'!$E$11+1,1))-AVERAGE(OFFSET($H$3,0,0,'Données projet'!$E$11+1,1))</f>
        <v>470.57532875732056</v>
      </c>
      <c r="BJ34" s="62">
        <f t="shared" si="38"/>
        <v>286.63787681165888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projet'!$B$11,Paramètres!$A$1:$I$88,3,0)*0.475*44/12</f>
        <v>0</v>
      </c>
      <c r="BQ34" s="23">
        <f>EXP(-LN(2)/25)*BQ33+(1-EXP(-LN(2)/25))/(LN(2)/25)*Calculateur!BL34*Calculateur!BN34*VLOOKUP('Données projet'!$B$11,Paramètres!$A$1:$I$88,3,0)*0.475*44/12</f>
        <v>0</v>
      </c>
      <c r="BR34" s="23">
        <f>EXP(-LN(2)/2)*BR33+(1-EXP(-LN(2)/2))/(LN(2)/2)*BL34*BO34*VLOOKUP('Données projet'!$B$11,Paramètres!$A$1:$I$88,3,0)*0.475*44/12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65.204331089153584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12.8</v>
      </c>
      <c r="BY34" s="13">
        <f>IF('Données projet'!$A$114&gt;35,BY33+BX34-CG33,IF(A34&lt;'Données projet'!$A$114,$BV$205^A34,IF(A34='Données projet'!$A$114,'Données projet'!$B$114,BY33+BX34-CG33)))</f>
        <v>154.79999999999993</v>
      </c>
      <c r="BZ34" s="14">
        <f>BY34*VLOOKUP('Données projet'!$B$12,Paramètres!$A$1:$I$88,3,0)*VLOOKUP('Données projet'!$B$12,Paramètres!$A$1:$I$88,5,0)</f>
        <v>101.42495999999994</v>
      </c>
      <c r="CA34" s="14">
        <f t="shared" si="39"/>
        <v>27.301194562993881</v>
      </c>
      <c r="CB34" s="22">
        <f t="shared" si="10"/>
        <v>224.19805253054756</v>
      </c>
      <c r="CC34" s="62">
        <f t="shared" si="11"/>
        <v>499.94726652411072</v>
      </c>
      <c r="CD34" s="62">
        <f ca="1">AVERAGE(OFFSET($CC$3,0,0,'Données projet'!$E$12+1,1))-AVERAGE(OFFSET($H$3,0,0,'Données projet'!$E$12+1,1))</f>
        <v>305.38855494899906</v>
      </c>
      <c r="CE34" s="62">
        <f t="shared" si="40"/>
        <v>298.48106301229177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projet'!$B$12,Paramètres!$A$1:$I$88,3,0)*0.475*44/12</f>
        <v>0</v>
      </c>
      <c r="CL34" s="23">
        <f>EXP(-LN(2)/25)*CL33+(1-EXP(-LN(2)/25))/(LN(2)/25)*Calculateur!CG34*Calculateur!CI34*VLOOKUP('Données projet'!$B$12,Paramètres!$A$1:$I$88,3,0)*0.475*44/12</f>
        <v>0</v>
      </c>
      <c r="CM34" s="23">
        <f>EXP(-LN(2)/2)*CM33+(1-EXP(-LN(2)/2))/(LN(2)/2)*CG34*CJ34*VLOOKUP('Données projet'!$B$12,Paramètres!$A$1:$I$88,3,0)*0.475*44/12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65.204331089153584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12.8</v>
      </c>
      <c r="CT34" s="13">
        <f>IF('Données projet'!$A$140&gt;35,CT33+CS34-DB33,IF(A34&lt;'Données projet'!$A$140,$CQ$205^A34,IF(A34='Données projet'!$A$140,'Données projet'!$B$140,CT33+CS34-DB33)))</f>
        <v>154.79999999999993</v>
      </c>
      <c r="CU34" s="18">
        <f>CT34*VLOOKUP('Données projet'!$B$13,Paramètres!$A$1:$I$88,3,0)*VLOOKUP('Données projet'!$B$13,Paramètres!$A$1:$I$88,5,0)</f>
        <v>123.15887999999995</v>
      </c>
      <c r="CV34" s="14">
        <f t="shared" si="41"/>
        <v>32.410638331814873</v>
      </c>
      <c r="CW34" s="22">
        <f t="shared" si="13"/>
        <v>270.95024442791083</v>
      </c>
      <c r="CX34" s="62">
        <f t="shared" si="14"/>
        <v>546.69945842147399</v>
      </c>
      <c r="CY34" s="62">
        <f ca="1">AVERAGE(OFFSET($CX$3,0,0,'Données projet'!$E$13+1,1))-AVERAGE(OFFSET($H$3,0,0,'Données projet'!$E$13+1,1))</f>
        <v>361.30066984973894</v>
      </c>
      <c r="CZ34" s="62">
        <f t="shared" si="42"/>
        <v>351.78053157121622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projet'!$B$13,Paramètres!$A$1:$I$88,3,0)*0.475*44/12</f>
        <v>0</v>
      </c>
      <c r="DG34" s="23">
        <f>EXP(-LN(2)/25)*DG33+(1-EXP(-LN(2)/25))/(LN(2)/25)*Calculateur!DB34*Calculateur!DD34*VLOOKUP('Données projet'!$B$13,Paramètres!$A$1:$I$88,3,0)*0.475*44/12</f>
        <v>0</v>
      </c>
      <c r="DH34" s="23">
        <f>EXP(-LN(2)/2)*DH33+(1-EXP(-LN(2)/2))/(LN(2)/2)*DB34*DE34*VLOOKUP('Données projet'!$B$13,Paramètres!$A$1:$I$88,3,0)*0.475*44/12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65.204331089153584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>
        <f>DO34*VLOOKUP('Données projet'!$B$14,Paramètres!$A$1:$I$88,3,0)*VLOOKUP('Données projet'!$B$14,Paramètres!$A$1:$I$88,5,0)</f>
        <v>0</v>
      </c>
      <c r="DQ34" s="14" t="e">
        <f t="shared" si="43"/>
        <v>#NUM!</v>
      </c>
      <c r="DR34" s="22" t="e">
        <f t="shared" si="16"/>
        <v>#NUM!</v>
      </c>
      <c r="DS34" s="62" t="e">
        <f t="shared" si="17"/>
        <v>#NUM!</v>
      </c>
      <c r="DT34" s="62">
        <f ca="1">AVERAGE(OFFSET($DS$3,0,0,'Données projet'!$E$14+1,1))-AVERAGE(OFFSET($H$3,0,0,'Données projet'!$E$14+1,1))</f>
        <v>91.201152634762423</v>
      </c>
      <c r="DU34" s="62">
        <f t="shared" si="44"/>
        <v>233.36981992862445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projet'!$B$14,Paramètres!$A$1:$I$88,3,0)*0.475*44/12</f>
        <v>40.643896627418307</v>
      </c>
      <c r="EB34" s="23">
        <f>EXP(-LN(2)/25)*EB33+(1-EXP(-LN(2)/25))/(LN(2)/25)*Calculateur!DW34*Calculateur!DY34*VLOOKUP('Données projet'!$B$14,Paramètres!$A$1:$I$88,3,0)*0.475*44/12</f>
        <v>0</v>
      </c>
      <c r="EC34" s="23">
        <f>EXP(-LN(2)/2)*EC33+(1-EXP(-LN(2)/2))/(LN(2)/2)*DW34*DZ34*VLOOKUP('Données projet'!$B$14,Paramètres!$A$1:$I$88,3,0)*0.475*44/12</f>
        <v>0</v>
      </c>
      <c r="ED34" s="24">
        <f t="shared" si="18"/>
        <v>40.643896627418307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65.204331089153584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projet'!$B$15,Paramètres!$A$1:$I$88,3,0)*0.475*44/12</f>
        <v>#N/A</v>
      </c>
      <c r="EW34" s="23" t="e">
        <f>EXP(-LN(2)/25)*EW33+(1-EXP(-LN(2)/25))/(LN(2)/25)*Calculateur!ER34*Calculateur!ET34*VLOOKUP('Données projet'!$B$15,Paramètres!$A$1:$I$88,3,0)*0.475*44/12</f>
        <v>#N/A</v>
      </c>
      <c r="EX34" s="23" t="e">
        <f>EXP(-LN(2)/2)*EX33+(1-EXP(-LN(2)/2))/(LN(2)/2)*ER34*EU34*VLOOKUP('Données projet'!$B$15,Paramètres!$A$1:$I$88,3,0)*0.475*44/12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65.204331089153584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projet'!$B$16,Paramètres!$A$1:$I$88,3,0)*0.475*44/12</f>
        <v>#N/A</v>
      </c>
      <c r="FR34" s="23" t="e">
        <f>EXP(-LN(2)/25)*FR33+(1-EXP(-LN(2)/25))/(LN(2)/25)*Calculateur!FM34*Calculateur!FO34*VLOOKUP('Données projet'!$B$16,Paramètres!$A$1:$I$88,3,0)*0.475*44/12</f>
        <v>#N/A</v>
      </c>
      <c r="FS34" s="23" t="e">
        <f>EXP(-LN(2)/2)*FS33+(1-EXP(-LN(2)/2))/(LN(2)/2)*FM34*FP34*VLOOKUP('Données projet'!$B$16,Paramètres!$A$1:$I$88,3,0)*0.475*44/12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65.204331089153584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projet'!$B$17,Paramètres!$A$1:$I$88,3,0)*0.475*44/12</f>
        <v>#N/A</v>
      </c>
      <c r="GM34" s="23" t="e">
        <f>EXP(-LN(2)/25)*GM33+(1-EXP(-LN(2)/25))/(LN(2)/25)*Calculateur!GH34*Calculateur!GJ34*VLOOKUP('Données projet'!$B$17,Paramètres!$A$1:$I$88,3,0)*0.475*44/12</f>
        <v>#N/A</v>
      </c>
      <c r="GN34" s="23" t="e">
        <f>EXP(-LN(2)/2)*GN33+(1-EXP(-LN(2)/2))/(LN(2)/2)*GH34*GK34*VLOOKUP('Données projet'!$B$17,Paramètres!$A$1:$I$88,3,0)*0.475*44/12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65.204331089153584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projet'!$B$18,Paramètres!$A$1:$I$88,3,0)*0.475*44/12</f>
        <v>#N/A</v>
      </c>
      <c r="HH34" s="23" t="e">
        <f>EXP(-LN(2)/25)*HH33+(1-EXP(-LN(2)/25))/(LN(2)/25)*Calculateur!HC34*Calculateur!HE34*VLOOKUP('Données projet'!$B$18,Paramètres!$A$1:$I$88,3,0)*0.475*44/12</f>
        <v>#N/A</v>
      </c>
      <c r="HI34" s="23" t="e">
        <f>EXP(-LN(2)/2)*HI33+(1-EXP(-LN(2)/2))/(LN(2)/2)*HC34*HF34*VLOOKUP('Données projet'!$B$18,Paramètres!$A$1:$I$88,3,0)*0.475*44/12</f>
        <v>#N/A</v>
      </c>
      <c r="HJ34" s="24" t="e">
        <f t="shared" si="30"/>
        <v>#N/A</v>
      </c>
    </row>
    <row r="35" spans="1:218" s="5" customFormat="1" x14ac:dyDescent="0.2">
      <c r="A35" s="11">
        <f t="shared" si="31"/>
        <v>32</v>
      </c>
      <c r="B35" s="77">
        <f>'Scénario référence'!$B$16*5+'Scénario référence'!$B$17*0+'Scénario référence'!$B$18*5</f>
        <v>1.6500000000000001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6.0500000000000007</v>
      </c>
      <c r="H35" s="70">
        <f t="shared" si="1"/>
        <v>232.4666666666667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65.287525223247286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26.8</v>
      </c>
      <c r="N35" s="14">
        <f>IF('Données projet'!$A$36&gt;35,N34+M35-V34,IF(A35&lt;'Données projet'!$A$36,$K$205^A35,IF(A35='Données projet'!$A$36,'Données projet'!$B$36,N34+M35-V34)))</f>
        <v>327.60000000000014</v>
      </c>
      <c r="O35" s="14">
        <f>N35*VLOOKUP('Données projet'!$B$9,Paramètres!$A$1:$I$88,3,0)*VLOOKUP('Données projet'!$B$9,Paramètres!$A$1:$I$88,5,0)</f>
        <v>195.90480000000011</v>
      </c>
      <c r="P35" s="14">
        <f t="shared" si="33"/>
        <v>48.843085918490004</v>
      </c>
      <c r="Q35" s="22">
        <f t="shared" ref="Q35:Q66" si="53">(O35+P35)*0.475*44/12</f>
        <v>426.2692346413703</v>
      </c>
      <c r="R35" s="62">
        <f t="shared" si="0"/>
        <v>702.32349379327707</v>
      </c>
      <c r="S35" s="62">
        <f ca="1">AVERAGE(OFFSET($R$3,0,0,'Données projet'!$E$9+1,1))-AVERAGE(OFFSET($H$3,0,0,'Données projet'!$E$9+1,1))</f>
        <v>354.71367224254021</v>
      </c>
      <c r="T35" s="62">
        <f t="shared" si="34"/>
        <v>490.074370133397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0</v>
      </c>
      <c r="AA35" s="23">
        <f>EXP(-LN(2)/25)*AA34+(1-EXP(-LN(2)/25))/(LN(2)/25)*Calculateur!V35*Calculateur!X35*VLOOKUP('Données projet'!$B$9,Paramètres!$A$1:$I$88,3,0)*0.475*44/12</f>
        <v>37.269709287375512</v>
      </c>
      <c r="AB35" s="23">
        <f>EXP(-LN(2)/2)*AB34+(1-EXP(-LN(2)/2))/(LN(2)/2)*V35*Y35*VLOOKUP('Données projet'!$B$9,Paramètres!$A$1:$I$88,3,0)*0.475*44/12</f>
        <v>12.613318786891105</v>
      </c>
      <c r="AC35" s="24">
        <f t="shared" si="3"/>
        <v>49.883028074266619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65.287525223247286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18.399999999999999</v>
      </c>
      <c r="AI35" s="14">
        <f>IF('Données projet'!$A$62&gt;35,AI34+AH35-AQ34,IF(A35&lt;'Données projet'!$A$62,$AF$205^A35,IF(A35='Données projet'!$A$62,'Données projet'!$B$62,AI34+AH35-AQ34)))</f>
        <v>246.8000000000001</v>
      </c>
      <c r="AJ35" s="14">
        <f>AI35*VLOOKUP('Données projet'!$B$10,Paramètres!$A$1:$I$88,3,0)*VLOOKUP('Données projet'!$B$10,Paramètres!$A$1:$I$88,5,0)</f>
        <v>147.58640000000005</v>
      </c>
      <c r="AK35" s="14">
        <f t="shared" si="35"/>
        <v>38.029569600982974</v>
      </c>
      <c r="AL35" s="22">
        <f t="shared" si="4"/>
        <v>323.28114705504544</v>
      </c>
      <c r="AM35" s="62">
        <f t="shared" si="5"/>
        <v>599.33540620695214</v>
      </c>
      <c r="AN35" s="62">
        <f ca="1">AVERAGE(OFFSET($AM$3,0,0,'Données projet'!$E$10+1,1))-AVERAGE(OFFSET($H$3,0,0,'Données projet'!$E$10+1,1))</f>
        <v>264.73276096087574</v>
      </c>
      <c r="AO35" s="62">
        <f t="shared" si="36"/>
        <v>381.84464918049662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projet'!$B$10,Paramètres!$A$1:$I$88,3,0)*0.475*44/12</f>
        <v>0</v>
      </c>
      <c r="AV35" s="23">
        <f>EXP(-LN(2)/25)*AV34+(1-EXP(-LN(2)/25))/(LN(2)/25)*Calculateur!AQ35*Calculateur!AS35*VLOOKUP('Données projet'!$B$10,Paramètres!$A$1:$I$88,3,0)*0.475*44/12</f>
        <v>26.001797480063455</v>
      </c>
      <c r="AW35" s="23">
        <f>EXP(-LN(2)/2)*AW34+(1-EXP(-LN(2)/2))/(LN(2)/2)*AQ35*AT35*VLOOKUP('Données projet'!$B$10,Paramètres!$A$1:$I$88,3,0)*0.475*44/12</f>
        <v>8.828747137569847</v>
      </c>
      <c r="AX35" s="23">
        <f t="shared" si="6"/>
        <v>34.830544617633301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65.287525223247286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8</v>
      </c>
      <c r="BD35" s="13">
        <f>IF('Données projet'!$A$88&gt;35,BD34+BC35-BL34,IF(A35&lt;'Données projet'!$A$88,$BA$205^A35,IF(A35='Données projet'!$A$88,'Données projet'!$B$88,BD34+BC35-BL34)))</f>
        <v>92</v>
      </c>
      <c r="BE35" s="14">
        <f>BD35*VLOOKUP('Données projet'!$B$11,Paramètres!$A$1:$I$88,3,0)*VLOOKUP('Données projet'!$B$11,Paramètres!$A$1:$I$88,5,0)</f>
        <v>104.7696</v>
      </c>
      <c r="BF35" s="14">
        <f t="shared" si="37"/>
        <v>28.095189350897627</v>
      </c>
      <c r="BG35" s="22">
        <f t="shared" si="7"/>
        <v>231.40617478614672</v>
      </c>
      <c r="BH35" s="62">
        <f t="shared" si="8"/>
        <v>507.46043393805343</v>
      </c>
      <c r="BI35" s="62">
        <f ca="1">AVERAGE(OFFSET($BH$3,0,0,'Données projet'!$E$11+1,1))-AVERAGE(OFFSET($H$3,0,0,'Données projet'!$E$11+1,1))</f>
        <v>470.57532875732056</v>
      </c>
      <c r="BJ35" s="62">
        <f t="shared" si="38"/>
        <v>286.63787681165888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projet'!$B$11,Paramètres!$A$1:$I$88,3,0)*0.475*44/12</f>
        <v>0</v>
      </c>
      <c r="BQ35" s="23">
        <f>EXP(-LN(2)/25)*BQ34+(1-EXP(-LN(2)/25))/(LN(2)/25)*Calculateur!BL35*Calculateur!BN35*VLOOKUP('Données projet'!$B$11,Paramètres!$A$1:$I$88,3,0)*0.475*44/12</f>
        <v>0</v>
      </c>
      <c r="BR35" s="23">
        <f>EXP(-LN(2)/2)*BR34+(1-EXP(-LN(2)/2))/(LN(2)/2)*BL35*BO35*VLOOKUP('Données projet'!$B$11,Paramètres!$A$1:$I$88,3,0)*0.475*44/12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65.287525223247286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12.8</v>
      </c>
      <c r="BY35" s="13">
        <f>IF('Données projet'!$A$114&gt;35,BY34+BX35-CG34,IF(A35&lt;'Données projet'!$A$114,$BV$205^A35,IF(A35='Données projet'!$A$114,'Données projet'!$B$114,BY34+BX35-CG34)))</f>
        <v>167.59999999999994</v>
      </c>
      <c r="BZ35" s="14">
        <f>BY35*VLOOKUP('Données projet'!$B$12,Paramètres!$A$1:$I$88,3,0)*VLOOKUP('Données projet'!$B$12,Paramètres!$A$1:$I$88,5,0)</f>
        <v>109.81151999999996</v>
      </c>
      <c r="CA35" s="14">
        <f t="shared" si="39"/>
        <v>29.286572783205639</v>
      </c>
      <c r="CB35" s="22">
        <f t="shared" si="10"/>
        <v>242.26251159741642</v>
      </c>
      <c r="CC35" s="62">
        <f t="shared" si="11"/>
        <v>518.31677074932315</v>
      </c>
      <c r="CD35" s="62">
        <f ca="1">AVERAGE(OFFSET($CC$3,0,0,'Données projet'!$E$12+1,1))-AVERAGE(OFFSET($H$3,0,0,'Données projet'!$E$12+1,1))</f>
        <v>305.38855494899906</v>
      </c>
      <c r="CE35" s="62">
        <f t="shared" si="40"/>
        <v>298.48106301229177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projet'!$B$12,Paramètres!$A$1:$I$88,3,0)*0.475*44/12</f>
        <v>0</v>
      </c>
      <c r="CL35" s="23">
        <f>EXP(-LN(2)/25)*CL34+(1-EXP(-LN(2)/25))/(LN(2)/25)*Calculateur!CG35*Calculateur!CI35*VLOOKUP('Données projet'!$B$12,Paramètres!$A$1:$I$88,3,0)*0.475*44/12</f>
        <v>0</v>
      </c>
      <c r="CM35" s="23">
        <f>EXP(-LN(2)/2)*CM34+(1-EXP(-LN(2)/2))/(LN(2)/2)*CG35*CJ35*VLOOKUP('Données projet'!$B$12,Paramètres!$A$1:$I$88,3,0)*0.475*44/12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65.287525223247286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12.8</v>
      </c>
      <c r="CT35" s="13">
        <f>IF('Données projet'!$A$140&gt;35,CT34+CS35-DB34,IF(A35&lt;'Données projet'!$A$140,$CQ$205^A35,IF(A35='Données projet'!$A$140,'Données projet'!$B$140,CT34+CS35-DB34)))</f>
        <v>167.59999999999994</v>
      </c>
      <c r="CU35" s="18">
        <f>CT35*VLOOKUP('Données projet'!$B$13,Paramètres!$A$1:$I$88,3,0)*VLOOKUP('Données projet'!$B$13,Paramètres!$A$1:$I$88,5,0)</f>
        <v>133.34255999999996</v>
      </c>
      <c r="CV35" s="14">
        <f t="shared" si="41"/>
        <v>34.767581918978188</v>
      </c>
      <c r="CW35" s="22">
        <f t="shared" si="13"/>
        <v>292.7918305088869</v>
      </c>
      <c r="CX35" s="62">
        <f t="shared" si="14"/>
        <v>568.84608966079361</v>
      </c>
      <c r="CY35" s="62">
        <f ca="1">AVERAGE(OFFSET($CX$3,0,0,'Données projet'!$E$13+1,1))-AVERAGE(OFFSET($H$3,0,0,'Données projet'!$E$13+1,1))</f>
        <v>361.30066984973894</v>
      </c>
      <c r="CZ35" s="62">
        <f t="shared" si="42"/>
        <v>351.78053157121622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projet'!$B$13,Paramètres!$A$1:$I$88,3,0)*0.475*44/12</f>
        <v>0</v>
      </c>
      <c r="DG35" s="23">
        <f>EXP(-LN(2)/25)*DG34+(1-EXP(-LN(2)/25))/(LN(2)/25)*Calculateur!DB35*Calculateur!DD35*VLOOKUP('Données projet'!$B$13,Paramètres!$A$1:$I$88,3,0)*0.475*44/12</f>
        <v>0</v>
      </c>
      <c r="DH35" s="23">
        <f>EXP(-LN(2)/2)*DH34+(1-EXP(-LN(2)/2))/(LN(2)/2)*DB35*DE35*VLOOKUP('Données projet'!$B$13,Paramètres!$A$1:$I$88,3,0)*0.475*44/12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65.287525223247286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>
        <f>DO35*VLOOKUP('Données projet'!$B$14,Paramètres!$A$1:$I$88,3,0)*VLOOKUP('Données projet'!$B$14,Paramètres!$A$1:$I$88,5,0)</f>
        <v>0</v>
      </c>
      <c r="DQ35" s="14" t="e">
        <f t="shared" si="43"/>
        <v>#NUM!</v>
      </c>
      <c r="DR35" s="22" t="e">
        <f t="shared" si="16"/>
        <v>#NUM!</v>
      </c>
      <c r="DS35" s="62" t="e">
        <f t="shared" si="17"/>
        <v>#NUM!</v>
      </c>
      <c r="DT35" s="62">
        <f ca="1">AVERAGE(OFFSET($DS$3,0,0,'Données projet'!$E$14+1,1))-AVERAGE(OFFSET($H$3,0,0,'Données projet'!$E$14+1,1))</f>
        <v>91.201152634762423</v>
      </c>
      <c r="DU35" s="62">
        <f t="shared" si="44"/>
        <v>233.36981992862445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projet'!$B$14,Paramètres!$A$1:$I$88,3,0)*0.475*44/12</f>
        <v>39.846894604883737</v>
      </c>
      <c r="EB35" s="23">
        <f>EXP(-LN(2)/25)*EB34+(1-EXP(-LN(2)/25))/(LN(2)/25)*Calculateur!DW35*Calculateur!DY35*VLOOKUP('Données projet'!$B$14,Paramètres!$A$1:$I$88,3,0)*0.475*44/12</f>
        <v>0</v>
      </c>
      <c r="EC35" s="23">
        <f>EXP(-LN(2)/2)*EC34+(1-EXP(-LN(2)/2))/(LN(2)/2)*DW35*DZ35*VLOOKUP('Données projet'!$B$14,Paramètres!$A$1:$I$88,3,0)*0.475*44/12</f>
        <v>0</v>
      </c>
      <c r="ED35" s="24">
        <f t="shared" si="18"/>
        <v>39.846894604883737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65.287525223247286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projet'!$B$15,Paramètres!$A$1:$I$88,3,0)*0.475*44/12</f>
        <v>#N/A</v>
      </c>
      <c r="EW35" s="23" t="e">
        <f>EXP(-LN(2)/25)*EW34+(1-EXP(-LN(2)/25))/(LN(2)/25)*Calculateur!ER35*Calculateur!ET35*VLOOKUP('Données projet'!$B$15,Paramètres!$A$1:$I$88,3,0)*0.475*44/12</f>
        <v>#N/A</v>
      </c>
      <c r="EX35" s="23" t="e">
        <f>EXP(-LN(2)/2)*EX34+(1-EXP(-LN(2)/2))/(LN(2)/2)*ER35*EU35*VLOOKUP('Données projet'!$B$15,Paramètres!$A$1:$I$88,3,0)*0.475*44/12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65.287525223247286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projet'!$B$16,Paramètres!$A$1:$I$88,3,0)*0.475*44/12</f>
        <v>#N/A</v>
      </c>
      <c r="FR35" s="23" t="e">
        <f>EXP(-LN(2)/25)*FR34+(1-EXP(-LN(2)/25))/(LN(2)/25)*Calculateur!FM35*Calculateur!FO35*VLOOKUP('Données projet'!$B$16,Paramètres!$A$1:$I$88,3,0)*0.475*44/12</f>
        <v>#N/A</v>
      </c>
      <c r="FS35" s="23" t="e">
        <f>EXP(-LN(2)/2)*FS34+(1-EXP(-LN(2)/2))/(LN(2)/2)*FM35*FP35*VLOOKUP('Données projet'!$B$16,Paramètres!$A$1:$I$88,3,0)*0.475*44/12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65.287525223247286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projet'!$B$17,Paramètres!$A$1:$I$88,3,0)*0.475*44/12</f>
        <v>#N/A</v>
      </c>
      <c r="GM35" s="23" t="e">
        <f>EXP(-LN(2)/25)*GM34+(1-EXP(-LN(2)/25))/(LN(2)/25)*Calculateur!GH35*Calculateur!GJ35*VLOOKUP('Données projet'!$B$17,Paramètres!$A$1:$I$88,3,0)*0.475*44/12</f>
        <v>#N/A</v>
      </c>
      <c r="GN35" s="23" t="e">
        <f>EXP(-LN(2)/2)*GN34+(1-EXP(-LN(2)/2))/(LN(2)/2)*GH35*GK35*VLOOKUP('Données projet'!$B$17,Paramètres!$A$1:$I$88,3,0)*0.475*44/12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65.287525223247286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projet'!$B$18,Paramètres!$A$1:$I$88,3,0)*0.475*44/12</f>
        <v>#N/A</v>
      </c>
      <c r="HH35" s="23" t="e">
        <f>EXP(-LN(2)/25)*HH34+(1-EXP(-LN(2)/25))/(LN(2)/25)*Calculateur!HC35*Calculateur!HE35*VLOOKUP('Données projet'!$B$18,Paramètres!$A$1:$I$88,3,0)*0.475*44/12</f>
        <v>#N/A</v>
      </c>
      <c r="HI35" s="23" t="e">
        <f>EXP(-LN(2)/2)*HI34+(1-EXP(-LN(2)/2))/(LN(2)/2)*HC35*HF35*VLOOKUP('Données projet'!$B$18,Paramètres!$A$1:$I$88,3,0)*0.475*44/12</f>
        <v>#N/A</v>
      </c>
      <c r="HJ35" s="24" t="e">
        <f t="shared" si="30"/>
        <v>#N/A</v>
      </c>
    </row>
    <row r="36" spans="1:218" s="5" customFormat="1" x14ac:dyDescent="0.2">
      <c r="A36" s="11">
        <f t="shared" si="31"/>
        <v>33</v>
      </c>
      <c r="B36" s="77">
        <f>'Scénario référence'!$B$16*5+'Scénario référence'!$B$17*0+'Scénario référence'!$B$18*5</f>
        <v>1.6500000000000001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6.0500000000000007</v>
      </c>
      <c r="H36" s="70">
        <f t="shared" si="1"/>
        <v>232.4666666666667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65.369276125108684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26.8</v>
      </c>
      <c r="N36" s="14">
        <f>IF('Données projet'!$A$36&gt;35,N35+M36-V35,IF(A36&lt;'Données projet'!$A$36,$K$205^A36,IF(A36='Données projet'!$A$36,'Données projet'!$B$36,N35+M36-V35)))</f>
        <v>354.40000000000015</v>
      </c>
      <c r="O36" s="14">
        <f>N36*VLOOKUP('Données projet'!$B$9,Paramètres!$A$1:$I$88,3,0)*VLOOKUP('Données projet'!$B$9,Paramètres!$A$1:$I$88,5,0)</f>
        <v>211.93120000000013</v>
      </c>
      <c r="P36" s="14">
        <f t="shared" si="33"/>
        <v>52.357376385254923</v>
      </c>
      <c r="Q36" s="22">
        <f t="shared" si="53"/>
        <v>460.30260387098588</v>
      </c>
      <c r="R36" s="62">
        <f t="shared" si="0"/>
        <v>736.65661632971774</v>
      </c>
      <c r="S36" s="62">
        <f ca="1">AVERAGE(OFFSET($R$3,0,0,'Données projet'!$E$9+1,1))-AVERAGE(OFFSET($H$3,0,0,'Données projet'!$E$9+1,1))</f>
        <v>354.71367224254021</v>
      </c>
      <c r="T36" s="62">
        <f t="shared" si="34"/>
        <v>490.074370133397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0</v>
      </c>
      <c r="AA36" s="23">
        <f>EXP(-LN(2)/25)*AA35+(1-EXP(-LN(2)/25))/(LN(2)/25)*Calculateur!V36*Calculateur!X36*VLOOKUP('Données projet'!$B$9,Paramètres!$A$1:$I$88,3,0)*0.475*44/12</f>
        <v>36.250567126983398</v>
      </c>
      <c r="AB36" s="23">
        <f>EXP(-LN(2)/2)*AB35+(1-EXP(-LN(2)/2))/(LN(2)/2)*V36*Y36*VLOOKUP('Données projet'!$B$9,Paramètres!$A$1:$I$88,3,0)*0.475*44/12</f>
        <v>8.9189632474783789</v>
      </c>
      <c r="AC36" s="24">
        <f t="shared" si="3"/>
        <v>45.169530374461779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65.369276125108684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18.399999999999999</v>
      </c>
      <c r="AI36" s="14">
        <f>IF('Données projet'!$A$62&gt;35,AI35+AH36-AQ35,IF(A36&lt;'Données projet'!$A$62,$AF$205^A36,IF(A36='Données projet'!$A$62,'Données projet'!$B$62,AI35+AH36-AQ35)))</f>
        <v>265.2000000000001</v>
      </c>
      <c r="AJ36" s="14">
        <f>AI36*VLOOKUP('Données projet'!$B$10,Paramètres!$A$1:$I$88,3,0)*VLOOKUP('Données projet'!$B$10,Paramètres!$A$1:$I$88,5,0)</f>
        <v>158.58960000000008</v>
      </c>
      <c r="AK36" s="14">
        <f t="shared" si="35"/>
        <v>40.524232006033088</v>
      </c>
      <c r="AL36" s="22">
        <f t="shared" si="4"/>
        <v>346.78992407717442</v>
      </c>
      <c r="AM36" s="62">
        <f t="shared" si="5"/>
        <v>623.14393653590628</v>
      </c>
      <c r="AN36" s="62">
        <f ca="1">AVERAGE(OFFSET($AM$3,0,0,'Données projet'!$E$10+1,1))-AVERAGE(OFFSET($H$3,0,0,'Données projet'!$E$10+1,1))</f>
        <v>264.73276096087574</v>
      </c>
      <c r="AO36" s="62">
        <f t="shared" si="36"/>
        <v>381.84464918049662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projet'!$B$10,Paramètres!$A$1:$I$88,3,0)*0.475*44/12</f>
        <v>0</v>
      </c>
      <c r="AV36" s="23">
        <f>EXP(-LN(2)/25)*AV35+(1-EXP(-LN(2)/25))/(LN(2)/25)*Calculateur!AQ36*Calculateur!AS36*VLOOKUP('Données projet'!$B$10,Paramètres!$A$1:$I$88,3,0)*0.475*44/12</f>
        <v>25.29077696059602</v>
      </c>
      <c r="AW36" s="23">
        <f>EXP(-LN(2)/2)*AW35+(1-EXP(-LN(2)/2))/(LN(2)/2)*AQ36*AT36*VLOOKUP('Données projet'!$B$10,Paramètres!$A$1:$I$88,3,0)*0.475*44/12</f>
        <v>6.2428669703569604</v>
      </c>
      <c r="AX36" s="23">
        <f t="shared" si="6"/>
        <v>31.53364393095298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65.369276125108684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8</v>
      </c>
      <c r="BD36" s="13">
        <f>IF('Données projet'!$A$88&gt;35,BD35+BC36-BL35,IF(A36&lt;'Données projet'!$A$88,$BA$205^A36,IF(A36='Données projet'!$A$88,'Données projet'!$B$88,BD35+BC36-BL35)))</f>
        <v>100</v>
      </c>
      <c r="BE36" s="14">
        <f>BD36*VLOOKUP('Données projet'!$B$11,Paramètres!$A$1:$I$88,3,0)*VLOOKUP('Données projet'!$B$11,Paramètres!$A$1:$I$88,5,0)</f>
        <v>113.88000000000001</v>
      </c>
      <c r="BF36" s="14">
        <f t="shared" si="37"/>
        <v>30.243290368229957</v>
      </c>
      <c r="BG36" s="22">
        <f t="shared" si="7"/>
        <v>251.01473072466717</v>
      </c>
      <c r="BH36" s="62">
        <f t="shared" si="8"/>
        <v>527.36874318339903</v>
      </c>
      <c r="BI36" s="62">
        <f ca="1">AVERAGE(OFFSET($BH$3,0,0,'Données projet'!$E$11+1,1))-AVERAGE(OFFSET($H$3,0,0,'Données projet'!$E$11+1,1))</f>
        <v>470.57532875732056</v>
      </c>
      <c r="BJ36" s="62">
        <f t="shared" si="38"/>
        <v>286.63787681165888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projet'!$B$11,Paramètres!$A$1:$I$88,3,0)*0.475*44/12</f>
        <v>0</v>
      </c>
      <c r="BQ36" s="23">
        <f>EXP(-LN(2)/25)*BQ35+(1-EXP(-LN(2)/25))/(LN(2)/25)*Calculateur!BL36*Calculateur!BN36*VLOOKUP('Données projet'!$B$11,Paramètres!$A$1:$I$88,3,0)*0.475*44/12</f>
        <v>0</v>
      </c>
      <c r="BR36" s="23">
        <f>EXP(-LN(2)/2)*BR35+(1-EXP(-LN(2)/2))/(LN(2)/2)*BL36*BO36*VLOOKUP('Données projet'!$B$11,Paramètres!$A$1:$I$88,3,0)*0.475*44/12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65.369276125108684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12.8</v>
      </c>
      <c r="BY36" s="13">
        <f>IF('Données projet'!$A$114&gt;35,BY35+BX36-CG35,IF(A36&lt;'Données projet'!$A$114,$BV$205^A36,IF(A36='Données projet'!$A$114,'Données projet'!$B$114,BY35+BX36-CG35)))</f>
        <v>180.39999999999995</v>
      </c>
      <c r="BZ36" s="14">
        <f>BY36*VLOOKUP('Données projet'!$B$12,Paramètres!$A$1:$I$88,3,0)*VLOOKUP('Données projet'!$B$12,Paramètres!$A$1:$I$88,5,0)</f>
        <v>118.19807999999996</v>
      </c>
      <c r="CA36" s="14">
        <f t="shared" si="39"/>
        <v>31.254361690638479</v>
      </c>
      <c r="CB36" s="22">
        <f t="shared" si="10"/>
        <v>260.29633594452861</v>
      </c>
      <c r="CC36" s="62">
        <f t="shared" si="11"/>
        <v>536.65034840326052</v>
      </c>
      <c r="CD36" s="62">
        <f ca="1">AVERAGE(OFFSET($CC$3,0,0,'Données projet'!$E$12+1,1))-AVERAGE(OFFSET($H$3,0,0,'Données projet'!$E$12+1,1))</f>
        <v>305.38855494899906</v>
      </c>
      <c r="CE36" s="62">
        <f t="shared" si="40"/>
        <v>298.48106301229177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projet'!$B$12,Paramètres!$A$1:$I$88,3,0)*0.475*44/12</f>
        <v>0</v>
      </c>
      <c r="CL36" s="23">
        <f>EXP(-LN(2)/25)*CL35+(1-EXP(-LN(2)/25))/(LN(2)/25)*Calculateur!CG36*Calculateur!CI36*VLOOKUP('Données projet'!$B$12,Paramètres!$A$1:$I$88,3,0)*0.475*44/12</f>
        <v>0</v>
      </c>
      <c r="CM36" s="23">
        <f>EXP(-LN(2)/2)*CM35+(1-EXP(-LN(2)/2))/(LN(2)/2)*CG36*CJ36*VLOOKUP('Données projet'!$B$12,Paramètres!$A$1:$I$88,3,0)*0.475*44/12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65.369276125108684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12.8</v>
      </c>
      <c r="CT36" s="13">
        <f>IF('Données projet'!$A$140&gt;35,CT35+CS36-DB35,IF(A36&lt;'Données projet'!$A$140,$CQ$205^A36,IF(A36='Données projet'!$A$140,'Données projet'!$B$140,CT35+CS36-DB35)))</f>
        <v>180.39999999999995</v>
      </c>
      <c r="CU36" s="18">
        <f>CT36*VLOOKUP('Données projet'!$B$13,Paramètres!$A$1:$I$88,3,0)*VLOOKUP('Données projet'!$B$13,Paramètres!$A$1:$I$88,5,0)</f>
        <v>143.52623999999997</v>
      </c>
      <c r="CV36" s="14">
        <f t="shared" si="41"/>
        <v>37.103644337236275</v>
      </c>
      <c r="CW36" s="22">
        <f t="shared" si="13"/>
        <v>314.59704855401981</v>
      </c>
      <c r="CX36" s="62">
        <f t="shared" si="14"/>
        <v>590.95106101275167</v>
      </c>
      <c r="CY36" s="62">
        <f ca="1">AVERAGE(OFFSET($CX$3,0,0,'Données projet'!$E$13+1,1))-AVERAGE(OFFSET($H$3,0,0,'Données projet'!$E$13+1,1))</f>
        <v>361.30066984973894</v>
      </c>
      <c r="CZ36" s="62">
        <f t="shared" si="42"/>
        <v>351.78053157121622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projet'!$B$13,Paramètres!$A$1:$I$88,3,0)*0.475*44/12</f>
        <v>0</v>
      </c>
      <c r="DG36" s="23">
        <f>EXP(-LN(2)/25)*DG35+(1-EXP(-LN(2)/25))/(LN(2)/25)*Calculateur!DB36*Calculateur!DD36*VLOOKUP('Données projet'!$B$13,Paramètres!$A$1:$I$88,3,0)*0.475*44/12</f>
        <v>0</v>
      </c>
      <c r="DH36" s="23">
        <f>EXP(-LN(2)/2)*DH35+(1-EXP(-LN(2)/2))/(LN(2)/2)*DB36*DE36*VLOOKUP('Données projet'!$B$13,Paramètres!$A$1:$I$88,3,0)*0.475*44/12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65.369276125108684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>
        <f>DO36*VLOOKUP('Données projet'!$B$14,Paramètres!$A$1:$I$88,3,0)*VLOOKUP('Données projet'!$B$14,Paramètres!$A$1:$I$88,5,0)</f>
        <v>0</v>
      </c>
      <c r="DQ36" s="14" t="e">
        <f t="shared" si="43"/>
        <v>#NUM!</v>
      </c>
      <c r="DR36" s="22" t="e">
        <f t="shared" si="16"/>
        <v>#NUM!</v>
      </c>
      <c r="DS36" s="62" t="e">
        <f t="shared" si="17"/>
        <v>#NUM!</v>
      </c>
      <c r="DT36" s="62">
        <f ca="1">AVERAGE(OFFSET($DS$3,0,0,'Données projet'!$E$14+1,1))-AVERAGE(OFFSET($H$3,0,0,'Données projet'!$E$14+1,1))</f>
        <v>91.201152634762423</v>
      </c>
      <c r="DU36" s="62">
        <f t="shared" si="44"/>
        <v>233.36981992862445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projet'!$B$14,Paramètres!$A$1:$I$88,3,0)*0.475*44/12</f>
        <v>39.065521305887835</v>
      </c>
      <c r="EB36" s="23">
        <f>EXP(-LN(2)/25)*EB35+(1-EXP(-LN(2)/25))/(LN(2)/25)*Calculateur!DW36*Calculateur!DY36*VLOOKUP('Données projet'!$B$14,Paramètres!$A$1:$I$88,3,0)*0.475*44/12</f>
        <v>0</v>
      </c>
      <c r="EC36" s="23">
        <f>EXP(-LN(2)/2)*EC35+(1-EXP(-LN(2)/2))/(LN(2)/2)*DW36*DZ36*VLOOKUP('Données projet'!$B$14,Paramètres!$A$1:$I$88,3,0)*0.475*44/12</f>
        <v>0</v>
      </c>
      <c r="ED36" s="24">
        <f t="shared" si="18"/>
        <v>39.065521305887835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65.369276125108684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projet'!$B$15,Paramètres!$A$1:$I$88,3,0)*0.475*44/12</f>
        <v>#N/A</v>
      </c>
      <c r="EW36" s="23" t="e">
        <f>EXP(-LN(2)/25)*EW35+(1-EXP(-LN(2)/25))/(LN(2)/25)*Calculateur!ER36*Calculateur!ET36*VLOOKUP('Données projet'!$B$15,Paramètres!$A$1:$I$88,3,0)*0.475*44/12</f>
        <v>#N/A</v>
      </c>
      <c r="EX36" s="23" t="e">
        <f>EXP(-LN(2)/2)*EX35+(1-EXP(-LN(2)/2))/(LN(2)/2)*ER36*EU36*VLOOKUP('Données projet'!$B$15,Paramètres!$A$1:$I$88,3,0)*0.475*44/12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65.369276125108684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projet'!$B$16,Paramètres!$A$1:$I$88,3,0)*0.475*44/12</f>
        <v>#N/A</v>
      </c>
      <c r="FR36" s="23" t="e">
        <f>EXP(-LN(2)/25)*FR35+(1-EXP(-LN(2)/25))/(LN(2)/25)*Calculateur!FM36*Calculateur!FO36*VLOOKUP('Données projet'!$B$16,Paramètres!$A$1:$I$88,3,0)*0.475*44/12</f>
        <v>#N/A</v>
      </c>
      <c r="FS36" s="23" t="e">
        <f>EXP(-LN(2)/2)*FS35+(1-EXP(-LN(2)/2))/(LN(2)/2)*FM36*FP36*VLOOKUP('Données projet'!$B$16,Paramètres!$A$1:$I$88,3,0)*0.475*44/12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65.369276125108684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projet'!$B$17,Paramètres!$A$1:$I$88,3,0)*0.475*44/12</f>
        <v>#N/A</v>
      </c>
      <c r="GM36" s="23" t="e">
        <f>EXP(-LN(2)/25)*GM35+(1-EXP(-LN(2)/25))/(LN(2)/25)*Calculateur!GH36*Calculateur!GJ36*VLOOKUP('Données projet'!$B$17,Paramètres!$A$1:$I$88,3,0)*0.475*44/12</f>
        <v>#N/A</v>
      </c>
      <c r="GN36" s="23" t="e">
        <f>EXP(-LN(2)/2)*GN35+(1-EXP(-LN(2)/2))/(LN(2)/2)*GH36*GK36*VLOOKUP('Données projet'!$B$17,Paramètres!$A$1:$I$88,3,0)*0.475*44/12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65.369276125108684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projet'!$B$18,Paramètres!$A$1:$I$88,3,0)*0.475*44/12</f>
        <v>#N/A</v>
      </c>
      <c r="HH36" s="23" t="e">
        <f>EXP(-LN(2)/25)*HH35+(1-EXP(-LN(2)/25))/(LN(2)/25)*Calculateur!HC36*Calculateur!HE36*VLOOKUP('Données projet'!$B$18,Paramètres!$A$1:$I$88,3,0)*0.475*44/12</f>
        <v>#N/A</v>
      </c>
      <c r="HI36" s="23" t="e">
        <f>EXP(-LN(2)/2)*HI35+(1-EXP(-LN(2)/2))/(LN(2)/2)*HC36*HF36*VLOOKUP('Données projet'!$B$18,Paramètres!$A$1:$I$88,3,0)*0.475*44/12</f>
        <v>#N/A</v>
      </c>
      <c r="HJ36" s="24" t="e">
        <f t="shared" si="30"/>
        <v>#N/A</v>
      </c>
    </row>
    <row r="37" spans="1:218" s="5" customFormat="1" x14ac:dyDescent="0.2">
      <c r="A37" s="11">
        <f t="shared" si="31"/>
        <v>34</v>
      </c>
      <c r="B37" s="77">
        <f>'Scénario référence'!$B$16*5+'Scénario référence'!$B$17*0+'Scénario référence'!$B$18*5</f>
        <v>1.6500000000000001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6.0500000000000007</v>
      </c>
      <c r="H37" s="70">
        <f t="shared" si="1"/>
        <v>232.4666666666667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65.44960883159041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26.8</v>
      </c>
      <c r="N37" s="14">
        <f>IF('Données projet'!$A$36&gt;35,N36+M37-V36,IF(A37&lt;'Données projet'!$A$36,$K$205^A37,IF(A37='Données projet'!$A$36,'Données projet'!$B$36,N36+M37-V36)))</f>
        <v>381.20000000000016</v>
      </c>
      <c r="O37" s="14">
        <f>N37*VLOOKUP('Données projet'!$B$9,Paramètres!$A$1:$I$88,3,0)*VLOOKUP('Données projet'!$B$9,Paramètres!$A$1:$I$88,5,0)</f>
        <v>227.95760000000013</v>
      </c>
      <c r="P37" s="14">
        <f t="shared" si="33"/>
        <v>55.840837908542632</v>
      </c>
      <c r="Q37" s="22">
        <f t="shared" si="53"/>
        <v>494.28227935737863</v>
      </c>
      <c r="R37" s="62">
        <f t="shared" si="0"/>
        <v>770.93084507321009</v>
      </c>
      <c r="S37" s="62">
        <f ca="1">AVERAGE(OFFSET($R$3,0,0,'Données projet'!$E$9+1,1))-AVERAGE(OFFSET($H$3,0,0,'Données projet'!$E$9+1,1))</f>
        <v>354.71367224254021</v>
      </c>
      <c r="T37" s="62">
        <f t="shared" si="34"/>
        <v>490.074370133397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0</v>
      </c>
      <c r="AA37" s="23">
        <f>EXP(-LN(2)/25)*AA36+(1-EXP(-LN(2)/25))/(LN(2)/25)*Calculateur!V37*Calculateur!X37*VLOOKUP('Données projet'!$B$9,Paramètres!$A$1:$I$88,3,0)*0.475*44/12</f>
        <v>35.259293462561565</v>
      </c>
      <c r="AB37" s="23">
        <f>EXP(-LN(2)/2)*AB36+(1-EXP(-LN(2)/2))/(LN(2)/2)*V37*Y37*VLOOKUP('Données projet'!$B$9,Paramètres!$A$1:$I$88,3,0)*0.475*44/12</f>
        <v>6.3066593934455542</v>
      </c>
      <c r="AC37" s="24">
        <f t="shared" si="3"/>
        <v>41.565952856007122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65.44960883159041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18.399999999999999</v>
      </c>
      <c r="AI37" s="14">
        <f>IF('Données projet'!$A$62&gt;35,AI36+AH37-AQ36,IF(A37&lt;'Données projet'!$A$62,$AF$205^A37,IF(A37='Données projet'!$A$62,'Données projet'!$B$62,AI36+AH37-AQ36)))</f>
        <v>283.60000000000008</v>
      </c>
      <c r="AJ37" s="14">
        <f>AI37*VLOOKUP('Données projet'!$B$10,Paramètres!$A$1:$I$88,3,0)*VLOOKUP('Données projet'!$B$10,Paramètres!$A$1:$I$88,5,0)</f>
        <v>169.59280000000007</v>
      </c>
      <c r="AK37" s="14">
        <f t="shared" si="35"/>
        <v>42.99881160600269</v>
      </c>
      <c r="AL37" s="22">
        <f t="shared" si="4"/>
        <v>370.2637235471214</v>
      </c>
      <c r="AM37" s="62">
        <f t="shared" si="5"/>
        <v>646.91228926295287</v>
      </c>
      <c r="AN37" s="62">
        <f ca="1">AVERAGE(OFFSET($AM$3,0,0,'Données projet'!$E$10+1,1))-AVERAGE(OFFSET($H$3,0,0,'Données projet'!$E$10+1,1))</f>
        <v>264.73276096087574</v>
      </c>
      <c r="AO37" s="62">
        <f t="shared" si="36"/>
        <v>381.84464918049662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projet'!$B$10,Paramètres!$A$1:$I$88,3,0)*0.475*44/12</f>
        <v>0</v>
      </c>
      <c r="AV37" s="23">
        <f>EXP(-LN(2)/25)*AV36+(1-EXP(-LN(2)/25))/(LN(2)/25)*Calculateur!AQ37*Calculateur!AS37*VLOOKUP('Données projet'!$B$10,Paramètres!$A$1:$I$88,3,0)*0.475*44/12</f>
        <v>24.599199334624362</v>
      </c>
      <c r="AW37" s="23">
        <f>EXP(-LN(2)/2)*AW36+(1-EXP(-LN(2)/2))/(LN(2)/2)*AQ37*AT37*VLOOKUP('Données projet'!$B$10,Paramètres!$A$1:$I$88,3,0)*0.475*44/12</f>
        <v>4.4143735687849244</v>
      </c>
      <c r="AX37" s="23">
        <f t="shared" si="6"/>
        <v>29.013572903409287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65.44960883159041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8</v>
      </c>
      <c r="BD37" s="13">
        <f>IF('Données projet'!$A$88&gt;35,BD36+BC37-BL36,IF(A37&lt;'Données projet'!$A$88,$BA$205^A37,IF(A37='Données projet'!$A$88,'Données projet'!$B$88,BD36+BC37-BL36)))</f>
        <v>108</v>
      </c>
      <c r="BE37" s="14">
        <f>BD37*VLOOKUP('Données projet'!$B$11,Paramètres!$A$1:$I$88,3,0)*VLOOKUP('Données projet'!$B$11,Paramètres!$A$1:$I$88,5,0)</f>
        <v>122.99040000000001</v>
      </c>
      <c r="BF37" s="14">
        <f t="shared" si="37"/>
        <v>32.371458685761077</v>
      </c>
      <c r="BG37" s="22">
        <f t="shared" si="7"/>
        <v>270.5885705443672</v>
      </c>
      <c r="BH37" s="62">
        <f t="shared" si="8"/>
        <v>547.23713626019867</v>
      </c>
      <c r="BI37" s="62">
        <f ca="1">AVERAGE(OFFSET($BH$3,0,0,'Données projet'!$E$11+1,1))-AVERAGE(OFFSET($H$3,0,0,'Données projet'!$E$11+1,1))</f>
        <v>470.57532875732056</v>
      </c>
      <c r="BJ37" s="62">
        <f t="shared" si="38"/>
        <v>286.63787681165888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projet'!$B$11,Paramètres!$A$1:$I$88,3,0)*0.475*44/12</f>
        <v>0</v>
      </c>
      <c r="BQ37" s="23">
        <f>EXP(-LN(2)/25)*BQ36+(1-EXP(-LN(2)/25))/(LN(2)/25)*Calculateur!BL37*Calculateur!BN37*VLOOKUP('Données projet'!$B$11,Paramètres!$A$1:$I$88,3,0)*0.475*44/12</f>
        <v>0</v>
      </c>
      <c r="BR37" s="23">
        <f>EXP(-LN(2)/2)*BR36+(1-EXP(-LN(2)/2))/(LN(2)/2)*BL37*BO37*VLOOKUP('Données projet'!$B$11,Paramètres!$A$1:$I$88,3,0)*0.475*44/12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65.44960883159041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12.8</v>
      </c>
      <c r="BY37" s="13">
        <f>IF('Données projet'!$A$114&gt;35,BY36+BX37-CG36,IF(A37&lt;'Données projet'!$A$114,$BV$205^A37,IF(A37='Données projet'!$A$114,'Données projet'!$B$114,BY36+BX37-CG36)))</f>
        <v>193.19999999999996</v>
      </c>
      <c r="BZ37" s="14">
        <f>BY37*VLOOKUP('Données projet'!$B$12,Paramètres!$A$1:$I$88,3,0)*VLOOKUP('Données projet'!$B$12,Paramètres!$A$1:$I$88,5,0)</f>
        <v>126.58463999999996</v>
      </c>
      <c r="CA37" s="14">
        <f t="shared" si="39"/>
        <v>33.205951254973805</v>
      </c>
      <c r="CB37" s="22">
        <f t="shared" si="10"/>
        <v>278.301946435746</v>
      </c>
      <c r="CC37" s="62">
        <f t="shared" si="11"/>
        <v>554.95051215157741</v>
      </c>
      <c r="CD37" s="62">
        <f ca="1">AVERAGE(OFFSET($CC$3,0,0,'Données projet'!$E$12+1,1))-AVERAGE(OFFSET($H$3,0,0,'Données projet'!$E$12+1,1))</f>
        <v>305.38855494899906</v>
      </c>
      <c r="CE37" s="62">
        <f t="shared" si="40"/>
        <v>298.48106301229177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projet'!$B$12,Paramètres!$A$1:$I$88,3,0)*0.475*44/12</f>
        <v>0</v>
      </c>
      <c r="CL37" s="23">
        <f>EXP(-LN(2)/25)*CL36+(1-EXP(-LN(2)/25))/(LN(2)/25)*Calculateur!CG37*Calculateur!CI37*VLOOKUP('Données projet'!$B$12,Paramètres!$A$1:$I$88,3,0)*0.475*44/12</f>
        <v>0</v>
      </c>
      <c r="CM37" s="23">
        <f>EXP(-LN(2)/2)*CM36+(1-EXP(-LN(2)/2))/(LN(2)/2)*CG37*CJ37*VLOOKUP('Données projet'!$B$12,Paramètres!$A$1:$I$88,3,0)*0.475*44/12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65.44960883159041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12.8</v>
      </c>
      <c r="CT37" s="13">
        <f>IF('Données projet'!$A$140&gt;35,CT36+CS37-DB36,IF(A37&lt;'Données projet'!$A$140,$CQ$205^A37,IF(A37='Données projet'!$A$140,'Données projet'!$B$140,CT36+CS37-DB36)))</f>
        <v>193.19999999999996</v>
      </c>
      <c r="CU37" s="18">
        <f>CT37*VLOOKUP('Données projet'!$B$13,Paramètres!$A$1:$I$88,3,0)*VLOOKUP('Données projet'!$B$13,Paramètres!$A$1:$I$88,5,0)</f>
        <v>153.70991999999998</v>
      </c>
      <c r="CV37" s="14">
        <f t="shared" si="41"/>
        <v>39.420475690379831</v>
      </c>
      <c r="CW37" s="22">
        <f t="shared" si="13"/>
        <v>336.3687724940782</v>
      </c>
      <c r="CX37" s="62">
        <f t="shared" si="14"/>
        <v>613.01733820990967</v>
      </c>
      <c r="CY37" s="62">
        <f ca="1">AVERAGE(OFFSET($CX$3,0,0,'Données projet'!$E$13+1,1))-AVERAGE(OFFSET($H$3,0,0,'Données projet'!$E$13+1,1))</f>
        <v>361.30066984973894</v>
      </c>
      <c r="CZ37" s="62">
        <f t="shared" si="42"/>
        <v>351.78053157121622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projet'!$B$13,Paramètres!$A$1:$I$88,3,0)*0.475*44/12</f>
        <v>0</v>
      </c>
      <c r="DG37" s="23">
        <f>EXP(-LN(2)/25)*DG36+(1-EXP(-LN(2)/25))/(LN(2)/25)*Calculateur!DB37*Calculateur!DD37*VLOOKUP('Données projet'!$B$13,Paramètres!$A$1:$I$88,3,0)*0.475*44/12</f>
        <v>0</v>
      </c>
      <c r="DH37" s="23">
        <f>EXP(-LN(2)/2)*DH36+(1-EXP(-LN(2)/2))/(LN(2)/2)*DB37*DE37*VLOOKUP('Données projet'!$B$13,Paramètres!$A$1:$I$88,3,0)*0.475*44/12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65.44960883159041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>
        <f>DO37*VLOOKUP('Données projet'!$B$14,Paramètres!$A$1:$I$88,3,0)*VLOOKUP('Données projet'!$B$14,Paramètres!$A$1:$I$88,5,0)</f>
        <v>0</v>
      </c>
      <c r="DQ37" s="14" t="e">
        <f t="shared" si="43"/>
        <v>#NUM!</v>
      </c>
      <c r="DR37" s="22" t="e">
        <f t="shared" si="16"/>
        <v>#NUM!</v>
      </c>
      <c r="DS37" s="62" t="e">
        <f t="shared" si="17"/>
        <v>#NUM!</v>
      </c>
      <c r="DT37" s="62">
        <f ca="1">AVERAGE(OFFSET($DS$3,0,0,'Données projet'!$E$14+1,1))-AVERAGE(OFFSET($H$3,0,0,'Données projet'!$E$14+1,1))</f>
        <v>91.201152634762423</v>
      </c>
      <c r="DU37" s="62">
        <f t="shared" si="44"/>
        <v>233.36981992862445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projet'!$B$14,Paramètres!$A$1:$I$88,3,0)*0.475*44/12</f>
        <v>38.299470260694591</v>
      </c>
      <c r="EB37" s="23">
        <f>EXP(-LN(2)/25)*EB36+(1-EXP(-LN(2)/25))/(LN(2)/25)*Calculateur!DW37*Calculateur!DY37*VLOOKUP('Données projet'!$B$14,Paramètres!$A$1:$I$88,3,0)*0.475*44/12</f>
        <v>0</v>
      </c>
      <c r="EC37" s="23">
        <f>EXP(-LN(2)/2)*EC36+(1-EXP(-LN(2)/2))/(LN(2)/2)*DW37*DZ37*VLOOKUP('Données projet'!$B$14,Paramètres!$A$1:$I$88,3,0)*0.475*44/12</f>
        <v>0</v>
      </c>
      <c r="ED37" s="24">
        <f t="shared" si="18"/>
        <v>38.299470260694591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65.44960883159041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projet'!$B$15,Paramètres!$A$1:$I$88,3,0)*0.475*44/12</f>
        <v>#N/A</v>
      </c>
      <c r="EW37" s="23" t="e">
        <f>EXP(-LN(2)/25)*EW36+(1-EXP(-LN(2)/25))/(LN(2)/25)*Calculateur!ER37*Calculateur!ET37*VLOOKUP('Données projet'!$B$15,Paramètres!$A$1:$I$88,3,0)*0.475*44/12</f>
        <v>#N/A</v>
      </c>
      <c r="EX37" s="23" t="e">
        <f>EXP(-LN(2)/2)*EX36+(1-EXP(-LN(2)/2))/(LN(2)/2)*ER37*EU37*VLOOKUP('Données projet'!$B$15,Paramètres!$A$1:$I$88,3,0)*0.475*44/12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65.44960883159041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projet'!$B$16,Paramètres!$A$1:$I$88,3,0)*0.475*44/12</f>
        <v>#N/A</v>
      </c>
      <c r="FR37" s="23" t="e">
        <f>EXP(-LN(2)/25)*FR36+(1-EXP(-LN(2)/25))/(LN(2)/25)*Calculateur!FM37*Calculateur!FO37*VLOOKUP('Données projet'!$B$16,Paramètres!$A$1:$I$88,3,0)*0.475*44/12</f>
        <v>#N/A</v>
      </c>
      <c r="FS37" s="23" t="e">
        <f>EXP(-LN(2)/2)*FS36+(1-EXP(-LN(2)/2))/(LN(2)/2)*FM37*FP37*VLOOKUP('Données projet'!$B$16,Paramètres!$A$1:$I$88,3,0)*0.475*44/12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65.44960883159041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projet'!$B$17,Paramètres!$A$1:$I$88,3,0)*0.475*44/12</f>
        <v>#N/A</v>
      </c>
      <c r="GM37" s="23" t="e">
        <f>EXP(-LN(2)/25)*GM36+(1-EXP(-LN(2)/25))/(LN(2)/25)*Calculateur!GH37*Calculateur!GJ37*VLOOKUP('Données projet'!$B$17,Paramètres!$A$1:$I$88,3,0)*0.475*44/12</f>
        <v>#N/A</v>
      </c>
      <c r="GN37" s="23" t="e">
        <f>EXP(-LN(2)/2)*GN36+(1-EXP(-LN(2)/2))/(LN(2)/2)*GH37*GK37*VLOOKUP('Données projet'!$B$17,Paramètres!$A$1:$I$88,3,0)*0.475*44/12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65.44960883159041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projet'!$B$18,Paramètres!$A$1:$I$88,3,0)*0.475*44/12</f>
        <v>#N/A</v>
      </c>
      <c r="HH37" s="23" t="e">
        <f>EXP(-LN(2)/25)*HH36+(1-EXP(-LN(2)/25))/(LN(2)/25)*Calculateur!HC37*Calculateur!HE37*VLOOKUP('Données projet'!$B$18,Paramètres!$A$1:$I$88,3,0)*0.475*44/12</f>
        <v>#N/A</v>
      </c>
      <c r="HI37" s="23" t="e">
        <f>EXP(-LN(2)/2)*HI36+(1-EXP(-LN(2)/2))/(LN(2)/2)*HC37*HF37*VLOOKUP('Données projet'!$B$18,Paramètres!$A$1:$I$88,3,0)*0.475*44/12</f>
        <v>#N/A</v>
      </c>
      <c r="HJ37" s="24" t="e">
        <f t="shared" si="30"/>
        <v>#N/A</v>
      </c>
    </row>
    <row r="38" spans="1:218" s="5" customFormat="1" x14ac:dyDescent="0.2">
      <c r="A38" s="11">
        <f t="shared" si="31"/>
        <v>35</v>
      </c>
      <c r="B38" s="77">
        <f>'Scénario référence'!$B$16*5+'Scénario référence'!$B$17*0+'Scénario référence'!$B$18*5</f>
        <v>1.6500000000000001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6.0500000000000007</v>
      </c>
      <c r="H38" s="70">
        <f t="shared" si="1"/>
        <v>232.4666666666667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65.528547945211713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408</v>
      </c>
      <c r="L38" s="13">
        <f>VLOOKUP(A38,'Données projet'!$A$35:$I$55,9,0)</f>
        <v>26.8</v>
      </c>
      <c r="M38" s="13">
        <f t="array" ref="M38">INDEX(L:L,MIN(IF(ISNUMBER(L38:L234),ROW(L38:L234),"")))</f>
        <v>26.8</v>
      </c>
      <c r="N38" s="14">
        <f>IF('Données projet'!$A$36&gt;35,N37+M38-V37,IF(A38&lt;'Données projet'!$A$36,$K$205^A38,IF(A38='Données projet'!$A$36,'Données projet'!$B$36,N37+M38-V37)))</f>
        <v>408.00000000000017</v>
      </c>
      <c r="O38" s="14">
        <f>N38*VLOOKUP('Données projet'!$B$9,Paramètres!$A$1:$I$88,3,0)*VLOOKUP('Données projet'!$B$9,Paramètres!$A$1:$I$88,5,0)</f>
        <v>243.98400000000012</v>
      </c>
      <c r="P38" s="14">
        <f t="shared" si="33"/>
        <v>59.295884425255011</v>
      </c>
      <c r="Q38" s="22">
        <f t="shared" si="53"/>
        <v>528.21246537398599</v>
      </c>
      <c r="R38" s="62">
        <f t="shared" si="0"/>
        <v>805.15047450642896</v>
      </c>
      <c r="S38" s="62">
        <f ca="1">AVERAGE(OFFSET($R$3,0,0,'Données projet'!$E$9+1,1))-AVERAGE(OFFSET($H$3,0,0,'Données projet'!$E$9+1,1))</f>
        <v>354.71367224254021</v>
      </c>
      <c r="T38" s="62">
        <f t="shared" si="34"/>
        <v>490.074370133397</v>
      </c>
      <c r="U38" s="16">
        <f>IF(ISNA(VLOOKUP(A38,'Données projet'!$A$35:$I$55,3,0)),0,VLOOKUP(A38,'Données projet'!$A$35:$I$55,3,0))</f>
        <v>5</v>
      </c>
      <c r="V38" s="16">
        <f>IF(ISNA(VLOOKUP(A38,'Données projet'!$A$35:$I$55,4,0)),0,VLOOKUP(A38,'Données projet'!$A$35:$I$55,4,0))</f>
        <v>70</v>
      </c>
      <c r="W38" s="17">
        <f>IF(ISNA(VLOOKUP(A38,'Données projet'!$A$35:$I$55,5,0)),0%,VLOOKUP(A38,'Données projet'!$A$35:$I$55,5,0)*VLOOKUP('Données projet'!$B$9,Paramètres!$A$1:$I$88,7,0))</f>
        <v>0.13500000000000001</v>
      </c>
      <c r="X38" s="17">
        <f>IF(ISNA(VLOOKUP(A38,'Données projet'!$A$35:$I$55,6,0)),0%,VLOOKUP(A38,'Données projet'!$A$35:$I$55,6,0)*VLOOKUP('Données projet'!$B$9,Paramètres!$A$1:$I$88,7,0))</f>
        <v>0.1764</v>
      </c>
      <c r="Y38" s="17">
        <f>IF(ISNA(VLOOKUP(A38,'Données projet'!$A$35:$I$55,7,0)),0%,VLOOKUP(A38,'Données projet'!$A$35:$I$55,7,0))</f>
        <v>0.308</v>
      </c>
      <c r="Z38" s="23">
        <f>EXP(-LN(2)/35)*Z37+(1-EXP(-LN(2)/35))/(LN(2)/35)*V38*W38*VLOOKUP('Données projet'!$B$9,Paramètres!$A$1:$I$88,3,0)*0.475*44/12</f>
        <v>7.4965483941343871</v>
      </c>
      <c r="AA38" s="23">
        <f>EXP(-LN(2)/25)*AA37+(1-EXP(-LN(2)/25))/(LN(2)/25)*Calculateur!V38*Calculateur!X38*VLOOKUP('Données projet'!$B$9,Paramètres!$A$1:$I$88,3,0)*0.475*44/12</f>
        <v>44.052047554173953</v>
      </c>
      <c r="AB38" s="23">
        <f>EXP(-LN(2)/2)*AB37+(1-EXP(-LN(2)/2))/(LN(2)/2)*V38*Y38*VLOOKUP('Données projet'!$B$9,Paramètres!$A$1:$I$88,3,0)*0.475*44/12</f>
        <v>19.057216767872209</v>
      </c>
      <c r="AC38" s="24">
        <f t="shared" si="3"/>
        <v>70.605812716180552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65.528547945211713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302</v>
      </c>
      <c r="AG38" s="13">
        <f>VLOOKUP(A38,'Données projet'!$A$61:$I$81,9,0)</f>
        <v>18.399999999999999</v>
      </c>
      <c r="AH38" s="13">
        <f t="array" ref="AH38">INDEX(AG:AG,MIN(IF(ISNUMBER(AG38:AG234),ROW(AG38:AG234),"")))</f>
        <v>18.399999999999999</v>
      </c>
      <c r="AI38" s="14">
        <f>IF('Données projet'!$A$62&gt;35,AI37+AH38-AQ37,IF(A38&lt;'Données projet'!$A$62,$AF$205^A38,IF(A38='Données projet'!$A$62,'Données projet'!$B$62,AI37+AH38-AQ37)))</f>
        <v>302.00000000000006</v>
      </c>
      <c r="AJ38" s="14">
        <f>AI38*VLOOKUP('Données projet'!$B$10,Paramètres!$A$1:$I$88,3,0)*VLOOKUP('Données projet'!$B$10,Paramètres!$A$1:$I$88,5,0)</f>
        <v>180.59600000000006</v>
      </c>
      <c r="AK38" s="14">
        <f t="shared" si="35"/>
        <v>45.45475966463092</v>
      </c>
      <c r="AL38" s="22">
        <f t="shared" si="4"/>
        <v>393.7050730825656</v>
      </c>
      <c r="AM38" s="62">
        <f t="shared" si="5"/>
        <v>670.64308221500846</v>
      </c>
      <c r="AN38" s="62">
        <f ca="1">AVERAGE(OFFSET($AM$3,0,0,'Données projet'!$E$10+1,1))-AVERAGE(OFFSET($H$3,0,0,'Données projet'!$E$10+1,1))</f>
        <v>264.73276096087574</v>
      </c>
      <c r="AO38" s="62">
        <f t="shared" si="36"/>
        <v>381.84464918049662</v>
      </c>
      <c r="AP38" s="16">
        <f>IF(ISNA(VLOOKUP(A38,'Données projet'!$A$61:$I$81,3,0)),0,VLOOKUP(A38,'Données projet'!$A$61:$I$81,3,0))</f>
        <v>5</v>
      </c>
      <c r="AQ38" s="16">
        <f>IF(ISNA(VLOOKUP(A38,'Données projet'!$A$61:$I$81,4,0)),0,VLOOKUP(A38,'Données projet'!$A$61:$I$81,4,0))</f>
        <v>49</v>
      </c>
      <c r="AR38" s="17">
        <f>IF(ISNA(VLOOKUP(A38,'Données projet'!$A$61:$I$81,5,0)),0%,VLOOKUP(A38,'Données projet'!$A$61:$I$81,5,0)*VLOOKUP('Données projet'!$B$10,Paramètres!$A$1:$I$88,7,0))</f>
        <v>0.13500000000000001</v>
      </c>
      <c r="AS38" s="17">
        <f>IF(ISNA(VLOOKUP(A38,'Données projet'!$A$61:$I$81,6,0)),0%,VLOOKUP(A38,'Données projet'!$A$61:$I$81,6,0)*VLOOKUP('Données projet'!$B$10,Paramètres!$A$1:$I$88,7,0))</f>
        <v>0.1764</v>
      </c>
      <c r="AT38" s="17">
        <f>IF(ISNA(VLOOKUP(A38,'Données projet'!$A$61:$I$81,7,0)),0%,VLOOKUP(A38,'Données projet'!$A$61:$I$81,7,0))</f>
        <v>0.308</v>
      </c>
      <c r="AU38" s="23">
        <f>EXP(-LN(2)/35)*AU37+(1-EXP(-LN(2)/35))/(LN(2)/35)*AQ38*AR38*VLOOKUP('Données projet'!$B$10,Paramètres!$A$1:$I$88,3,0)*0.475*44/12</f>
        <v>5.2475838758940698</v>
      </c>
      <c r="AV38" s="23">
        <f>EXP(-LN(2)/25)*AV37+(1-EXP(-LN(2)/25))/(LN(2)/25)*Calculateur!AQ38*Calculateur!AS38*VLOOKUP('Données projet'!$B$10,Paramètres!$A$1:$I$88,3,0)*0.475*44/12</f>
        <v>30.756377863089646</v>
      </c>
      <c r="AW38" s="23">
        <f>EXP(-LN(2)/2)*AW37+(1-EXP(-LN(2)/2))/(LN(2)/2)*AQ38*AT38*VLOOKUP('Données projet'!$B$10,Paramètres!$A$1:$I$88,3,0)*0.475*44/12</f>
        <v>13.339848086071594</v>
      </c>
      <c r="AX38" s="23">
        <f t="shared" si="6"/>
        <v>49.343809825055317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65.528547945211713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116</v>
      </c>
      <c r="BB38" s="13">
        <f>VLOOKUP(A38,'Données projet'!$A$87:$I$107,9,0)</f>
        <v>8</v>
      </c>
      <c r="BC38" s="13">
        <f t="array" ref="BC38">INDEX(BB:BB,MIN(IF(ISNUMBER(BB38:BB234),ROW(BB38:BB234),"")))</f>
        <v>8</v>
      </c>
      <c r="BD38" s="13">
        <f>IF('Données projet'!$A$88&gt;35,BD37+BC38-BL37,IF(A38&lt;'Données projet'!$A$88,$BA$205^A38,IF(A38='Données projet'!$A$88,'Données projet'!$B$88,BD37+BC38-BL37)))</f>
        <v>116</v>
      </c>
      <c r="BE38" s="14">
        <f>BD38*VLOOKUP('Données projet'!$B$11,Paramètres!$A$1:$I$88,3,0)*VLOOKUP('Données projet'!$B$11,Paramètres!$A$1:$I$88,5,0)</f>
        <v>132.10079999999999</v>
      </c>
      <c r="BF38" s="14">
        <f t="shared" si="37"/>
        <v>34.481338697931115</v>
      </c>
      <c r="BG38" s="22">
        <f t="shared" si="7"/>
        <v>290.13055823222999</v>
      </c>
      <c r="BH38" s="62">
        <f t="shared" si="8"/>
        <v>567.06856736467284</v>
      </c>
      <c r="BI38" s="62">
        <f ca="1">AVERAGE(OFFSET($BH$3,0,0,'Données projet'!$E$11+1,1))-AVERAGE(OFFSET($H$3,0,0,'Données projet'!$E$11+1,1))</f>
        <v>470.57532875732056</v>
      </c>
      <c r="BJ38" s="62">
        <f t="shared" si="38"/>
        <v>286.63787681165888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21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projet'!$B$11,Paramètres!$A$1:$I$88,3,0)*0.475*44/12</f>
        <v>0</v>
      </c>
      <c r="BQ38" s="23">
        <f>EXP(-LN(2)/25)*BQ37+(1-EXP(-LN(2)/25))/(LN(2)/25)*Calculateur!BL38*Calculateur!BN38*VLOOKUP('Données projet'!$B$11,Paramètres!$A$1:$I$88,3,0)*0.475*44/12</f>
        <v>0</v>
      </c>
      <c r="BR38" s="23">
        <f>EXP(-LN(2)/2)*BR37+(1-EXP(-LN(2)/2))/(LN(2)/2)*BL38*BO38*VLOOKUP('Données projet'!$B$11,Paramètres!$A$1:$I$88,3,0)*0.475*44/12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65.528547945211713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206</v>
      </c>
      <c r="BW38" s="13">
        <f>VLOOKUP(A38,'Données projet'!$A$113:$I$133,9,0)</f>
        <v>12.8</v>
      </c>
      <c r="BX38" s="13">
        <f t="array" ref="BX38">INDEX(BW:BW,MIN(IF(ISNUMBER(BW38:BW234),ROW(BW38:BW234),"")))</f>
        <v>12.8</v>
      </c>
      <c r="BY38" s="13">
        <f>IF('Données projet'!$A$114&gt;35,BY37+BX38-CG37,IF(A38&lt;'Données projet'!$A$114,$BV$205^A38,IF(A38='Données projet'!$A$114,'Données projet'!$B$114,BY37+BX38-CG37)))</f>
        <v>205.99999999999997</v>
      </c>
      <c r="BZ38" s="14">
        <f>BY38*VLOOKUP('Données projet'!$B$12,Paramètres!$A$1:$I$88,3,0)*VLOOKUP('Données projet'!$B$12,Paramètres!$A$1:$I$88,5,0)</f>
        <v>134.97119999999998</v>
      </c>
      <c r="CA38" s="14">
        <f t="shared" si="39"/>
        <v>35.142536849088657</v>
      </c>
      <c r="CB38" s="22">
        <f t="shared" si="10"/>
        <v>296.28142501216269</v>
      </c>
      <c r="CC38" s="62">
        <f t="shared" si="11"/>
        <v>573.21943414460566</v>
      </c>
      <c r="CD38" s="62">
        <f ca="1">AVERAGE(OFFSET($CC$3,0,0,'Données projet'!$E$12+1,1))-AVERAGE(OFFSET($H$3,0,0,'Données projet'!$E$12+1,1))</f>
        <v>305.38855494899906</v>
      </c>
      <c r="CE38" s="62">
        <f t="shared" si="40"/>
        <v>298.48106301229177</v>
      </c>
      <c r="CF38" s="16">
        <f>IF(ISNA(VLOOKUP(A38,'Données projet'!$A$113:$I$133,3,0)),0,VLOOKUP(A38,'Données projet'!$A$113:$I$133,3,0))</f>
        <v>6</v>
      </c>
      <c r="CG38" s="16">
        <f>IF(ISNA(VLOOKUP(A38,'Données projet'!$A$113:$I$133,4,0)),0,VLOOKUP(A38,'Données projet'!$A$113:$I$133,4,0))</f>
        <v>35</v>
      </c>
      <c r="CH38" s="17">
        <f>IF(ISNA(VLOOKUP(A38,'Données projet'!$A$113:$I$133,5,0)),0%,VLOOKUP(A38,'Données projet'!$A$113:$I$133,5,0)*VLOOKUP('Données projet'!$B$12,Paramètres!$A$1:$I$88,7,0))</f>
        <v>8.6000000000000007E-2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projet'!$B$12,Paramètres!$A$1:$I$88,3,0)*0.475*44/12</f>
        <v>2.180155619936667</v>
      </c>
      <c r="CL38" s="23">
        <f>EXP(-LN(2)/25)*CL37+(1-EXP(-LN(2)/25))/(LN(2)/25)*Calculateur!CG38*Calculateur!CI38*VLOOKUP('Données projet'!$B$12,Paramètres!$A$1:$I$88,3,0)*0.475*44/12</f>
        <v>0</v>
      </c>
      <c r="CM38" s="23">
        <f>EXP(-LN(2)/2)*CM37+(1-EXP(-LN(2)/2))/(LN(2)/2)*CG38*CJ38*VLOOKUP('Données projet'!$B$12,Paramètres!$A$1:$I$88,3,0)*0.475*44/12</f>
        <v>0</v>
      </c>
      <c r="CN38" s="24">
        <f t="shared" si="12"/>
        <v>2.180155619936667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65.528547945211713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206</v>
      </c>
      <c r="CR38" s="13">
        <f>VLOOKUP(A38,'Données projet'!$A$139:$I$159,9,0)</f>
        <v>12.8</v>
      </c>
      <c r="CS38" s="13">
        <f t="array" ref="CS38">INDEX(CR:CR,MIN(IF(ISNUMBER(CR38:CR234),ROW(CR38:CR234),"")))</f>
        <v>12.8</v>
      </c>
      <c r="CT38" s="13">
        <f>IF('Données projet'!$A$140&gt;35,CT37+CS38-DB37,IF(A38&lt;'Données projet'!$A$140,$CQ$205^A38,IF(A38='Données projet'!$A$140,'Données projet'!$B$140,CT37+CS38-DB37)))</f>
        <v>205.99999999999997</v>
      </c>
      <c r="CU38" s="18">
        <f>CT38*VLOOKUP('Données projet'!$B$13,Paramètres!$A$1:$I$88,3,0)*VLOOKUP('Données projet'!$B$13,Paramètres!$A$1:$I$88,5,0)</f>
        <v>163.89359999999999</v>
      </c>
      <c r="CV38" s="14">
        <f t="shared" si="41"/>
        <v>41.71949506642347</v>
      </c>
      <c r="CW38" s="22">
        <f t="shared" si="13"/>
        <v>358.10947390735419</v>
      </c>
      <c r="CX38" s="62">
        <f t="shared" si="14"/>
        <v>635.04748303979704</v>
      </c>
      <c r="CY38" s="62">
        <f ca="1">AVERAGE(OFFSET($CX$3,0,0,'Données projet'!$E$13+1,1))-AVERAGE(OFFSET($H$3,0,0,'Données projet'!$E$13+1,1))</f>
        <v>361.30066984973894</v>
      </c>
      <c r="CZ38" s="62">
        <f t="shared" si="42"/>
        <v>351.78053157121622</v>
      </c>
      <c r="DA38" s="16">
        <f>IF(ISNA(VLOOKUP(A38,'Données projet'!$A$139:$I$159,3,0)),0,VLOOKUP(A38,'Données projet'!$A$139:$I$159,3,0))</f>
        <v>6</v>
      </c>
      <c r="DB38" s="16">
        <f>IF(ISNA(VLOOKUP(A38,'Données projet'!$A$139:$I$159,4,0)),0,VLOOKUP(A38,'Données projet'!$A$139:$I$159,4,0))</f>
        <v>35</v>
      </c>
      <c r="DC38" s="17">
        <f>IF(ISNA(VLOOKUP(A38,'Données projet'!$A$139:$I$159,5,0)),0%,VLOOKUP(A38,'Données projet'!$A$139:$I$159,5,0)*VLOOKUP('Données projet'!$B$13,Paramètres!$A$1:$I$88,7,0))</f>
        <v>0.10600000000000001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projet'!$B$13,Paramètres!$A$1:$I$88,3,0)*0.475*44/12</f>
        <v>3.2629903879783009</v>
      </c>
      <c r="DG38" s="23">
        <f>EXP(-LN(2)/25)*DG37+(1-EXP(-LN(2)/25))/(LN(2)/25)*Calculateur!DB38*Calculateur!DD38*VLOOKUP('Données projet'!$B$13,Paramètres!$A$1:$I$88,3,0)*0.475*44/12</f>
        <v>0</v>
      </c>
      <c r="DH38" s="23">
        <f>EXP(-LN(2)/2)*DH37+(1-EXP(-LN(2)/2))/(LN(2)/2)*DB38*DE38*VLOOKUP('Données projet'!$B$13,Paramètres!$A$1:$I$88,3,0)*0.475*44/12</f>
        <v>0</v>
      </c>
      <c r="DI38" s="24">
        <f t="shared" si="15"/>
        <v>3.2629903879783009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65.528547945211713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>
        <f>DO38*VLOOKUP('Données projet'!$B$14,Paramètres!$A$1:$I$88,3,0)*VLOOKUP('Données projet'!$B$14,Paramètres!$A$1:$I$88,5,0)</f>
        <v>0</v>
      </c>
      <c r="DQ38" s="14" t="e">
        <f t="shared" si="43"/>
        <v>#NUM!</v>
      </c>
      <c r="DR38" s="22" t="e">
        <f t="shared" si="16"/>
        <v>#NUM!</v>
      </c>
      <c r="DS38" s="62" t="e">
        <f t="shared" si="17"/>
        <v>#NUM!</v>
      </c>
      <c r="DT38" s="62">
        <f ca="1">AVERAGE(OFFSET($DS$3,0,0,'Données projet'!$E$14+1,1))-AVERAGE(OFFSET($H$3,0,0,'Données projet'!$E$14+1,1))</f>
        <v>91.201152634762423</v>
      </c>
      <c r="DU38" s="62">
        <f t="shared" si="44"/>
        <v>233.36981992862445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projet'!$B$14,Paramètres!$A$1:$I$88,3,0)*0.475*44/12</f>
        <v>37.548441009252585</v>
      </c>
      <c r="EB38" s="23">
        <f>EXP(-LN(2)/25)*EB37+(1-EXP(-LN(2)/25))/(LN(2)/25)*Calculateur!DW38*Calculateur!DY38*VLOOKUP('Données projet'!$B$14,Paramètres!$A$1:$I$88,3,0)*0.475*44/12</f>
        <v>0</v>
      </c>
      <c r="EC38" s="23">
        <f>EXP(-LN(2)/2)*EC37+(1-EXP(-LN(2)/2))/(LN(2)/2)*DW38*DZ38*VLOOKUP('Données projet'!$B$14,Paramètres!$A$1:$I$88,3,0)*0.475*44/12</f>
        <v>0</v>
      </c>
      <c r="ED38" s="24">
        <f t="shared" si="18"/>
        <v>37.548441009252585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65.528547945211713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projet'!$B$15,Paramètres!$A$1:$I$88,3,0)*0.475*44/12</f>
        <v>#N/A</v>
      </c>
      <c r="EW38" s="23" t="e">
        <f>EXP(-LN(2)/25)*EW37+(1-EXP(-LN(2)/25))/(LN(2)/25)*Calculateur!ER38*Calculateur!ET38*VLOOKUP('Données projet'!$B$15,Paramètres!$A$1:$I$88,3,0)*0.475*44/12</f>
        <v>#N/A</v>
      </c>
      <c r="EX38" s="23" t="e">
        <f>EXP(-LN(2)/2)*EX37+(1-EXP(-LN(2)/2))/(LN(2)/2)*ER38*EU38*VLOOKUP('Données projet'!$B$15,Paramètres!$A$1:$I$88,3,0)*0.475*44/12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65.528547945211713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projet'!$B$16,Paramètres!$A$1:$I$88,3,0)*0.475*44/12</f>
        <v>#N/A</v>
      </c>
      <c r="FR38" s="23" t="e">
        <f>EXP(-LN(2)/25)*FR37+(1-EXP(-LN(2)/25))/(LN(2)/25)*Calculateur!FM38*Calculateur!FO38*VLOOKUP('Données projet'!$B$16,Paramètres!$A$1:$I$88,3,0)*0.475*44/12</f>
        <v>#N/A</v>
      </c>
      <c r="FS38" s="23" t="e">
        <f>EXP(-LN(2)/2)*FS37+(1-EXP(-LN(2)/2))/(LN(2)/2)*FM38*FP38*VLOOKUP('Données projet'!$B$16,Paramètres!$A$1:$I$88,3,0)*0.475*44/12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65.528547945211713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projet'!$B$17,Paramètres!$A$1:$I$88,3,0)*0.475*44/12</f>
        <v>#N/A</v>
      </c>
      <c r="GM38" s="23" t="e">
        <f>EXP(-LN(2)/25)*GM37+(1-EXP(-LN(2)/25))/(LN(2)/25)*Calculateur!GH38*Calculateur!GJ38*VLOOKUP('Données projet'!$B$17,Paramètres!$A$1:$I$88,3,0)*0.475*44/12</f>
        <v>#N/A</v>
      </c>
      <c r="GN38" s="23" t="e">
        <f>EXP(-LN(2)/2)*GN37+(1-EXP(-LN(2)/2))/(LN(2)/2)*GH38*GK38*VLOOKUP('Données projet'!$B$17,Paramètres!$A$1:$I$88,3,0)*0.475*44/12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65.528547945211713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projet'!$B$18,Paramètres!$A$1:$I$88,3,0)*0.475*44/12</f>
        <v>#N/A</v>
      </c>
      <c r="HH38" s="23" t="e">
        <f>EXP(-LN(2)/25)*HH37+(1-EXP(-LN(2)/25))/(LN(2)/25)*Calculateur!HC38*Calculateur!HE38*VLOOKUP('Données projet'!$B$18,Paramètres!$A$1:$I$88,3,0)*0.475*44/12</f>
        <v>#N/A</v>
      </c>
      <c r="HI38" s="23" t="e">
        <f>EXP(-LN(2)/2)*HI37+(1-EXP(-LN(2)/2))/(LN(2)/2)*HC38*HF38*VLOOKUP('Données projet'!$B$18,Paramètres!$A$1:$I$88,3,0)*0.475*44/12</f>
        <v>#N/A</v>
      </c>
      <c r="HJ38" s="24" t="e">
        <f t="shared" si="30"/>
        <v>#N/A</v>
      </c>
    </row>
    <row r="39" spans="1:218" s="5" customFormat="1" x14ac:dyDescent="0.2">
      <c r="A39" s="11">
        <f t="shared" si="31"/>
        <v>36</v>
      </c>
      <c r="B39" s="77">
        <f>'Scénario référence'!$B$16*5+'Scénario référence'!$B$17*0+'Scénario référence'!$B$18*5</f>
        <v>1.6500000000000001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6.0500000000000007</v>
      </c>
      <c r="H39" s="70">
        <f t="shared" si="1"/>
        <v>232.4666666666667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65.606117641693103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25.8</v>
      </c>
      <c r="N39" s="14">
        <f>IF('Données projet'!$A$36&gt;35,N38+M39-V38,IF(A39&lt;'Données projet'!$A$36,$K$205^A39,IF(A39='Données projet'!$A$36,'Données projet'!$B$36,N38+M39-V38)))</f>
        <v>363.80000000000018</v>
      </c>
      <c r="O39" s="14">
        <f>N39*VLOOKUP('Données projet'!$B$9,Paramètres!$A$1:$I$88,3,0)*VLOOKUP('Données projet'!$B$9,Paramètres!$A$1:$I$88,5,0)</f>
        <v>217.55240000000015</v>
      </c>
      <c r="P39" s="14">
        <f t="shared" si="33"/>
        <v>53.58256606538</v>
      </c>
      <c r="Q39" s="22">
        <f t="shared" si="53"/>
        <v>472.22673256387026</v>
      </c>
      <c r="R39" s="62">
        <f t="shared" si="0"/>
        <v>749.44916391674496</v>
      </c>
      <c r="S39" s="62">
        <f ca="1">AVERAGE(OFFSET($R$3,0,0,'Données projet'!$E$9+1,1))-AVERAGE(OFFSET($H$3,0,0,'Données projet'!$E$9+1,1))</f>
        <v>354.71367224254021</v>
      </c>
      <c r="T39" s="62">
        <f t="shared" si="34"/>
        <v>490.074370133397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7.3495456525684411</v>
      </c>
      <c r="AA39" s="23">
        <f>EXP(-LN(2)/25)*AA38+(1-EXP(-LN(2)/25))/(LN(2)/25)*Calculateur!V39*Calculateur!X39*VLOOKUP('Données projet'!$B$9,Paramètres!$A$1:$I$88,3,0)*0.475*44/12</f>
        <v>42.84744199720857</v>
      </c>
      <c r="AB39" s="23">
        <f>EXP(-LN(2)/2)*AB38+(1-EXP(-LN(2)/2))/(LN(2)/2)*V39*Y39*VLOOKUP('Données projet'!$B$9,Paramètres!$A$1:$I$88,3,0)*0.475*44/12</f>
        <v>13.47548720710442</v>
      </c>
      <c r="AC39" s="24">
        <f t="shared" si="3"/>
        <v>63.672474856881436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65.606117641693103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16.8</v>
      </c>
      <c r="AI39" s="14">
        <f>IF('Données projet'!$A$62&gt;35,AI38+AH39-AQ38,IF(A39&lt;'Données projet'!$A$62,$AF$205^A39,IF(A39='Données projet'!$A$62,'Données projet'!$B$62,AI38+AH39-AQ38)))</f>
        <v>269.80000000000007</v>
      </c>
      <c r="AJ39" s="14">
        <f>AI39*VLOOKUP('Données projet'!$B$10,Paramètres!$A$1:$I$88,3,0)*VLOOKUP('Données projet'!$B$10,Paramètres!$A$1:$I$88,5,0)</f>
        <v>161.34040000000005</v>
      </c>
      <c r="AK39" s="14">
        <f t="shared" si="35"/>
        <v>41.14469941806508</v>
      </c>
      <c r="AL39" s="22">
        <f t="shared" si="4"/>
        <v>352.66154815313007</v>
      </c>
      <c r="AM39" s="62">
        <f t="shared" si="5"/>
        <v>629.88397950600483</v>
      </c>
      <c r="AN39" s="62">
        <f ca="1">AVERAGE(OFFSET($AM$3,0,0,'Données projet'!$E$10+1,1))-AVERAGE(OFFSET($H$3,0,0,'Données projet'!$E$10+1,1))</f>
        <v>264.73276096087574</v>
      </c>
      <c r="AO39" s="62">
        <f t="shared" si="36"/>
        <v>381.84464918049662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projet'!$B$10,Paramètres!$A$1:$I$88,3,0)*0.475*44/12</f>
        <v>5.1446819567979079</v>
      </c>
      <c r="AV39" s="23">
        <f>EXP(-LN(2)/25)*AV38+(1-EXP(-LN(2)/25))/(LN(2)/25)*Calculateur!AQ39*Calculateur!AS39*VLOOKUP('Données projet'!$B$10,Paramètres!$A$1:$I$88,3,0)*0.475*44/12</f>
        <v>29.915343093015842</v>
      </c>
      <c r="AW39" s="23">
        <f>EXP(-LN(2)/2)*AW38+(1-EXP(-LN(2)/2))/(LN(2)/2)*AQ39*AT39*VLOOKUP('Données projet'!$B$10,Paramètres!$A$1:$I$88,3,0)*0.475*44/12</f>
        <v>9.4326970416596119</v>
      </c>
      <c r="AX39" s="23">
        <f t="shared" si="6"/>
        <v>44.492722091473368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65.606117641693103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IF('Données projet'!$A$88&gt;35,BD38+BC39-BL38,IF(A39&lt;'Données projet'!$A$88,$BA$205^A39,IF(A39='Données projet'!$A$88,'Données projet'!$B$88,BD38+BC39-BL38)))</f>
        <v>103.4</v>
      </c>
      <c r="BE39" s="14">
        <f>BD39*VLOOKUP('Données projet'!$B$11,Paramètres!$A$1:$I$88,3,0)*VLOOKUP('Données projet'!$B$11,Paramètres!$A$1:$I$88,5,0)</f>
        <v>117.75192</v>
      </c>
      <c r="BF39" s="14">
        <f t="shared" si="37"/>
        <v>31.150095841896434</v>
      </c>
      <c r="BG39" s="22">
        <f t="shared" si="7"/>
        <v>259.33767759130296</v>
      </c>
      <c r="BH39" s="62">
        <f t="shared" si="8"/>
        <v>536.56010894417773</v>
      </c>
      <c r="BI39" s="62">
        <f ca="1">AVERAGE(OFFSET($BH$3,0,0,'Données projet'!$E$11+1,1))-AVERAGE(OFFSET($H$3,0,0,'Données projet'!$E$11+1,1))</f>
        <v>470.57532875732056</v>
      </c>
      <c r="BJ39" s="62">
        <f t="shared" si="38"/>
        <v>286.63787681165888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projet'!$B$11,Paramètres!$A$1:$I$88,3,0)*0.475*44/12</f>
        <v>0</v>
      </c>
      <c r="BQ39" s="23">
        <f>EXP(-LN(2)/25)*BQ38+(1-EXP(-LN(2)/25))/(LN(2)/25)*Calculateur!BL39*Calculateur!BN39*VLOOKUP('Données projet'!$B$11,Paramètres!$A$1:$I$88,3,0)*0.475*44/12</f>
        <v>0</v>
      </c>
      <c r="BR39" s="23">
        <f>EXP(-LN(2)/2)*BR38+(1-EXP(-LN(2)/2))/(LN(2)/2)*BL39*BO39*VLOOKUP('Données projet'!$B$11,Paramètres!$A$1:$I$88,3,0)*0.475*44/12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65.606117641693103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11.4</v>
      </c>
      <c r="BY39" s="13">
        <f>IF('Données projet'!$A$114&gt;35,BY38+BX39-CG38,IF(A39&lt;'Données projet'!$A$114,$BV$205^A39,IF(A39='Données projet'!$A$114,'Données projet'!$B$114,BY38+BX39-CG38)))</f>
        <v>182.39999999999998</v>
      </c>
      <c r="BZ39" s="14">
        <f>BY39*VLOOKUP('Données projet'!$B$12,Paramètres!$A$1:$I$88,3,0)*VLOOKUP('Données projet'!$B$12,Paramètres!$A$1:$I$88,5,0)</f>
        <v>119.50847999999999</v>
      </c>
      <c r="CA39" s="14">
        <f t="shared" si="39"/>
        <v>31.560332955588962</v>
      </c>
      <c r="CB39" s="22">
        <f t="shared" si="10"/>
        <v>263.11151589765069</v>
      </c>
      <c r="CC39" s="62">
        <f t="shared" si="11"/>
        <v>540.3339472505254</v>
      </c>
      <c r="CD39" s="62">
        <f ca="1">AVERAGE(OFFSET($CC$3,0,0,'Données projet'!$E$12+1,1))-AVERAGE(OFFSET($H$3,0,0,'Données projet'!$E$12+1,1))</f>
        <v>305.38855494899906</v>
      </c>
      <c r="CE39" s="62">
        <f t="shared" si="40"/>
        <v>298.48106301229177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projet'!$B$12,Paramètres!$A$1:$I$88,3,0)*0.475*44/12</f>
        <v>2.137404097993334</v>
      </c>
      <c r="CL39" s="23">
        <f>EXP(-LN(2)/25)*CL38+(1-EXP(-LN(2)/25))/(LN(2)/25)*Calculateur!CG39*Calculateur!CI39*VLOOKUP('Données projet'!$B$12,Paramètres!$A$1:$I$88,3,0)*0.475*44/12</f>
        <v>0</v>
      </c>
      <c r="CM39" s="23">
        <f>EXP(-LN(2)/2)*CM38+(1-EXP(-LN(2)/2))/(LN(2)/2)*CG39*CJ39*VLOOKUP('Données projet'!$B$12,Paramètres!$A$1:$I$88,3,0)*0.475*44/12</f>
        <v>0</v>
      </c>
      <c r="CN39" s="24">
        <f t="shared" si="12"/>
        <v>2.137404097993334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65.606117641693103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11.4</v>
      </c>
      <c r="CT39" s="13">
        <f>IF('Données projet'!$A$140&gt;35,CT38+CS39-DB38,IF(A39&lt;'Données projet'!$A$140,$CQ$205^A39,IF(A39='Données projet'!$A$140,'Données projet'!$B$140,CT38+CS39-DB38)))</f>
        <v>182.39999999999998</v>
      </c>
      <c r="CU39" s="18">
        <f>CT39*VLOOKUP('Données projet'!$B$13,Paramètres!$A$1:$I$88,3,0)*VLOOKUP('Données projet'!$B$13,Paramètres!$A$1:$I$88,5,0)</f>
        <v>145.11743999999999</v>
      </c>
      <c r="CV39" s="14">
        <f t="shared" si="41"/>
        <v>37.466878406916173</v>
      </c>
      <c r="CW39" s="22">
        <f t="shared" si="13"/>
        <v>318.00102122537896</v>
      </c>
      <c r="CX39" s="62">
        <f t="shared" si="14"/>
        <v>595.22345257825373</v>
      </c>
      <c r="CY39" s="62">
        <f ca="1">AVERAGE(OFFSET($CX$3,0,0,'Données projet'!$E$13+1,1))-AVERAGE(OFFSET($H$3,0,0,'Données projet'!$E$13+1,1))</f>
        <v>361.30066984973894</v>
      </c>
      <c r="CZ39" s="62">
        <f t="shared" si="42"/>
        <v>351.78053157121622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projet'!$B$13,Paramètres!$A$1:$I$88,3,0)*0.475*44/12</f>
        <v>3.1990051366976644</v>
      </c>
      <c r="DG39" s="23">
        <f>EXP(-LN(2)/25)*DG38+(1-EXP(-LN(2)/25))/(LN(2)/25)*Calculateur!DB39*Calculateur!DD39*VLOOKUP('Données projet'!$B$13,Paramètres!$A$1:$I$88,3,0)*0.475*44/12</f>
        <v>0</v>
      </c>
      <c r="DH39" s="23">
        <f>EXP(-LN(2)/2)*DH38+(1-EXP(-LN(2)/2))/(LN(2)/2)*DB39*DE39*VLOOKUP('Données projet'!$B$13,Paramètres!$A$1:$I$88,3,0)*0.475*44/12</f>
        <v>0</v>
      </c>
      <c r="DI39" s="24">
        <f t="shared" si="15"/>
        <v>3.1990051366976644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65.606117641693103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>
        <f>DO39*VLOOKUP('Données projet'!$B$14,Paramètres!$A$1:$I$88,3,0)*VLOOKUP('Données projet'!$B$14,Paramètres!$A$1:$I$88,5,0)</f>
        <v>0</v>
      </c>
      <c r="DQ39" s="14" t="e">
        <f t="shared" si="43"/>
        <v>#NUM!</v>
      </c>
      <c r="DR39" s="22" t="e">
        <f t="shared" si="16"/>
        <v>#NUM!</v>
      </c>
      <c r="DS39" s="62" t="e">
        <f t="shared" si="17"/>
        <v>#NUM!</v>
      </c>
      <c r="DT39" s="62">
        <f ca="1">AVERAGE(OFFSET($DS$3,0,0,'Données projet'!$E$14+1,1))-AVERAGE(OFFSET($H$3,0,0,'Données projet'!$E$14+1,1))</f>
        <v>91.201152634762423</v>
      </c>
      <c r="DU39" s="62">
        <f t="shared" si="44"/>
        <v>233.36981992862445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projet'!$B$14,Paramètres!$A$1:$I$88,3,0)*0.475*44/12</f>
        <v>36.812138983348746</v>
      </c>
      <c r="EB39" s="23">
        <f>EXP(-LN(2)/25)*EB38+(1-EXP(-LN(2)/25))/(LN(2)/25)*Calculateur!DW39*Calculateur!DY39*VLOOKUP('Données projet'!$B$14,Paramètres!$A$1:$I$88,3,0)*0.475*44/12</f>
        <v>0</v>
      </c>
      <c r="EC39" s="23">
        <f>EXP(-LN(2)/2)*EC38+(1-EXP(-LN(2)/2))/(LN(2)/2)*DW39*DZ39*VLOOKUP('Données projet'!$B$14,Paramètres!$A$1:$I$88,3,0)*0.475*44/12</f>
        <v>0</v>
      </c>
      <c r="ED39" s="24">
        <f t="shared" si="18"/>
        <v>36.812138983348746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65.606117641693103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projet'!$B$15,Paramètres!$A$1:$I$88,3,0)*0.475*44/12</f>
        <v>#N/A</v>
      </c>
      <c r="EW39" s="23" t="e">
        <f>EXP(-LN(2)/25)*EW38+(1-EXP(-LN(2)/25))/(LN(2)/25)*Calculateur!ER39*Calculateur!ET39*VLOOKUP('Données projet'!$B$15,Paramètres!$A$1:$I$88,3,0)*0.475*44/12</f>
        <v>#N/A</v>
      </c>
      <c r="EX39" s="23" t="e">
        <f>EXP(-LN(2)/2)*EX38+(1-EXP(-LN(2)/2))/(LN(2)/2)*ER39*EU39*VLOOKUP('Données projet'!$B$15,Paramètres!$A$1:$I$88,3,0)*0.475*44/12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65.606117641693103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projet'!$B$16,Paramètres!$A$1:$I$88,3,0)*0.475*44/12</f>
        <v>#N/A</v>
      </c>
      <c r="FR39" s="23" t="e">
        <f>EXP(-LN(2)/25)*FR38+(1-EXP(-LN(2)/25))/(LN(2)/25)*Calculateur!FM39*Calculateur!FO39*VLOOKUP('Données projet'!$B$16,Paramètres!$A$1:$I$88,3,0)*0.475*44/12</f>
        <v>#N/A</v>
      </c>
      <c r="FS39" s="23" t="e">
        <f>EXP(-LN(2)/2)*FS38+(1-EXP(-LN(2)/2))/(LN(2)/2)*FM39*FP39*VLOOKUP('Données projet'!$B$16,Paramètres!$A$1:$I$88,3,0)*0.475*44/12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65.606117641693103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projet'!$B$17,Paramètres!$A$1:$I$88,3,0)*0.475*44/12</f>
        <v>#N/A</v>
      </c>
      <c r="GM39" s="23" t="e">
        <f>EXP(-LN(2)/25)*GM38+(1-EXP(-LN(2)/25))/(LN(2)/25)*Calculateur!GH39*Calculateur!GJ39*VLOOKUP('Données projet'!$B$17,Paramètres!$A$1:$I$88,3,0)*0.475*44/12</f>
        <v>#N/A</v>
      </c>
      <c r="GN39" s="23" t="e">
        <f>EXP(-LN(2)/2)*GN38+(1-EXP(-LN(2)/2))/(LN(2)/2)*GH39*GK39*VLOOKUP('Données projet'!$B$17,Paramètres!$A$1:$I$88,3,0)*0.475*44/12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65.606117641693103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projet'!$B$18,Paramètres!$A$1:$I$88,3,0)*0.475*44/12</f>
        <v>#N/A</v>
      </c>
      <c r="HH39" s="23" t="e">
        <f>EXP(-LN(2)/25)*HH38+(1-EXP(-LN(2)/25))/(LN(2)/25)*Calculateur!HC39*Calculateur!HE39*VLOOKUP('Données projet'!$B$18,Paramètres!$A$1:$I$88,3,0)*0.475*44/12</f>
        <v>#N/A</v>
      </c>
      <c r="HI39" s="23" t="e">
        <f>EXP(-LN(2)/2)*HI38+(1-EXP(-LN(2)/2))/(LN(2)/2)*HC39*HF39*VLOOKUP('Données projet'!$B$18,Paramètres!$A$1:$I$88,3,0)*0.475*44/12</f>
        <v>#N/A</v>
      </c>
      <c r="HJ39" s="24" t="e">
        <f t="shared" si="30"/>
        <v>#N/A</v>
      </c>
    </row>
    <row r="40" spans="1:218" s="5" customFormat="1" x14ac:dyDescent="0.2">
      <c r="A40" s="11">
        <f t="shared" si="31"/>
        <v>37</v>
      </c>
      <c r="B40" s="77">
        <f>'Scénario référence'!$B$16*5+'Scénario référence'!$B$17*0+'Scénario référence'!$B$18*5</f>
        <v>1.6500000000000001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6.0500000000000007</v>
      </c>
      <c r="H40" s="70">
        <f t="shared" si="1"/>
        <v>232.4666666666667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65.682341677360398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25.8</v>
      </c>
      <c r="N40" s="14">
        <f>IF('Données projet'!$A$36&gt;35,N39+M40-V39,IF(A40&lt;'Données projet'!$A$36,$K$205^A40,IF(A40='Données projet'!$A$36,'Données projet'!$B$36,N39+M40-V39)))</f>
        <v>389.60000000000019</v>
      </c>
      <c r="O40" s="14">
        <f>N40*VLOOKUP('Données projet'!$B$9,Paramètres!$A$1:$I$88,3,0)*VLOOKUP('Données projet'!$B$9,Paramètres!$A$1:$I$88,5,0)</f>
        <v>232.98080000000013</v>
      </c>
      <c r="P40" s="14">
        <f t="shared" si="33"/>
        <v>56.926716368527195</v>
      </c>
      <c r="Q40" s="22">
        <f t="shared" si="53"/>
        <v>504.92225767518511</v>
      </c>
      <c r="R40" s="62">
        <f t="shared" si="0"/>
        <v>782.42417715883994</v>
      </c>
      <c r="S40" s="62">
        <f ca="1">AVERAGE(OFFSET($R$3,0,0,'Données projet'!$E$9+1,1))-AVERAGE(OFFSET($H$3,0,0,'Données projet'!$E$9+1,1))</f>
        <v>354.71367224254021</v>
      </c>
      <c r="T40" s="62">
        <f t="shared" si="34"/>
        <v>490.074370133397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7.2054255451017841</v>
      </c>
      <c r="AA40" s="23">
        <f>EXP(-LN(2)/25)*AA39+(1-EXP(-LN(2)/25))/(LN(2)/25)*Calculateur!V40*Calculateur!X40*VLOOKUP('Données projet'!$B$9,Paramètres!$A$1:$I$88,3,0)*0.475*44/12</f>
        <v>41.675776442545853</v>
      </c>
      <c r="AB40" s="23">
        <f>EXP(-LN(2)/2)*AB39+(1-EXP(-LN(2)/2))/(LN(2)/2)*V40*Y40*VLOOKUP('Données projet'!$B$9,Paramètres!$A$1:$I$88,3,0)*0.475*44/12</f>
        <v>9.5286083839361062</v>
      </c>
      <c r="AC40" s="24">
        <f t="shared" si="3"/>
        <v>58.409810371583745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65.682341677360398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16.8</v>
      </c>
      <c r="AI40" s="14">
        <f>IF('Données projet'!$A$62&gt;35,AI39+AH40-AQ39,IF(A40&lt;'Données projet'!$A$62,$AF$205^A40,IF(A40='Données projet'!$A$62,'Données projet'!$B$62,AI39+AH40-AQ39)))</f>
        <v>286.60000000000008</v>
      </c>
      <c r="AJ40" s="14">
        <f>AI40*VLOOKUP('Données projet'!$B$10,Paramètres!$A$1:$I$88,3,0)*VLOOKUP('Données projet'!$B$10,Paramètres!$A$1:$I$88,5,0)</f>
        <v>171.38680000000005</v>
      </c>
      <c r="AK40" s="14">
        <f t="shared" si="35"/>
        <v>43.400473634509794</v>
      </c>
      <c r="AL40" s="22">
        <f t="shared" si="4"/>
        <v>374.08783491343797</v>
      </c>
      <c r="AM40" s="62">
        <f t="shared" si="5"/>
        <v>651.58975439709275</v>
      </c>
      <c r="AN40" s="62">
        <f ca="1">AVERAGE(OFFSET($AM$3,0,0,'Données projet'!$E$10+1,1))-AVERAGE(OFFSET($H$3,0,0,'Données projet'!$E$10+1,1))</f>
        <v>264.73276096087574</v>
      </c>
      <c r="AO40" s="62">
        <f t="shared" si="36"/>
        <v>381.84464918049662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projet'!$B$10,Paramètres!$A$1:$I$88,3,0)*0.475*44/12</f>
        <v>5.0437978815712476</v>
      </c>
      <c r="AV40" s="23">
        <f>EXP(-LN(2)/25)*AV39+(1-EXP(-LN(2)/25))/(LN(2)/25)*Calculateur!AQ40*Calculateur!AS40*VLOOKUP('Données projet'!$B$10,Paramètres!$A$1:$I$88,3,0)*0.475*44/12</f>
        <v>29.097306462957803</v>
      </c>
      <c r="AW40" s="23">
        <f>EXP(-LN(2)/2)*AW39+(1-EXP(-LN(2)/2))/(LN(2)/2)*AQ40*AT40*VLOOKUP('Données projet'!$B$10,Paramètres!$A$1:$I$88,3,0)*0.475*44/12</f>
        <v>6.669924043035798</v>
      </c>
      <c r="AX40" s="23">
        <f t="shared" si="6"/>
        <v>40.811028387564853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65.682341677360398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IF('Données projet'!$A$88&gt;35,BD39+BC40-BL39,IF(A40&lt;'Données projet'!$A$88,$BA$205^A40,IF(A40='Données projet'!$A$88,'Données projet'!$B$88,BD39+BC40-BL39)))</f>
        <v>111.80000000000001</v>
      </c>
      <c r="BE40" s="14">
        <f>BD40*VLOOKUP('Données projet'!$B$11,Paramètres!$A$1:$I$88,3,0)*VLOOKUP('Données projet'!$B$11,Paramètres!$A$1:$I$88,5,0)</f>
        <v>127.31784000000002</v>
      </c>
      <c r="BF40" s="14">
        <f t="shared" si="37"/>
        <v>33.375840922385116</v>
      </c>
      <c r="BG40" s="22">
        <f t="shared" si="7"/>
        <v>279.87482760648749</v>
      </c>
      <c r="BH40" s="62">
        <f t="shared" si="8"/>
        <v>557.37674709014232</v>
      </c>
      <c r="BI40" s="62">
        <f ca="1">AVERAGE(OFFSET($BH$3,0,0,'Données projet'!$E$11+1,1))-AVERAGE(OFFSET($H$3,0,0,'Données projet'!$E$11+1,1))</f>
        <v>470.57532875732056</v>
      </c>
      <c r="BJ40" s="62">
        <f t="shared" si="38"/>
        <v>286.63787681165888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projet'!$B$11,Paramètres!$A$1:$I$88,3,0)*0.475*44/12</f>
        <v>0</v>
      </c>
      <c r="BQ40" s="23">
        <f>EXP(-LN(2)/25)*BQ39+(1-EXP(-LN(2)/25))/(LN(2)/25)*Calculateur!BL40*Calculateur!BN40*VLOOKUP('Données projet'!$B$11,Paramètres!$A$1:$I$88,3,0)*0.475*44/12</f>
        <v>0</v>
      </c>
      <c r="BR40" s="23">
        <f>EXP(-LN(2)/2)*BR39+(1-EXP(-LN(2)/2))/(LN(2)/2)*BL40*BO40*VLOOKUP('Données projet'!$B$11,Paramètres!$A$1:$I$88,3,0)*0.475*44/12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65.682341677360398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11.4</v>
      </c>
      <c r="BY40" s="13">
        <f>IF('Données projet'!$A$114&gt;35,BY39+BX40-CG39,IF(A40&lt;'Données projet'!$A$114,$BV$205^A40,IF(A40='Données projet'!$A$114,'Données projet'!$B$114,BY39+BX40-CG39)))</f>
        <v>193.79999999999998</v>
      </c>
      <c r="BZ40" s="14">
        <f>BY40*VLOOKUP('Données projet'!$B$12,Paramètres!$A$1:$I$88,3,0)*VLOOKUP('Données projet'!$B$12,Paramètres!$A$1:$I$88,5,0)</f>
        <v>126.97775999999999</v>
      </c>
      <c r="CA40" s="14">
        <f t="shared" si="39"/>
        <v>33.297055234597053</v>
      </c>
      <c r="CB40" s="22">
        <f t="shared" si="10"/>
        <v>279.14530320025654</v>
      </c>
      <c r="CC40" s="62">
        <f t="shared" si="11"/>
        <v>556.64722268391131</v>
      </c>
      <c r="CD40" s="62">
        <f ca="1">AVERAGE(OFFSET($CC$3,0,0,'Données projet'!$E$12+1,1))-AVERAGE(OFFSET($H$3,0,0,'Données projet'!$E$12+1,1))</f>
        <v>305.38855494899906</v>
      </c>
      <c r="CE40" s="62">
        <f t="shared" si="40"/>
        <v>298.48106301229177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projet'!$B$12,Paramètres!$A$1:$I$88,3,0)*0.475*44/12</f>
        <v>2.0954909073194559</v>
      </c>
      <c r="CL40" s="23">
        <f>EXP(-LN(2)/25)*CL39+(1-EXP(-LN(2)/25))/(LN(2)/25)*Calculateur!CG40*Calculateur!CI40*VLOOKUP('Données projet'!$B$12,Paramètres!$A$1:$I$88,3,0)*0.475*44/12</f>
        <v>0</v>
      </c>
      <c r="CM40" s="23">
        <f>EXP(-LN(2)/2)*CM39+(1-EXP(-LN(2)/2))/(LN(2)/2)*CG40*CJ40*VLOOKUP('Données projet'!$B$12,Paramètres!$A$1:$I$88,3,0)*0.475*44/12</f>
        <v>0</v>
      </c>
      <c r="CN40" s="24">
        <f t="shared" si="12"/>
        <v>2.0954909073194559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65.682341677360398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11.4</v>
      </c>
      <c r="CT40" s="13">
        <f>IF('Données projet'!$A$140&gt;35,CT39+CS40-DB39,IF(A40&lt;'Données projet'!$A$140,$CQ$205^A40,IF(A40='Données projet'!$A$140,'Données projet'!$B$140,CT39+CS40-DB39)))</f>
        <v>193.79999999999998</v>
      </c>
      <c r="CU40" s="18">
        <f>CT40*VLOOKUP('Données projet'!$B$13,Paramètres!$A$1:$I$88,3,0)*VLOOKUP('Données projet'!$B$13,Paramètres!$A$1:$I$88,5,0)</f>
        <v>154.18727999999999</v>
      </c>
      <c r="CV40" s="14">
        <f t="shared" si="41"/>
        <v>39.528629863903078</v>
      </c>
      <c r="CW40" s="22">
        <f t="shared" si="13"/>
        <v>337.38854301296448</v>
      </c>
      <c r="CX40" s="62">
        <f t="shared" si="14"/>
        <v>614.89046249661919</v>
      </c>
      <c r="CY40" s="62">
        <f ca="1">AVERAGE(OFFSET($CX$3,0,0,'Données projet'!$E$13+1,1))-AVERAGE(OFFSET($H$3,0,0,'Données projet'!$E$13+1,1))</f>
        <v>361.30066984973894</v>
      </c>
      <c r="CZ40" s="62">
        <f t="shared" si="42"/>
        <v>351.78053157121622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projet'!$B$13,Paramètres!$A$1:$I$88,3,0)*0.475*44/12</f>
        <v>3.1362745971674917</v>
      </c>
      <c r="DG40" s="23">
        <f>EXP(-LN(2)/25)*DG39+(1-EXP(-LN(2)/25))/(LN(2)/25)*Calculateur!DB40*Calculateur!DD40*VLOOKUP('Données projet'!$B$13,Paramètres!$A$1:$I$88,3,0)*0.475*44/12</f>
        <v>0</v>
      </c>
      <c r="DH40" s="23">
        <f>EXP(-LN(2)/2)*DH39+(1-EXP(-LN(2)/2))/(LN(2)/2)*DB40*DE40*VLOOKUP('Données projet'!$B$13,Paramètres!$A$1:$I$88,3,0)*0.475*44/12</f>
        <v>0</v>
      </c>
      <c r="DI40" s="24">
        <f t="shared" si="15"/>
        <v>3.1362745971674917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65.682341677360398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>
        <f>DO40*VLOOKUP('Données projet'!$B$14,Paramètres!$A$1:$I$88,3,0)*VLOOKUP('Données projet'!$B$14,Paramètres!$A$1:$I$88,5,0)</f>
        <v>0</v>
      </c>
      <c r="DQ40" s="14" t="e">
        <f t="shared" si="43"/>
        <v>#NUM!</v>
      </c>
      <c r="DR40" s="22" t="e">
        <f t="shared" si="16"/>
        <v>#NUM!</v>
      </c>
      <c r="DS40" s="62" t="e">
        <f t="shared" si="17"/>
        <v>#NUM!</v>
      </c>
      <c r="DT40" s="62">
        <f ca="1">AVERAGE(OFFSET($DS$3,0,0,'Données projet'!$E$14+1,1))-AVERAGE(OFFSET($H$3,0,0,'Données projet'!$E$14+1,1))</f>
        <v>91.201152634762423</v>
      </c>
      <c r="DU40" s="62">
        <f t="shared" si="44"/>
        <v>233.36981992862445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projet'!$B$14,Paramètres!$A$1:$I$88,3,0)*0.475*44/12</f>
        <v>36.090275391072986</v>
      </c>
      <c r="EB40" s="23">
        <f>EXP(-LN(2)/25)*EB39+(1-EXP(-LN(2)/25))/(LN(2)/25)*Calculateur!DW40*Calculateur!DY40*VLOOKUP('Données projet'!$B$14,Paramètres!$A$1:$I$88,3,0)*0.475*44/12</f>
        <v>0</v>
      </c>
      <c r="EC40" s="23">
        <f>EXP(-LN(2)/2)*EC39+(1-EXP(-LN(2)/2))/(LN(2)/2)*DW40*DZ40*VLOOKUP('Données projet'!$B$14,Paramètres!$A$1:$I$88,3,0)*0.475*44/12</f>
        <v>0</v>
      </c>
      <c r="ED40" s="24">
        <f t="shared" si="18"/>
        <v>36.090275391072986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65.682341677360398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projet'!$B$15,Paramètres!$A$1:$I$88,3,0)*0.475*44/12</f>
        <v>#N/A</v>
      </c>
      <c r="EW40" s="23" t="e">
        <f>EXP(-LN(2)/25)*EW39+(1-EXP(-LN(2)/25))/(LN(2)/25)*Calculateur!ER40*Calculateur!ET40*VLOOKUP('Données projet'!$B$15,Paramètres!$A$1:$I$88,3,0)*0.475*44/12</f>
        <v>#N/A</v>
      </c>
      <c r="EX40" s="23" t="e">
        <f>EXP(-LN(2)/2)*EX39+(1-EXP(-LN(2)/2))/(LN(2)/2)*ER40*EU40*VLOOKUP('Données projet'!$B$15,Paramètres!$A$1:$I$88,3,0)*0.475*44/12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65.682341677360398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projet'!$B$16,Paramètres!$A$1:$I$88,3,0)*0.475*44/12</f>
        <v>#N/A</v>
      </c>
      <c r="FR40" s="23" t="e">
        <f>EXP(-LN(2)/25)*FR39+(1-EXP(-LN(2)/25))/(LN(2)/25)*Calculateur!FM40*Calculateur!FO40*VLOOKUP('Données projet'!$B$16,Paramètres!$A$1:$I$88,3,0)*0.475*44/12</f>
        <v>#N/A</v>
      </c>
      <c r="FS40" s="23" t="e">
        <f>EXP(-LN(2)/2)*FS39+(1-EXP(-LN(2)/2))/(LN(2)/2)*FM40*FP40*VLOOKUP('Données projet'!$B$16,Paramètres!$A$1:$I$88,3,0)*0.475*44/12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65.682341677360398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projet'!$B$17,Paramètres!$A$1:$I$88,3,0)*0.475*44/12</f>
        <v>#N/A</v>
      </c>
      <c r="GM40" s="23" t="e">
        <f>EXP(-LN(2)/25)*GM39+(1-EXP(-LN(2)/25))/(LN(2)/25)*Calculateur!GH40*Calculateur!GJ40*VLOOKUP('Données projet'!$B$17,Paramètres!$A$1:$I$88,3,0)*0.475*44/12</f>
        <v>#N/A</v>
      </c>
      <c r="GN40" s="23" t="e">
        <f>EXP(-LN(2)/2)*GN39+(1-EXP(-LN(2)/2))/(LN(2)/2)*GH40*GK40*VLOOKUP('Données projet'!$B$17,Paramètres!$A$1:$I$88,3,0)*0.475*44/12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65.682341677360398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projet'!$B$18,Paramètres!$A$1:$I$88,3,0)*0.475*44/12</f>
        <v>#N/A</v>
      </c>
      <c r="HH40" s="23" t="e">
        <f>EXP(-LN(2)/25)*HH39+(1-EXP(-LN(2)/25))/(LN(2)/25)*Calculateur!HC40*Calculateur!HE40*VLOOKUP('Données projet'!$B$18,Paramètres!$A$1:$I$88,3,0)*0.475*44/12</f>
        <v>#N/A</v>
      </c>
      <c r="HI40" s="23" t="e">
        <f>EXP(-LN(2)/2)*HI39+(1-EXP(-LN(2)/2))/(LN(2)/2)*HC40*HF40*VLOOKUP('Données projet'!$B$18,Paramètres!$A$1:$I$88,3,0)*0.475*44/12</f>
        <v>#N/A</v>
      </c>
      <c r="HJ40" s="24" t="e">
        <f t="shared" si="30"/>
        <v>#N/A</v>
      </c>
    </row>
    <row r="41" spans="1:218" s="5" customFormat="1" x14ac:dyDescent="0.2">
      <c r="A41" s="11">
        <f t="shared" si="31"/>
        <v>38</v>
      </c>
      <c r="B41" s="77">
        <f>'Scénario référence'!$B$16*5+'Scénario référence'!$B$17*0+'Scénario référence'!$B$18*5</f>
        <v>1.6500000000000001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6.0500000000000007</v>
      </c>
      <c r="H41" s="70">
        <f t="shared" si="1"/>
        <v>232.4666666666667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65.757243396420293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25.8</v>
      </c>
      <c r="N41" s="14">
        <f>IF('Données projet'!$A$36&gt;35,N40+M41-V40,IF(A41&lt;'Données projet'!$A$36,$K$205^A41,IF(A41='Données projet'!$A$36,'Données projet'!$B$36,N40+M41-V40)))</f>
        <v>415.4000000000002</v>
      </c>
      <c r="O41" s="14">
        <f>N41*VLOOKUP('Données projet'!$B$9,Paramètres!$A$1:$I$88,3,0)*VLOOKUP('Données projet'!$B$9,Paramètres!$A$1:$I$88,5,0)</f>
        <v>248.40920000000011</v>
      </c>
      <c r="P41" s="14">
        <f t="shared" si="33"/>
        <v>60.245168520988734</v>
      </c>
      <c r="Q41" s="22">
        <f t="shared" si="53"/>
        <v>537.57302517405549</v>
      </c>
      <c r="R41" s="62">
        <f t="shared" si="0"/>
        <v>815.3495842942632</v>
      </c>
      <c r="S41" s="62">
        <f ca="1">AVERAGE(OFFSET($R$3,0,0,'Données projet'!$E$9+1,1))-AVERAGE(OFFSET($H$3,0,0,'Données projet'!$E$9+1,1))</f>
        <v>354.71367224254021</v>
      </c>
      <c r="T41" s="62">
        <f t="shared" si="34"/>
        <v>490.074370133397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7.0641315450379629</v>
      </c>
      <c r="AA41" s="23">
        <f>EXP(-LN(2)/25)*AA40+(1-EXP(-LN(2)/25))/(LN(2)/25)*Calculateur!V41*Calculateur!X41*VLOOKUP('Données projet'!$B$9,Paramètres!$A$1:$I$88,3,0)*0.475*44/12</f>
        <v>40.536150144090605</v>
      </c>
      <c r="AB41" s="23">
        <f>EXP(-LN(2)/2)*AB40+(1-EXP(-LN(2)/2))/(LN(2)/2)*V41*Y41*VLOOKUP('Données projet'!$B$9,Paramètres!$A$1:$I$88,3,0)*0.475*44/12</f>
        <v>6.7377436035522109</v>
      </c>
      <c r="AC41" s="24">
        <f t="shared" si="3"/>
        <v>54.338025292680776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65.757243396420293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16.8</v>
      </c>
      <c r="AI41" s="14">
        <f>IF('Données projet'!$A$62&gt;35,AI40+AH41-AQ40,IF(A41&lt;'Données projet'!$A$62,$AF$205^A41,IF(A41='Données projet'!$A$62,'Données projet'!$B$62,AI40+AH41-AQ40)))</f>
        <v>303.40000000000009</v>
      </c>
      <c r="AJ41" s="14">
        <f>AI41*VLOOKUP('Données projet'!$B$10,Paramètres!$A$1:$I$88,3,0)*VLOOKUP('Données projet'!$B$10,Paramètres!$A$1:$I$88,5,0)</f>
        <v>181.43320000000008</v>
      </c>
      <c r="AK41" s="14">
        <f t="shared" si="35"/>
        <v>45.640899436976035</v>
      </c>
      <c r="AL41" s="22">
        <f t="shared" si="4"/>
        <v>395.48738985273343</v>
      </c>
      <c r="AM41" s="62">
        <f t="shared" si="5"/>
        <v>673.26394897294119</v>
      </c>
      <c r="AN41" s="62">
        <f ca="1">AVERAGE(OFFSET($AM$3,0,0,'Données projet'!$E$10+1,1))-AVERAGE(OFFSET($H$3,0,0,'Données projet'!$E$10+1,1))</f>
        <v>264.73276096087574</v>
      </c>
      <c r="AO41" s="62">
        <f t="shared" si="36"/>
        <v>381.84464918049662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projet'!$B$10,Paramètres!$A$1:$I$88,3,0)*0.475*44/12</f>
        <v>4.9448920815265724</v>
      </c>
      <c r="AV41" s="23">
        <f>EXP(-LN(2)/25)*AV40+(1-EXP(-LN(2)/25))/(LN(2)/25)*Calculateur!AQ41*Calculateur!AS41*VLOOKUP('Données projet'!$B$10,Paramètres!$A$1:$I$88,3,0)*0.475*44/12</f>
        <v>28.301639087567377</v>
      </c>
      <c r="AW41" s="23">
        <f>EXP(-LN(2)/2)*AW40+(1-EXP(-LN(2)/2))/(LN(2)/2)*AQ41*AT41*VLOOKUP('Données projet'!$B$10,Paramètres!$A$1:$I$88,3,0)*0.475*44/12</f>
        <v>4.7163485208298068</v>
      </c>
      <c r="AX41" s="23">
        <f t="shared" si="6"/>
        <v>37.962879689923753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65.757243396420293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IF('Données projet'!$A$88&gt;35,BD40+BC41-BL40,IF(A41&lt;'Données projet'!$A$88,$BA$205^A41,IF(A41='Données projet'!$A$88,'Données projet'!$B$88,BD40+BC41-BL40)))</f>
        <v>120.20000000000002</v>
      </c>
      <c r="BE41" s="14">
        <f>BD41*VLOOKUP('Données projet'!$B$11,Paramètres!$A$1:$I$88,3,0)*VLOOKUP('Données projet'!$B$11,Paramètres!$A$1:$I$88,5,0)</f>
        <v>136.88376000000002</v>
      </c>
      <c r="BF41" s="14">
        <f t="shared" si="37"/>
        <v>35.582186102964961</v>
      </c>
      <c r="BG41" s="22">
        <f t="shared" si="7"/>
        <v>300.37818946266395</v>
      </c>
      <c r="BH41" s="62">
        <f t="shared" si="8"/>
        <v>578.15474858287166</v>
      </c>
      <c r="BI41" s="62">
        <f ca="1">AVERAGE(OFFSET($BH$3,0,0,'Données projet'!$E$11+1,1))-AVERAGE(OFFSET($H$3,0,0,'Données projet'!$E$11+1,1))</f>
        <v>470.57532875732056</v>
      </c>
      <c r="BJ41" s="62">
        <f t="shared" si="38"/>
        <v>286.63787681165888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projet'!$B$11,Paramètres!$A$1:$I$88,3,0)*0.475*44/12</f>
        <v>0</v>
      </c>
      <c r="BQ41" s="23">
        <f>EXP(-LN(2)/25)*BQ40+(1-EXP(-LN(2)/25))/(LN(2)/25)*Calculateur!BL41*Calculateur!BN41*VLOOKUP('Données projet'!$B$11,Paramètres!$A$1:$I$88,3,0)*0.475*44/12</f>
        <v>0</v>
      </c>
      <c r="BR41" s="23">
        <f>EXP(-LN(2)/2)*BR40+(1-EXP(-LN(2)/2))/(LN(2)/2)*BL41*BO41*VLOOKUP('Données projet'!$B$11,Paramètres!$A$1:$I$88,3,0)*0.475*44/12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65.757243396420293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11.4</v>
      </c>
      <c r="BY41" s="13">
        <f>IF('Données projet'!$A$114&gt;35,BY40+BX41-CG40,IF(A41&lt;'Données projet'!$A$114,$BV$205^A41,IF(A41='Données projet'!$A$114,'Données projet'!$B$114,BY40+BX41-CG40)))</f>
        <v>205.2</v>
      </c>
      <c r="BZ41" s="14">
        <f>BY41*VLOOKUP('Données projet'!$B$12,Paramètres!$A$1:$I$88,3,0)*VLOOKUP('Données projet'!$B$12,Paramètres!$A$1:$I$88,5,0)</f>
        <v>134.44703999999999</v>
      </c>
      <c r="CA41" s="14">
        <f t="shared" si="39"/>
        <v>35.021919474074494</v>
      </c>
      <c r="CB41" s="22">
        <f t="shared" si="10"/>
        <v>295.1584377506797</v>
      </c>
      <c r="CC41" s="62">
        <f t="shared" si="11"/>
        <v>572.93499687088752</v>
      </c>
      <c r="CD41" s="62">
        <f ca="1">AVERAGE(OFFSET($CC$3,0,0,'Données projet'!$E$12+1,1))-AVERAGE(OFFSET($H$3,0,0,'Données projet'!$E$12+1,1))</f>
        <v>305.38855494899906</v>
      </c>
      <c r="CE41" s="62">
        <f t="shared" si="40"/>
        <v>298.48106301229177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projet'!$B$12,Paramètres!$A$1:$I$88,3,0)*0.475*44/12</f>
        <v>2.0543996087501708</v>
      </c>
      <c r="CL41" s="23">
        <f>EXP(-LN(2)/25)*CL40+(1-EXP(-LN(2)/25))/(LN(2)/25)*Calculateur!CG41*Calculateur!CI41*VLOOKUP('Données projet'!$B$12,Paramètres!$A$1:$I$88,3,0)*0.475*44/12</f>
        <v>0</v>
      </c>
      <c r="CM41" s="23">
        <f>EXP(-LN(2)/2)*CM40+(1-EXP(-LN(2)/2))/(LN(2)/2)*CG41*CJ41*VLOOKUP('Données projet'!$B$12,Paramètres!$A$1:$I$88,3,0)*0.475*44/12</f>
        <v>0</v>
      </c>
      <c r="CN41" s="24">
        <f t="shared" si="12"/>
        <v>2.0543996087501708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65.757243396420293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11.4</v>
      </c>
      <c r="CT41" s="13">
        <f>IF('Données projet'!$A$140&gt;35,CT40+CS41-DB40,IF(A41&lt;'Données projet'!$A$140,$CQ$205^A41,IF(A41='Données projet'!$A$140,'Données projet'!$B$140,CT40+CS41-DB40)))</f>
        <v>205.2</v>
      </c>
      <c r="CU41" s="18">
        <f>CT41*VLOOKUP('Données projet'!$B$13,Paramètres!$A$1:$I$88,3,0)*VLOOKUP('Données projet'!$B$13,Paramètres!$A$1:$I$88,5,0)</f>
        <v>163.25712000000001</v>
      </c>
      <c r="CV41" s="14">
        <f t="shared" si="41"/>
        <v>41.576304038313076</v>
      </c>
      <c r="CW41" s="22">
        <f t="shared" si="13"/>
        <v>356.75154686672863</v>
      </c>
      <c r="CX41" s="62">
        <f t="shared" si="14"/>
        <v>634.52810598693645</v>
      </c>
      <c r="CY41" s="62">
        <f ca="1">AVERAGE(OFFSET($CX$3,0,0,'Données projet'!$E$13+1,1))-AVERAGE(OFFSET($H$3,0,0,'Données projet'!$E$13+1,1))</f>
        <v>361.30066984973894</v>
      </c>
      <c r="CZ41" s="62">
        <f t="shared" si="42"/>
        <v>351.78053157121622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projet'!$B$13,Paramètres!$A$1:$I$88,3,0)*0.475*44/12</f>
        <v>3.0747741652556546</v>
      </c>
      <c r="DG41" s="23">
        <f>EXP(-LN(2)/25)*DG40+(1-EXP(-LN(2)/25))/(LN(2)/25)*Calculateur!DB41*Calculateur!DD41*VLOOKUP('Données projet'!$B$13,Paramètres!$A$1:$I$88,3,0)*0.475*44/12</f>
        <v>0</v>
      </c>
      <c r="DH41" s="23">
        <f>EXP(-LN(2)/2)*DH40+(1-EXP(-LN(2)/2))/(LN(2)/2)*DB41*DE41*VLOOKUP('Données projet'!$B$13,Paramètres!$A$1:$I$88,3,0)*0.475*44/12</f>
        <v>0</v>
      </c>
      <c r="DI41" s="24">
        <f t="shared" si="15"/>
        <v>3.0747741652556546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65.757243396420293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>
        <f>DO41*VLOOKUP('Données projet'!$B$14,Paramètres!$A$1:$I$88,3,0)*VLOOKUP('Données projet'!$B$14,Paramètres!$A$1:$I$88,5,0)</f>
        <v>0</v>
      </c>
      <c r="DQ41" s="14" t="e">
        <f t="shared" si="43"/>
        <v>#NUM!</v>
      </c>
      <c r="DR41" s="22" t="e">
        <f t="shared" si="16"/>
        <v>#NUM!</v>
      </c>
      <c r="DS41" s="62" t="e">
        <f t="shared" si="17"/>
        <v>#NUM!</v>
      </c>
      <c r="DT41" s="62">
        <f ca="1">AVERAGE(OFFSET($DS$3,0,0,'Données projet'!$E$14+1,1))-AVERAGE(OFFSET($H$3,0,0,'Données projet'!$E$14+1,1))</f>
        <v>91.201152634762423</v>
      </c>
      <c r="DU41" s="62">
        <f t="shared" si="44"/>
        <v>233.36981992862445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projet'!$B$14,Paramètres!$A$1:$I$88,3,0)*0.475*44/12</f>
        <v>35.382567103548439</v>
      </c>
      <c r="EB41" s="23">
        <f>EXP(-LN(2)/25)*EB40+(1-EXP(-LN(2)/25))/(LN(2)/25)*Calculateur!DW41*Calculateur!DY41*VLOOKUP('Données projet'!$B$14,Paramètres!$A$1:$I$88,3,0)*0.475*44/12</f>
        <v>0</v>
      </c>
      <c r="EC41" s="23">
        <f>EXP(-LN(2)/2)*EC40+(1-EXP(-LN(2)/2))/(LN(2)/2)*DW41*DZ41*VLOOKUP('Données projet'!$B$14,Paramètres!$A$1:$I$88,3,0)*0.475*44/12</f>
        <v>0</v>
      </c>
      <c r="ED41" s="24">
        <f t="shared" si="18"/>
        <v>35.382567103548439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65.757243396420293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projet'!$B$15,Paramètres!$A$1:$I$88,3,0)*0.475*44/12</f>
        <v>#N/A</v>
      </c>
      <c r="EW41" s="23" t="e">
        <f>EXP(-LN(2)/25)*EW40+(1-EXP(-LN(2)/25))/(LN(2)/25)*Calculateur!ER41*Calculateur!ET41*VLOOKUP('Données projet'!$B$15,Paramètres!$A$1:$I$88,3,0)*0.475*44/12</f>
        <v>#N/A</v>
      </c>
      <c r="EX41" s="23" t="e">
        <f>EXP(-LN(2)/2)*EX40+(1-EXP(-LN(2)/2))/(LN(2)/2)*ER41*EU41*VLOOKUP('Données projet'!$B$15,Paramètres!$A$1:$I$88,3,0)*0.475*44/12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65.757243396420293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projet'!$B$16,Paramètres!$A$1:$I$88,3,0)*0.475*44/12</f>
        <v>#N/A</v>
      </c>
      <c r="FR41" s="23" t="e">
        <f>EXP(-LN(2)/25)*FR40+(1-EXP(-LN(2)/25))/(LN(2)/25)*Calculateur!FM41*Calculateur!FO41*VLOOKUP('Données projet'!$B$16,Paramètres!$A$1:$I$88,3,0)*0.475*44/12</f>
        <v>#N/A</v>
      </c>
      <c r="FS41" s="23" t="e">
        <f>EXP(-LN(2)/2)*FS40+(1-EXP(-LN(2)/2))/(LN(2)/2)*FM41*FP41*VLOOKUP('Données projet'!$B$16,Paramètres!$A$1:$I$88,3,0)*0.475*44/12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65.757243396420293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projet'!$B$17,Paramètres!$A$1:$I$88,3,0)*0.475*44/12</f>
        <v>#N/A</v>
      </c>
      <c r="GM41" s="23" t="e">
        <f>EXP(-LN(2)/25)*GM40+(1-EXP(-LN(2)/25))/(LN(2)/25)*Calculateur!GH41*Calculateur!GJ41*VLOOKUP('Données projet'!$B$17,Paramètres!$A$1:$I$88,3,0)*0.475*44/12</f>
        <v>#N/A</v>
      </c>
      <c r="GN41" s="23" t="e">
        <f>EXP(-LN(2)/2)*GN40+(1-EXP(-LN(2)/2))/(LN(2)/2)*GH41*GK41*VLOOKUP('Données projet'!$B$17,Paramètres!$A$1:$I$88,3,0)*0.475*44/12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65.757243396420293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projet'!$B$18,Paramètres!$A$1:$I$88,3,0)*0.475*44/12</f>
        <v>#N/A</v>
      </c>
      <c r="HH41" s="23" t="e">
        <f>EXP(-LN(2)/25)*HH40+(1-EXP(-LN(2)/25))/(LN(2)/25)*Calculateur!HC41*Calculateur!HE41*VLOOKUP('Données projet'!$B$18,Paramètres!$A$1:$I$88,3,0)*0.475*44/12</f>
        <v>#N/A</v>
      </c>
      <c r="HI41" s="23" t="e">
        <f>EXP(-LN(2)/2)*HI40+(1-EXP(-LN(2)/2))/(LN(2)/2)*HC41*HF41*VLOOKUP('Données projet'!$B$18,Paramètres!$A$1:$I$88,3,0)*0.475*44/12</f>
        <v>#N/A</v>
      </c>
      <c r="HJ41" s="24" t="e">
        <f t="shared" si="30"/>
        <v>#N/A</v>
      </c>
    </row>
    <row r="42" spans="1:218" s="5" customFormat="1" x14ac:dyDescent="0.2">
      <c r="A42" s="11">
        <f t="shared" si="31"/>
        <v>39</v>
      </c>
      <c r="B42" s="77">
        <f>'Scénario référence'!$B$16*5+'Scénario référence'!$B$17*0+'Scénario référence'!$B$18*5</f>
        <v>1.6500000000000001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6.0500000000000007</v>
      </c>
      <c r="H42" s="70">
        <f t="shared" si="1"/>
        <v>232.4666666666667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65.830845738109645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25.8</v>
      </c>
      <c r="N42" s="14">
        <f>IF('Données projet'!$A$36&gt;35,N41+M42-V41,IF(A42&lt;'Données projet'!$A$36,$K$205^A42,IF(A42='Données projet'!$A$36,'Données projet'!$B$36,N41+M42-V41)))</f>
        <v>441.20000000000022</v>
      </c>
      <c r="O42" s="14">
        <f>N42*VLOOKUP('Données projet'!$B$9,Paramètres!$A$1:$I$88,3,0)*VLOOKUP('Données projet'!$B$9,Paramètres!$A$1:$I$88,5,0)</f>
        <v>263.83760000000018</v>
      </c>
      <c r="P42" s="14">
        <f t="shared" si="33"/>
        <v>63.539700318692688</v>
      </c>
      <c r="Q42" s="22">
        <f t="shared" si="53"/>
        <v>570.18213138839008</v>
      </c>
      <c r="R42" s="62">
        <f t="shared" si="0"/>
        <v>848.22856576145875</v>
      </c>
      <c r="S42" s="62">
        <f ca="1">AVERAGE(OFFSET($R$3,0,0,'Données projet'!$E$9+1,1))-AVERAGE(OFFSET($H$3,0,0,'Données projet'!$E$9+1,1))</f>
        <v>354.71367224254021</v>
      </c>
      <c r="T42" s="62">
        <f t="shared" si="34"/>
        <v>490.074370133397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6.9256082341345628</v>
      </c>
      <c r="AA42" s="23">
        <f>EXP(-LN(2)/25)*AA41+(1-EXP(-LN(2)/25))/(LN(2)/25)*Calculateur!V42*Calculateur!X42*VLOOKUP('Données projet'!$B$9,Paramètres!$A$1:$I$88,3,0)*0.475*44/12</f>
        <v>39.427686986696955</v>
      </c>
      <c r="AB42" s="23">
        <f>EXP(-LN(2)/2)*AB41+(1-EXP(-LN(2)/2))/(LN(2)/2)*V42*Y42*VLOOKUP('Données projet'!$B$9,Paramètres!$A$1:$I$88,3,0)*0.475*44/12</f>
        <v>4.764304191968054</v>
      </c>
      <c r="AC42" s="24">
        <f t="shared" si="3"/>
        <v>51.117599412799571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65.830845738109645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16.8</v>
      </c>
      <c r="AI42" s="14">
        <f>IF('Données projet'!$A$62&gt;35,AI41+AH42-AQ41,IF(A42&lt;'Données projet'!$A$62,$AF$205^A42,IF(A42='Données projet'!$A$62,'Données projet'!$B$62,AI41+AH42-AQ41)))</f>
        <v>320.2000000000001</v>
      </c>
      <c r="AJ42" s="14">
        <f>AI42*VLOOKUP('Données projet'!$B$10,Paramètres!$A$1:$I$88,3,0)*VLOOKUP('Données projet'!$B$10,Paramètres!$A$1:$I$88,5,0)</f>
        <v>191.47960000000009</v>
      </c>
      <c r="AK42" s="14">
        <f t="shared" si="35"/>
        <v>47.866923573178141</v>
      </c>
      <c r="AL42" s="22">
        <f t="shared" si="4"/>
        <v>416.86186188995208</v>
      </c>
      <c r="AM42" s="62">
        <f t="shared" si="5"/>
        <v>694.9082962630207</v>
      </c>
      <c r="AN42" s="62">
        <f ca="1">AVERAGE(OFFSET($AM$3,0,0,'Données projet'!$E$10+1,1))-AVERAGE(OFFSET($H$3,0,0,'Données projet'!$E$10+1,1))</f>
        <v>264.73276096087574</v>
      </c>
      <c r="AO42" s="62">
        <f t="shared" si="36"/>
        <v>381.84464918049662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projet'!$B$10,Paramètres!$A$1:$I$88,3,0)*0.475*44/12</f>
        <v>4.8479257638941924</v>
      </c>
      <c r="AV42" s="23">
        <f>EXP(-LN(2)/25)*AV41+(1-EXP(-LN(2)/25))/(LN(2)/25)*Calculateur!AQ42*Calculateur!AS42*VLOOKUP('Données projet'!$B$10,Paramètres!$A$1:$I$88,3,0)*0.475*44/12</f>
        <v>27.527729278399331</v>
      </c>
      <c r="AW42" s="23">
        <f>EXP(-LN(2)/2)*AW41+(1-EXP(-LN(2)/2))/(LN(2)/2)*AQ42*AT42*VLOOKUP('Données projet'!$B$10,Paramètres!$A$1:$I$88,3,0)*0.475*44/12</f>
        <v>3.3349620215178994</v>
      </c>
      <c r="AX42" s="23">
        <f t="shared" si="6"/>
        <v>35.710617063811426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65.830845738109645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IF('Données projet'!$A$88&gt;35,BD41+BC42-BL41,IF(A42&lt;'Données projet'!$A$88,$BA$205^A42,IF(A42='Données projet'!$A$88,'Données projet'!$B$88,BD41+BC42-BL41)))</f>
        <v>128.60000000000002</v>
      </c>
      <c r="BE42" s="14">
        <f>BD42*VLOOKUP('Données projet'!$B$11,Paramètres!$A$1:$I$88,3,0)*VLOOKUP('Données projet'!$B$11,Paramètres!$A$1:$I$88,5,0)</f>
        <v>146.44968000000003</v>
      </c>
      <c r="BF42" s="14">
        <f t="shared" si="37"/>
        <v>37.770641329147324</v>
      </c>
      <c r="BG42" s="22">
        <f t="shared" si="7"/>
        <v>320.8503929815983</v>
      </c>
      <c r="BH42" s="62">
        <f t="shared" si="8"/>
        <v>598.89682735466704</v>
      </c>
      <c r="BI42" s="62">
        <f ca="1">AVERAGE(OFFSET($BH$3,0,0,'Données projet'!$E$11+1,1))-AVERAGE(OFFSET($H$3,0,0,'Données projet'!$E$11+1,1))</f>
        <v>470.57532875732056</v>
      </c>
      <c r="BJ42" s="62">
        <f t="shared" si="38"/>
        <v>286.63787681165888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projet'!$B$11,Paramètres!$A$1:$I$88,3,0)*0.475*44/12</f>
        <v>0</v>
      </c>
      <c r="BQ42" s="23">
        <f>EXP(-LN(2)/25)*BQ41+(1-EXP(-LN(2)/25))/(LN(2)/25)*Calculateur!BL42*Calculateur!BN42*VLOOKUP('Données projet'!$B$11,Paramètres!$A$1:$I$88,3,0)*0.475*44/12</f>
        <v>0</v>
      </c>
      <c r="BR42" s="23">
        <f>EXP(-LN(2)/2)*BR41+(1-EXP(-LN(2)/2))/(LN(2)/2)*BL42*BO42*VLOOKUP('Données projet'!$B$11,Paramètres!$A$1:$I$88,3,0)*0.475*44/12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65.830845738109645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11.4</v>
      </c>
      <c r="BY42" s="13">
        <f>IF('Données projet'!$A$114&gt;35,BY41+BX42-CG41,IF(A42&lt;'Données projet'!$A$114,$BV$205^A42,IF(A42='Données projet'!$A$114,'Données projet'!$B$114,BY41+BX42-CG41)))</f>
        <v>216.6</v>
      </c>
      <c r="BZ42" s="14">
        <f>BY42*VLOOKUP('Données projet'!$B$12,Paramètres!$A$1:$I$88,3,0)*VLOOKUP('Données projet'!$B$12,Paramètres!$A$1:$I$88,5,0)</f>
        <v>141.91631999999998</v>
      </c>
      <c r="CA42" s="14">
        <f t="shared" si="39"/>
        <v>36.735659538535209</v>
      </c>
      <c r="CB42" s="22">
        <f t="shared" si="10"/>
        <v>311.15219769628214</v>
      </c>
      <c r="CC42" s="62">
        <f t="shared" si="11"/>
        <v>589.19863206935088</v>
      </c>
      <c r="CD42" s="62">
        <f ca="1">AVERAGE(OFFSET($CC$3,0,0,'Données projet'!$E$12+1,1))-AVERAGE(OFFSET($H$3,0,0,'Données projet'!$E$12+1,1))</f>
        <v>305.38855494899906</v>
      </c>
      <c r="CE42" s="62">
        <f t="shared" si="40"/>
        <v>298.48106301229177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projet'!$B$12,Paramètres!$A$1:$I$88,3,0)*0.475*44/12</f>
        <v>2.0141140854826118</v>
      </c>
      <c r="CL42" s="23">
        <f>EXP(-LN(2)/25)*CL41+(1-EXP(-LN(2)/25))/(LN(2)/25)*Calculateur!CG42*Calculateur!CI42*VLOOKUP('Données projet'!$B$12,Paramètres!$A$1:$I$88,3,0)*0.475*44/12</f>
        <v>0</v>
      </c>
      <c r="CM42" s="23">
        <f>EXP(-LN(2)/2)*CM41+(1-EXP(-LN(2)/2))/(LN(2)/2)*CG42*CJ42*VLOOKUP('Données projet'!$B$12,Paramètres!$A$1:$I$88,3,0)*0.475*44/12</f>
        <v>0</v>
      </c>
      <c r="CN42" s="24">
        <f t="shared" si="12"/>
        <v>2.0141140854826118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65.830845738109645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11.4</v>
      </c>
      <c r="CT42" s="13">
        <f>IF('Données projet'!$A$140&gt;35,CT41+CS42-DB41,IF(A42&lt;'Données projet'!$A$140,$CQ$205^A42,IF(A42='Données projet'!$A$140,'Données projet'!$B$140,CT41+CS42-DB41)))</f>
        <v>216.6</v>
      </c>
      <c r="CU42" s="18">
        <f>CT42*VLOOKUP('Données projet'!$B$13,Paramètres!$A$1:$I$88,3,0)*VLOOKUP('Données projet'!$B$13,Paramètres!$A$1:$I$88,5,0)</f>
        <v>172.32695999999999</v>
      </c>
      <c r="CV42" s="14">
        <f t="shared" si="41"/>
        <v>43.61077213808133</v>
      </c>
      <c r="CW42" s="22">
        <f t="shared" si="13"/>
        <v>376.09155014049156</v>
      </c>
      <c r="CX42" s="62">
        <f t="shared" si="14"/>
        <v>654.13798451356024</v>
      </c>
      <c r="CY42" s="62">
        <f ca="1">AVERAGE(OFFSET($CX$3,0,0,'Données projet'!$E$13+1,1))-AVERAGE(OFFSET($H$3,0,0,'Données projet'!$E$13+1,1))</f>
        <v>361.30066984973894</v>
      </c>
      <c r="CZ42" s="62">
        <f t="shared" si="42"/>
        <v>351.78053157121622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projet'!$B$13,Paramètres!$A$1:$I$88,3,0)*0.475*44/12</f>
        <v>3.0144797193020492</v>
      </c>
      <c r="DG42" s="23">
        <f>EXP(-LN(2)/25)*DG41+(1-EXP(-LN(2)/25))/(LN(2)/25)*Calculateur!DB42*Calculateur!DD42*VLOOKUP('Données projet'!$B$13,Paramètres!$A$1:$I$88,3,0)*0.475*44/12</f>
        <v>0</v>
      </c>
      <c r="DH42" s="23">
        <f>EXP(-LN(2)/2)*DH41+(1-EXP(-LN(2)/2))/(LN(2)/2)*DB42*DE42*VLOOKUP('Données projet'!$B$13,Paramètres!$A$1:$I$88,3,0)*0.475*44/12</f>
        <v>0</v>
      </c>
      <c r="DI42" s="24">
        <f t="shared" si="15"/>
        <v>3.0144797193020492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65.830845738109645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>
        <f>DO42*VLOOKUP('Données projet'!$B$14,Paramètres!$A$1:$I$88,3,0)*VLOOKUP('Données projet'!$B$14,Paramètres!$A$1:$I$88,5,0)</f>
        <v>0</v>
      </c>
      <c r="DQ42" s="14" t="e">
        <f t="shared" si="43"/>
        <v>#NUM!</v>
      </c>
      <c r="DR42" s="22" t="e">
        <f t="shared" si="16"/>
        <v>#NUM!</v>
      </c>
      <c r="DS42" s="62" t="e">
        <f t="shared" si="17"/>
        <v>#NUM!</v>
      </c>
      <c r="DT42" s="62">
        <f ca="1">AVERAGE(OFFSET($DS$3,0,0,'Données projet'!$E$14+1,1))-AVERAGE(OFFSET($H$3,0,0,'Données projet'!$E$14+1,1))</f>
        <v>91.201152634762423</v>
      </c>
      <c r="DU42" s="62">
        <f t="shared" si="44"/>
        <v>233.36981992862445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projet'!$B$14,Paramètres!$A$1:$I$88,3,0)*0.475*44/12</f>
        <v>34.688736543882818</v>
      </c>
      <c r="EB42" s="23">
        <f>EXP(-LN(2)/25)*EB41+(1-EXP(-LN(2)/25))/(LN(2)/25)*Calculateur!DW42*Calculateur!DY42*VLOOKUP('Données projet'!$B$14,Paramètres!$A$1:$I$88,3,0)*0.475*44/12</f>
        <v>0</v>
      </c>
      <c r="EC42" s="23">
        <f>EXP(-LN(2)/2)*EC41+(1-EXP(-LN(2)/2))/(LN(2)/2)*DW42*DZ42*VLOOKUP('Données projet'!$B$14,Paramètres!$A$1:$I$88,3,0)*0.475*44/12</f>
        <v>0</v>
      </c>
      <c r="ED42" s="24">
        <f t="shared" si="18"/>
        <v>34.688736543882818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65.830845738109645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projet'!$B$15,Paramètres!$A$1:$I$88,3,0)*0.475*44/12</f>
        <v>#N/A</v>
      </c>
      <c r="EW42" s="23" t="e">
        <f>EXP(-LN(2)/25)*EW41+(1-EXP(-LN(2)/25))/(LN(2)/25)*Calculateur!ER42*Calculateur!ET42*VLOOKUP('Données projet'!$B$15,Paramètres!$A$1:$I$88,3,0)*0.475*44/12</f>
        <v>#N/A</v>
      </c>
      <c r="EX42" s="23" t="e">
        <f>EXP(-LN(2)/2)*EX41+(1-EXP(-LN(2)/2))/(LN(2)/2)*ER42*EU42*VLOOKUP('Données projet'!$B$15,Paramètres!$A$1:$I$88,3,0)*0.475*44/12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65.830845738109645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projet'!$B$16,Paramètres!$A$1:$I$88,3,0)*0.475*44/12</f>
        <v>#N/A</v>
      </c>
      <c r="FR42" s="23" t="e">
        <f>EXP(-LN(2)/25)*FR41+(1-EXP(-LN(2)/25))/(LN(2)/25)*Calculateur!FM42*Calculateur!FO42*VLOOKUP('Données projet'!$B$16,Paramètres!$A$1:$I$88,3,0)*0.475*44/12</f>
        <v>#N/A</v>
      </c>
      <c r="FS42" s="23" t="e">
        <f>EXP(-LN(2)/2)*FS41+(1-EXP(-LN(2)/2))/(LN(2)/2)*FM42*FP42*VLOOKUP('Données projet'!$B$16,Paramètres!$A$1:$I$88,3,0)*0.475*44/12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65.830845738109645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projet'!$B$17,Paramètres!$A$1:$I$88,3,0)*0.475*44/12</f>
        <v>#N/A</v>
      </c>
      <c r="GM42" s="23" t="e">
        <f>EXP(-LN(2)/25)*GM41+(1-EXP(-LN(2)/25))/(LN(2)/25)*Calculateur!GH42*Calculateur!GJ42*VLOOKUP('Données projet'!$B$17,Paramètres!$A$1:$I$88,3,0)*0.475*44/12</f>
        <v>#N/A</v>
      </c>
      <c r="GN42" s="23" t="e">
        <f>EXP(-LN(2)/2)*GN41+(1-EXP(-LN(2)/2))/(LN(2)/2)*GH42*GK42*VLOOKUP('Données projet'!$B$17,Paramètres!$A$1:$I$88,3,0)*0.475*44/12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65.830845738109645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projet'!$B$18,Paramètres!$A$1:$I$88,3,0)*0.475*44/12</f>
        <v>#N/A</v>
      </c>
      <c r="HH42" s="23" t="e">
        <f>EXP(-LN(2)/25)*HH41+(1-EXP(-LN(2)/25))/(LN(2)/25)*Calculateur!HC42*Calculateur!HE42*VLOOKUP('Données projet'!$B$18,Paramètres!$A$1:$I$88,3,0)*0.475*44/12</f>
        <v>#N/A</v>
      </c>
      <c r="HI42" s="23" t="e">
        <f>EXP(-LN(2)/2)*HI41+(1-EXP(-LN(2)/2))/(LN(2)/2)*HC42*HF42*VLOOKUP('Données projet'!$B$18,Paramètres!$A$1:$I$88,3,0)*0.475*44/12</f>
        <v>#N/A</v>
      </c>
      <c r="HJ42" s="24" t="e">
        <f t="shared" si="30"/>
        <v>#N/A</v>
      </c>
    </row>
    <row r="43" spans="1:218" s="5" customFormat="1" x14ac:dyDescent="0.2">
      <c r="A43" s="11">
        <f t="shared" si="31"/>
        <v>40</v>
      </c>
      <c r="B43" s="77">
        <f>'Scénario référence'!$B$16*5+'Scénario référence'!$B$17*0+'Scénario référence'!$B$18*5</f>
        <v>1.6500000000000001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6.0500000000000007</v>
      </c>
      <c r="H43" s="70">
        <f t="shared" si="1"/>
        <v>232.4666666666667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65.903171243720877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467</v>
      </c>
      <c r="L43" s="13">
        <f>VLOOKUP(A43,'Données projet'!$A$35:$I$55,9,0)</f>
        <v>25.8</v>
      </c>
      <c r="M43" s="13">
        <f t="array" ref="M43">INDEX(L:L,MIN(IF(ISNUMBER(L43:L239),ROW(L43:L239),"")))</f>
        <v>25.8</v>
      </c>
      <c r="N43" s="14">
        <f>IF('Données projet'!$A$36&gt;35,N42+M43-V42,IF(A43&lt;'Données projet'!$A$36,$K$205^A43,IF(A43='Données projet'!$A$36,'Données projet'!$B$36,N42+M43-V42)))</f>
        <v>467.00000000000023</v>
      </c>
      <c r="O43" s="14">
        <f>N43*VLOOKUP('Données projet'!$B$9,Paramètres!$A$1:$I$88,3,0)*VLOOKUP('Données projet'!$B$9,Paramètres!$A$1:$I$88,5,0)</f>
        <v>279.26600000000013</v>
      </c>
      <c r="P43" s="14">
        <f t="shared" si="33"/>
        <v>66.811869892488943</v>
      </c>
      <c r="Q43" s="22">
        <f t="shared" si="53"/>
        <v>602.75229006275174</v>
      </c>
      <c r="R43" s="62">
        <f t="shared" si="0"/>
        <v>881.06391795639502</v>
      </c>
      <c r="S43" s="62">
        <f ca="1">AVERAGE(OFFSET($R$3,0,0,'Données projet'!$E$9+1,1))-AVERAGE(OFFSET($H$3,0,0,'Données projet'!$E$9+1,1))</f>
        <v>354.71367224254021</v>
      </c>
      <c r="T43" s="62">
        <f t="shared" si="34"/>
        <v>490.074370133397</v>
      </c>
      <c r="U43" s="16">
        <f>IF(ISNA(VLOOKUP(A43,'Données projet'!$A$35:$I$55,3,0)),0,VLOOKUP(A43,'Données projet'!$A$35:$I$55,3,0))</f>
        <v>6</v>
      </c>
      <c r="V43" s="16">
        <f>IF(ISNA(VLOOKUP(A43,'Données projet'!$A$35:$I$55,4,0)),0,VLOOKUP(A43,'Données projet'!$A$35:$I$55,4,0))</f>
        <v>70</v>
      </c>
      <c r="W43" s="17">
        <f>IF(ISNA(VLOOKUP(A43,'Données projet'!$A$35:$I$55,5,0)),0%,VLOOKUP(A43,'Données projet'!$A$35:$I$55,5,0)*VLOOKUP('Données projet'!$B$9,Paramètres!$A$1:$I$88,7,0))</f>
        <v>0.22500000000000001</v>
      </c>
      <c r="X43" s="17">
        <f>IF(ISNA(VLOOKUP(A43,'Données projet'!$A$35:$I$55,6,0)),0%,VLOOKUP(A43,'Données projet'!$A$35:$I$55,6,0)*VLOOKUP('Données projet'!$B$9,Paramètres!$A$1:$I$88,7,0))</f>
        <v>0.12600000000000003</v>
      </c>
      <c r="Y43" s="17">
        <f>IF(ISNA(VLOOKUP(A43,'Données projet'!$A$35:$I$55,7,0)),0%,VLOOKUP(A43,'Données projet'!$A$35:$I$55,7,0))</f>
        <v>0.22</v>
      </c>
      <c r="Z43" s="23">
        <f>EXP(-LN(2)/35)*Z42+(1-EXP(-LN(2)/35))/(LN(2)/35)*V43*W43*VLOOKUP('Données projet'!$B$9,Paramètres!$A$1:$I$88,3,0)*0.475*44/12</f>
        <v>19.284048604424413</v>
      </c>
      <c r="AA43" s="23">
        <f>EXP(-LN(2)/25)*AA42+(1-EXP(-LN(2)/25))/(LN(2)/25)*Calculateur!V43*Calculateur!X43*VLOOKUP('Données projet'!$B$9,Paramètres!$A$1:$I$88,3,0)*0.475*44/12</f>
        <v>45.318764330885067</v>
      </c>
      <c r="AB43" s="23">
        <f>EXP(-LN(2)/2)*AB42+(1-EXP(-LN(2)/2))/(LN(2)/2)*V43*Y43*VLOOKUP('Données projet'!$B$9,Paramètres!$A$1:$I$88,3,0)*0.475*44/12</f>
        <v>13.795825476156834</v>
      </c>
      <c r="AC43" s="24">
        <f t="shared" si="3"/>
        <v>78.398638411466322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65.903171243720877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337</v>
      </c>
      <c r="AG43" s="13">
        <f>VLOOKUP(A43,'Données projet'!$A$61:$I$81,9,0)</f>
        <v>16.8</v>
      </c>
      <c r="AH43" s="13">
        <f t="array" ref="AH43">INDEX(AG:AG,MIN(IF(ISNUMBER(AG43:AG239),ROW(AG43:AG239),"")))</f>
        <v>16.8</v>
      </c>
      <c r="AI43" s="14">
        <f>IF('Données projet'!$A$62&gt;35,AI42+AH43-AQ42,IF(A43&lt;'Données projet'!$A$62,$AF$205^A43,IF(A43='Données projet'!$A$62,'Données projet'!$B$62,AI42+AH43-AQ42)))</f>
        <v>337.00000000000011</v>
      </c>
      <c r="AJ43" s="14">
        <f>AI43*VLOOKUP('Données projet'!$B$10,Paramètres!$A$1:$I$88,3,0)*VLOOKUP('Données projet'!$B$10,Paramètres!$A$1:$I$88,5,0)</f>
        <v>201.5260000000001</v>
      </c>
      <c r="AK43" s="14">
        <f t="shared" si="35"/>
        <v>50.079387833316794</v>
      </c>
      <c r="AL43" s="22">
        <f t="shared" si="4"/>
        <v>438.21271714302685</v>
      </c>
      <c r="AM43" s="62">
        <f t="shared" si="5"/>
        <v>716.52434503667007</v>
      </c>
      <c r="AN43" s="62">
        <f ca="1">AVERAGE(OFFSET($AM$3,0,0,'Données projet'!$E$10+1,1))-AVERAGE(OFFSET($H$3,0,0,'Données projet'!$E$10+1,1))</f>
        <v>264.73276096087574</v>
      </c>
      <c r="AO43" s="62">
        <f t="shared" si="36"/>
        <v>381.84464918049662</v>
      </c>
      <c r="AP43" s="16">
        <f>IF(ISNA(VLOOKUP(A43,'Données projet'!$A$61:$I$81,3,0)),0,VLOOKUP(A43,'Données projet'!$A$61:$I$81,3,0))</f>
        <v>6</v>
      </c>
      <c r="AQ43" s="16">
        <f>IF(ISNA(VLOOKUP(A43,'Données projet'!$A$61:$I$81,4,0)),0,VLOOKUP(A43,'Données projet'!$A$61:$I$81,4,0))</f>
        <v>49</v>
      </c>
      <c r="AR43" s="17">
        <f>IF(ISNA(VLOOKUP(A43,'Données projet'!$A$61:$I$81,5,0)),0%,VLOOKUP(A43,'Données projet'!$A$61:$I$81,5,0)*VLOOKUP('Données projet'!$B$10,Paramètres!$A$1:$I$88,7,0))</f>
        <v>0.22500000000000001</v>
      </c>
      <c r="AS43" s="17">
        <f>IF(ISNA(VLOOKUP(A43,'Données projet'!$A$61:$I$81,6,0)),0%,VLOOKUP(A43,'Données projet'!$A$61:$I$81,6,0)*VLOOKUP('Données projet'!$B$10,Paramètres!$A$1:$I$88,7,0))</f>
        <v>0.12600000000000003</v>
      </c>
      <c r="AT43" s="17">
        <f>IF(ISNA(VLOOKUP(A43,'Données projet'!$A$61:$I$81,7,0)),0%,VLOOKUP(A43,'Données projet'!$A$61:$I$81,7,0))</f>
        <v>0.22</v>
      </c>
      <c r="AU43" s="23">
        <f>EXP(-LN(2)/35)*AU42+(1-EXP(-LN(2)/35))/(LN(2)/35)*AQ43*AR43*VLOOKUP('Données projet'!$B$10,Paramètres!$A$1:$I$88,3,0)*0.475*44/12</f>
        <v>13.498834023097086</v>
      </c>
      <c r="AV43" s="23">
        <f>EXP(-LN(2)/25)*AV42+(1-EXP(-LN(2)/25))/(LN(2)/25)*Calculateur!AQ43*Calculateur!AS43*VLOOKUP('Données projet'!$B$10,Paramètres!$A$1:$I$88,3,0)*0.475*44/12</f>
        <v>31.653442736437032</v>
      </c>
      <c r="AW43" s="23">
        <f>EXP(-LN(2)/2)*AW42+(1-EXP(-LN(2)/2))/(LN(2)/2)*AQ43*AT43*VLOOKUP('Données projet'!$B$10,Paramètres!$A$1:$I$88,3,0)*0.475*44/12</f>
        <v>9.6570418324814131</v>
      </c>
      <c r="AX43" s="23">
        <f t="shared" si="6"/>
        <v>54.809318592015529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65.903171243720877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137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IF('Données projet'!$A$88&gt;35,BD42+BC43-BL42,IF(A43&lt;'Données projet'!$A$88,$BA$205^A43,IF(A43='Données projet'!$A$88,'Données projet'!$B$88,BD42+BC43-BL42)))</f>
        <v>137.00000000000003</v>
      </c>
      <c r="BE43" s="14">
        <f>BD43*VLOOKUP('Données projet'!$B$11,Paramètres!$A$1:$I$88,3,0)*VLOOKUP('Données projet'!$B$11,Paramètres!$A$1:$I$88,5,0)</f>
        <v>156.01560000000003</v>
      </c>
      <c r="BF43" s="14">
        <f t="shared" si="37"/>
        <v>39.942508135025747</v>
      </c>
      <c r="BG43" s="22">
        <f t="shared" si="7"/>
        <v>341.29370500183654</v>
      </c>
      <c r="BH43" s="62">
        <f t="shared" si="8"/>
        <v>619.60533289547971</v>
      </c>
      <c r="BI43" s="62">
        <f ca="1">AVERAGE(OFFSET($BH$3,0,0,'Données projet'!$E$11+1,1))-AVERAGE(OFFSET($H$3,0,0,'Données projet'!$E$11+1,1))</f>
        <v>470.57532875732056</v>
      </c>
      <c r="BJ43" s="62">
        <f t="shared" si="38"/>
        <v>286.63787681165888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21</v>
      </c>
      <c r="BM43" s="17">
        <f>IF(ISNA(VLOOKUP(A43,'Données projet'!$A$87:$I$107,5,0)),0%,VLOOKUP(A43,'Données projet'!$A$87:$I$107,5,0)*VLOOKUP('Données projet'!$B$11,Paramètres!$A$1:$I$88,7,0))</f>
        <v>8.6000000000000007E-2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projet'!$B$11,Paramètres!$A$1:$I$88,3,0)*0.475*44/12</f>
        <v>2.2735908607910953</v>
      </c>
      <c r="BQ43" s="23">
        <f>EXP(-LN(2)/25)*BQ42+(1-EXP(-LN(2)/25))/(LN(2)/25)*Calculateur!BL43*Calculateur!BN43*VLOOKUP('Données projet'!$B$11,Paramètres!$A$1:$I$88,3,0)*0.475*44/12</f>
        <v>0</v>
      </c>
      <c r="BR43" s="23">
        <f>EXP(-LN(2)/2)*BR42+(1-EXP(-LN(2)/2))/(LN(2)/2)*BL43*BO43*VLOOKUP('Données projet'!$B$11,Paramètres!$A$1:$I$88,3,0)*0.475*44/12</f>
        <v>0</v>
      </c>
      <c r="BS43" s="24">
        <f t="shared" si="9"/>
        <v>2.2735908607910953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65.903171243720877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228</v>
      </c>
      <c r="BW43" s="13">
        <f>VLOOKUP(A43,'Données projet'!$A$113:$I$133,9,0)</f>
        <v>11.4</v>
      </c>
      <c r="BX43" s="13">
        <f t="array" ref="BX43">INDEX(BW:BW,MIN(IF(ISNUMBER(BW43:BW239),ROW(BW43:BW239),"")))</f>
        <v>11.4</v>
      </c>
      <c r="BY43" s="13">
        <f>IF('Données projet'!$A$114&gt;35,BY42+BX43-CG42,IF(A43&lt;'Données projet'!$A$114,$BV$205^A43,IF(A43='Données projet'!$A$114,'Données projet'!$B$114,BY42+BX43-CG42)))</f>
        <v>228</v>
      </c>
      <c r="BZ43" s="14">
        <f>BY43*VLOOKUP('Données projet'!$B$12,Paramètres!$A$1:$I$88,3,0)*VLOOKUP('Données projet'!$B$12,Paramètres!$A$1:$I$88,5,0)</f>
        <v>149.38559999999998</v>
      </c>
      <c r="CA43" s="14">
        <f t="shared" si="39"/>
        <v>38.438927680599591</v>
      </c>
      <c r="CB43" s="22">
        <f t="shared" si="10"/>
        <v>327.1277190437109</v>
      </c>
      <c r="CC43" s="62">
        <f t="shared" si="11"/>
        <v>605.43934693735412</v>
      </c>
      <c r="CD43" s="62">
        <f ca="1">AVERAGE(OFFSET($CC$3,0,0,'Données projet'!$E$12+1,1))-AVERAGE(OFFSET($H$3,0,0,'Données projet'!$E$12+1,1))</f>
        <v>305.38855494899906</v>
      </c>
      <c r="CE43" s="62">
        <f t="shared" si="40"/>
        <v>298.48106301229177</v>
      </c>
      <c r="CF43" s="16">
        <f>IF(ISNA(VLOOKUP(A43,'Données projet'!$A$113:$I$133,3,0)),0,VLOOKUP(A43,'Données projet'!$A$113:$I$133,3,0))</f>
        <v>7</v>
      </c>
      <c r="CG43" s="16">
        <f>IF(ISNA(VLOOKUP(A43,'Données projet'!$A$113:$I$133,4,0)),0,VLOOKUP(A43,'Données projet'!$A$113:$I$133,4,0))</f>
        <v>35</v>
      </c>
      <c r="CH43" s="17">
        <f>IF(ISNA(VLOOKUP(A43,'Données projet'!$A$113:$I$133,5,0)),0%,VLOOKUP(A43,'Données projet'!$A$113:$I$133,5,0)*VLOOKUP('Données projet'!$B$12,Paramètres!$A$1:$I$88,7,0))</f>
        <v>0.129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projet'!$B$12,Paramètres!$A$1:$I$88,3,0)*0.475*44/12</f>
        <v>5.2448519666595868</v>
      </c>
      <c r="CL43" s="23">
        <f>EXP(-LN(2)/25)*CL42+(1-EXP(-LN(2)/25))/(LN(2)/25)*Calculateur!CG43*Calculateur!CI43*VLOOKUP('Données projet'!$B$12,Paramètres!$A$1:$I$88,3,0)*0.475*44/12</f>
        <v>0</v>
      </c>
      <c r="CM43" s="23">
        <f>EXP(-LN(2)/2)*CM42+(1-EXP(-LN(2)/2))/(LN(2)/2)*CG43*CJ43*VLOOKUP('Données projet'!$B$12,Paramètres!$A$1:$I$88,3,0)*0.475*44/12</f>
        <v>0</v>
      </c>
      <c r="CN43" s="24">
        <f t="shared" si="12"/>
        <v>5.2448519666595868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65.903171243720877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228</v>
      </c>
      <c r="CR43" s="13">
        <f>VLOOKUP(A43,'Données projet'!$A$139:$I$159,9,0)</f>
        <v>11.4</v>
      </c>
      <c r="CS43" s="13">
        <f t="array" ref="CS43">INDEX(CR:CR,MIN(IF(ISNUMBER(CR43:CR239),ROW(CR43:CR239),"")))</f>
        <v>11.4</v>
      </c>
      <c r="CT43" s="13">
        <f>IF('Données projet'!$A$140&gt;35,CT42+CS43-DB42,IF(A43&lt;'Données projet'!$A$140,$CQ$205^A43,IF(A43='Données projet'!$A$140,'Données projet'!$B$140,CT42+CS43-DB42)))</f>
        <v>228</v>
      </c>
      <c r="CU43" s="18">
        <f>CT43*VLOOKUP('Données projet'!$B$13,Paramètres!$A$1:$I$88,3,0)*VLOOKUP('Données projet'!$B$13,Paramètres!$A$1:$I$88,5,0)</f>
        <v>181.39680000000001</v>
      </c>
      <c r="CV43" s="14">
        <f t="shared" si="41"/>
        <v>45.63280848550832</v>
      </c>
      <c r="CW43" s="22">
        <f t="shared" si="13"/>
        <v>395.40990144559368</v>
      </c>
      <c r="CX43" s="62">
        <f t="shared" si="14"/>
        <v>673.72152933923689</v>
      </c>
      <c r="CY43" s="62">
        <f ca="1">AVERAGE(OFFSET($CX$3,0,0,'Données projet'!$E$13+1,1))-AVERAGE(OFFSET($H$3,0,0,'Données projet'!$E$13+1,1))</f>
        <v>361.30066984973894</v>
      </c>
      <c r="CZ43" s="62">
        <f t="shared" si="42"/>
        <v>351.78053157121622</v>
      </c>
      <c r="DA43" s="16">
        <f>IF(ISNA(VLOOKUP(A43,'Données projet'!$A$139:$I$159,3,0)),0,VLOOKUP(A43,'Données projet'!$A$139:$I$159,3,0))</f>
        <v>7</v>
      </c>
      <c r="DB43" s="16">
        <f>IF(ISNA(VLOOKUP(A43,'Données projet'!$A$139:$I$159,4,0)),0,VLOOKUP(A43,'Données projet'!$A$139:$I$159,4,0))</f>
        <v>35</v>
      </c>
      <c r="DC43" s="17">
        <f>IF(ISNA(VLOOKUP(A43,'Données projet'!$A$139:$I$159,5,0)),0%,VLOOKUP(A43,'Données projet'!$A$139:$I$159,5,0)*VLOOKUP('Données projet'!$B$13,Paramètres!$A$1:$I$88,7,0))</f>
        <v>0.159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projet'!$B$13,Paramètres!$A$1:$I$88,3,0)*0.475*44/12</f>
        <v>7.8498531926250648</v>
      </c>
      <c r="DG43" s="23">
        <f>EXP(-LN(2)/25)*DG42+(1-EXP(-LN(2)/25))/(LN(2)/25)*Calculateur!DB43*Calculateur!DD43*VLOOKUP('Données projet'!$B$13,Paramètres!$A$1:$I$88,3,0)*0.475*44/12</f>
        <v>0</v>
      </c>
      <c r="DH43" s="23">
        <f>EXP(-LN(2)/2)*DH42+(1-EXP(-LN(2)/2))/(LN(2)/2)*DB43*DE43*VLOOKUP('Données projet'!$B$13,Paramètres!$A$1:$I$88,3,0)*0.475*44/12</f>
        <v>0</v>
      </c>
      <c r="DI43" s="24">
        <f t="shared" si="15"/>
        <v>7.8498531926250648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65.903171243720877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>
        <f>DO43*VLOOKUP('Données projet'!$B$14,Paramètres!$A$1:$I$88,3,0)*VLOOKUP('Données projet'!$B$14,Paramètres!$A$1:$I$88,5,0)</f>
        <v>0</v>
      </c>
      <c r="DQ43" s="14" t="e">
        <f t="shared" si="43"/>
        <v>#NUM!</v>
      </c>
      <c r="DR43" s="22" t="e">
        <f t="shared" si="16"/>
        <v>#NUM!</v>
      </c>
      <c r="DS43" s="62" t="e">
        <f t="shared" si="17"/>
        <v>#NUM!</v>
      </c>
      <c r="DT43" s="62">
        <f ca="1">AVERAGE(OFFSET($DS$3,0,0,'Données projet'!$E$14+1,1))-AVERAGE(OFFSET($H$3,0,0,'Données projet'!$E$14+1,1))</f>
        <v>91.201152634762423</v>
      </c>
      <c r="DU43" s="62">
        <f t="shared" si="44"/>
        <v>233.36981992862445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projet'!$B$14,Paramètres!$A$1:$I$88,3,0)*0.475*44/12</f>
        <v>34.008511578297387</v>
      </c>
      <c r="EB43" s="23">
        <f>EXP(-LN(2)/25)*EB42+(1-EXP(-LN(2)/25))/(LN(2)/25)*Calculateur!DW43*Calculateur!DY43*VLOOKUP('Données projet'!$B$14,Paramètres!$A$1:$I$88,3,0)*0.475*44/12</f>
        <v>0</v>
      </c>
      <c r="EC43" s="23">
        <f>EXP(-LN(2)/2)*EC42+(1-EXP(-LN(2)/2))/(LN(2)/2)*DW43*DZ43*VLOOKUP('Données projet'!$B$14,Paramètres!$A$1:$I$88,3,0)*0.475*44/12</f>
        <v>0</v>
      </c>
      <c r="ED43" s="24">
        <f t="shared" si="18"/>
        <v>34.008511578297387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65.903171243720877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projet'!$B$15,Paramètres!$A$1:$I$88,3,0)*0.475*44/12</f>
        <v>#N/A</v>
      </c>
      <c r="EW43" s="23" t="e">
        <f>EXP(-LN(2)/25)*EW42+(1-EXP(-LN(2)/25))/(LN(2)/25)*Calculateur!ER43*Calculateur!ET43*VLOOKUP('Données projet'!$B$15,Paramètres!$A$1:$I$88,3,0)*0.475*44/12</f>
        <v>#N/A</v>
      </c>
      <c r="EX43" s="23" t="e">
        <f>EXP(-LN(2)/2)*EX42+(1-EXP(-LN(2)/2))/(LN(2)/2)*ER43*EU43*VLOOKUP('Données projet'!$B$15,Paramètres!$A$1:$I$88,3,0)*0.475*44/12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65.903171243720877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projet'!$B$16,Paramètres!$A$1:$I$88,3,0)*0.475*44/12</f>
        <v>#N/A</v>
      </c>
      <c r="FR43" s="23" t="e">
        <f>EXP(-LN(2)/25)*FR42+(1-EXP(-LN(2)/25))/(LN(2)/25)*Calculateur!FM43*Calculateur!FO43*VLOOKUP('Données projet'!$B$16,Paramètres!$A$1:$I$88,3,0)*0.475*44/12</f>
        <v>#N/A</v>
      </c>
      <c r="FS43" s="23" t="e">
        <f>EXP(-LN(2)/2)*FS42+(1-EXP(-LN(2)/2))/(LN(2)/2)*FM43*FP43*VLOOKUP('Données projet'!$B$16,Paramètres!$A$1:$I$88,3,0)*0.475*44/12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65.903171243720877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projet'!$B$17,Paramètres!$A$1:$I$88,3,0)*0.475*44/12</f>
        <v>#N/A</v>
      </c>
      <c r="GM43" s="23" t="e">
        <f>EXP(-LN(2)/25)*GM42+(1-EXP(-LN(2)/25))/(LN(2)/25)*Calculateur!GH43*Calculateur!GJ43*VLOOKUP('Données projet'!$B$17,Paramètres!$A$1:$I$88,3,0)*0.475*44/12</f>
        <v>#N/A</v>
      </c>
      <c r="GN43" s="23" t="e">
        <f>EXP(-LN(2)/2)*GN42+(1-EXP(-LN(2)/2))/(LN(2)/2)*GH43*GK43*VLOOKUP('Données projet'!$B$17,Paramètres!$A$1:$I$88,3,0)*0.475*44/12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65.903171243720877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projet'!$B$18,Paramètres!$A$1:$I$88,3,0)*0.475*44/12</f>
        <v>#N/A</v>
      </c>
      <c r="HH43" s="23" t="e">
        <f>EXP(-LN(2)/25)*HH42+(1-EXP(-LN(2)/25))/(LN(2)/25)*Calculateur!HC43*Calculateur!HE43*VLOOKUP('Données projet'!$B$18,Paramètres!$A$1:$I$88,3,0)*0.475*44/12</f>
        <v>#N/A</v>
      </c>
      <c r="HI43" s="23" t="e">
        <f>EXP(-LN(2)/2)*HI42+(1-EXP(-LN(2)/2))/(LN(2)/2)*HC43*HF43*VLOOKUP('Données projet'!$B$18,Paramètres!$A$1:$I$88,3,0)*0.475*44/12</f>
        <v>#N/A</v>
      </c>
      <c r="HJ43" s="24" t="e">
        <f t="shared" si="30"/>
        <v>#N/A</v>
      </c>
    </row>
    <row r="44" spans="1:218" s="5" customFormat="1" x14ac:dyDescent="0.2">
      <c r="A44" s="11">
        <f t="shared" si="31"/>
        <v>41</v>
      </c>
      <c r="B44" s="77">
        <f>'Scénario référence'!$B$16*5+'Scénario référence'!$B$17*0+'Scénario référence'!$B$18*5</f>
        <v>1.6500000000000001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6.0500000000000007</v>
      </c>
      <c r="H44" s="70">
        <f t="shared" si="1"/>
        <v>232.4666666666667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65.974242063505358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24.2</v>
      </c>
      <c r="N44" s="14">
        <f>IF('Données projet'!$A$36&gt;35,N43+M44-V43,IF(A44&lt;'Données projet'!$A$36,$K$205^A44,IF(A44='Données projet'!$A$36,'Données projet'!$B$36,N43+M44-V43)))</f>
        <v>421.20000000000022</v>
      </c>
      <c r="O44" s="14">
        <f>N44*VLOOKUP('Données projet'!$B$9,Paramètres!$A$1:$I$88,3,0)*VLOOKUP('Données projet'!$B$9,Paramètres!$A$1:$I$88,5,0)</f>
        <v>251.87760000000014</v>
      </c>
      <c r="P44" s="14">
        <f t="shared" si="33"/>
        <v>60.987825380023075</v>
      </c>
      <c r="Q44" s="22">
        <f t="shared" si="53"/>
        <v>544.90728253687382</v>
      </c>
      <c r="R44" s="62">
        <f t="shared" si="0"/>
        <v>823.47950343639354</v>
      </c>
      <c r="S44" s="62">
        <f ca="1">AVERAGE(OFFSET($R$3,0,0,'Données projet'!$E$9+1,1))-AVERAGE(OFFSET($H$3,0,0,'Données projet'!$E$9+1,1))</f>
        <v>354.71367224254021</v>
      </c>
      <c r="T44" s="62">
        <f t="shared" si="34"/>
        <v>490.074370133397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18.905900173399889</v>
      </c>
      <c r="AA44" s="23">
        <f>EXP(-LN(2)/25)*AA43+(1-EXP(-LN(2)/25))/(LN(2)/25)*Calculateur!V44*Calculateur!X44*VLOOKUP('Données projet'!$B$9,Paramètres!$A$1:$I$88,3,0)*0.475*44/12</f>
        <v>44.079520337046773</v>
      </c>
      <c r="AB44" s="23">
        <f>EXP(-LN(2)/2)*AB43+(1-EXP(-LN(2)/2))/(LN(2)/2)*V44*Y44*VLOOKUP('Données projet'!$B$9,Paramètres!$A$1:$I$88,3,0)*0.475*44/12</f>
        <v>9.7551217462566289</v>
      </c>
      <c r="AC44" s="24">
        <f t="shared" si="3"/>
        <v>72.740542256703293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65.974242063505358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15.8</v>
      </c>
      <c r="AI44" s="14">
        <f>IF('Données projet'!$A$62&gt;35,AI43+AH44-AQ43,IF(A44&lt;'Données projet'!$A$62,$AF$205^A44,IF(A44='Données projet'!$A$62,'Données projet'!$B$62,AI43+AH44-AQ43)))</f>
        <v>303.80000000000013</v>
      </c>
      <c r="AJ44" s="14">
        <f>AI44*VLOOKUP('Données projet'!$B$10,Paramètres!$A$1:$I$88,3,0)*VLOOKUP('Données projet'!$B$10,Paramètres!$A$1:$I$88,5,0)</f>
        <v>181.6724000000001</v>
      </c>
      <c r="AK44" s="14">
        <f t="shared" si="35"/>
        <v>45.694063848121189</v>
      </c>
      <c r="AL44" s="22">
        <f t="shared" si="4"/>
        <v>395.99659120214454</v>
      </c>
      <c r="AM44" s="62">
        <f t="shared" si="5"/>
        <v>674.56881210166421</v>
      </c>
      <c r="AN44" s="62">
        <f ca="1">AVERAGE(OFFSET($AM$3,0,0,'Données projet'!$E$10+1,1))-AVERAGE(OFFSET($H$3,0,0,'Données projet'!$E$10+1,1))</f>
        <v>264.73276096087574</v>
      </c>
      <c r="AO44" s="62">
        <f t="shared" si="36"/>
        <v>381.84464918049662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projet'!$B$10,Paramètres!$A$1:$I$88,3,0)*0.475*44/12</f>
        <v>13.234130121379918</v>
      </c>
      <c r="AV44" s="23">
        <f>EXP(-LN(2)/25)*AV43+(1-EXP(-LN(2)/25))/(LN(2)/25)*Calculateur!AQ44*Calculateur!AS44*VLOOKUP('Données projet'!$B$10,Paramètres!$A$1:$I$88,3,0)*0.475*44/12</f>
        <v>30.787877680226952</v>
      </c>
      <c r="AW44" s="23">
        <f>EXP(-LN(2)/2)*AW43+(1-EXP(-LN(2)/2))/(LN(2)/2)*AQ44*AT44*VLOOKUP('Données projet'!$B$10,Paramètres!$A$1:$I$88,3,0)*0.475*44/12</f>
        <v>6.8285597659497714</v>
      </c>
      <c r="AX44" s="23">
        <f t="shared" si="6"/>
        <v>50.850567567556638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65.974242063505358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124.40000000000003</v>
      </c>
      <c r="BE44" s="14">
        <f>BD44*VLOOKUP('Données projet'!$B$11,Paramètres!$A$1:$I$88,3,0)*VLOOKUP('Données projet'!$B$11,Paramètres!$A$1:$I$88,5,0)</f>
        <v>141.66672000000005</v>
      </c>
      <c r="BF44" s="14">
        <f t="shared" si="37"/>
        <v>36.678564250226081</v>
      </c>
      <c r="BG44" s="22">
        <f t="shared" si="7"/>
        <v>310.61803673581051</v>
      </c>
      <c r="BH44" s="62">
        <f t="shared" si="8"/>
        <v>589.19025763533023</v>
      </c>
      <c r="BI44" s="62">
        <f ca="1">AVERAGE(OFFSET($BH$3,0,0,'Données projet'!$E$11+1,1))-AVERAGE(OFFSET($H$3,0,0,'Données projet'!$E$11+1,1))</f>
        <v>470.57532875732056</v>
      </c>
      <c r="BJ44" s="62">
        <f t="shared" si="38"/>
        <v>286.63787681165888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projet'!$B$11,Paramètres!$A$1:$I$88,3,0)*0.475*44/12</f>
        <v>2.2290071307644763</v>
      </c>
      <c r="BQ44" s="23">
        <f>EXP(-LN(2)/25)*BQ43+(1-EXP(-LN(2)/25))/(LN(2)/25)*Calculateur!BL44*Calculateur!BN44*VLOOKUP('Données projet'!$B$11,Paramètres!$A$1:$I$88,3,0)*0.475*44/12</f>
        <v>0</v>
      </c>
      <c r="BR44" s="23">
        <f>EXP(-LN(2)/2)*BR43+(1-EXP(-LN(2)/2))/(LN(2)/2)*BL44*BO44*VLOOKUP('Données projet'!$B$11,Paramètres!$A$1:$I$88,3,0)*0.475*44/12</f>
        <v>0</v>
      </c>
      <c r="BS44" s="24">
        <f t="shared" si="9"/>
        <v>2.2290071307644763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65.974242063505358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9.8000000000000007</v>
      </c>
      <c r="BY44" s="13">
        <f>IF('Données projet'!$A$114&gt;35,BY43+BX44-CG43,IF(A44&lt;'Données projet'!$A$114,$BV$205^A44,IF(A44='Données projet'!$A$114,'Données projet'!$B$114,BY43+BX44-CG43)))</f>
        <v>202.8</v>
      </c>
      <c r="BZ44" s="14">
        <f>BY44*VLOOKUP('Données projet'!$B$12,Paramètres!$A$1:$I$88,3,0)*VLOOKUP('Données projet'!$B$12,Paramètres!$A$1:$I$88,5,0)</f>
        <v>132.87456</v>
      </c>
      <c r="CA44" s="14">
        <f t="shared" si="39"/>
        <v>34.659737896678863</v>
      </c>
      <c r="CB44" s="22">
        <f t="shared" si="10"/>
        <v>291.78890217004903</v>
      </c>
      <c r="CC44" s="62">
        <f t="shared" si="11"/>
        <v>570.36112306956875</v>
      </c>
      <c r="CD44" s="62">
        <f ca="1">AVERAGE(OFFSET($CC$3,0,0,'Données projet'!$E$12+1,1))-AVERAGE(OFFSET($H$3,0,0,'Données projet'!$E$12+1,1))</f>
        <v>305.38855494899906</v>
      </c>
      <c r="CE44" s="62">
        <f t="shared" si="40"/>
        <v>298.48106301229177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projet'!$B$12,Paramètres!$A$1:$I$88,3,0)*0.475*44/12</f>
        <v>5.1420036186372124</v>
      </c>
      <c r="CL44" s="23">
        <f>EXP(-LN(2)/25)*CL43+(1-EXP(-LN(2)/25))/(LN(2)/25)*Calculateur!CG44*Calculateur!CI44*VLOOKUP('Données projet'!$B$12,Paramètres!$A$1:$I$88,3,0)*0.475*44/12</f>
        <v>0</v>
      </c>
      <c r="CM44" s="23">
        <f>EXP(-LN(2)/2)*CM43+(1-EXP(-LN(2)/2))/(LN(2)/2)*CG44*CJ44*VLOOKUP('Données projet'!$B$12,Paramètres!$A$1:$I$88,3,0)*0.475*44/12</f>
        <v>0</v>
      </c>
      <c r="CN44" s="24">
        <f t="shared" si="12"/>
        <v>5.1420036186372124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65.974242063505358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9.8000000000000007</v>
      </c>
      <c r="CT44" s="13">
        <f>IF('Données projet'!$A$140&gt;35,CT43+CS44-DB43,IF(A44&lt;'Données projet'!$A$140,$CQ$205^A44,IF(A44='Données projet'!$A$140,'Données projet'!$B$140,CT43+CS44-DB43)))</f>
        <v>202.8</v>
      </c>
      <c r="CU44" s="18">
        <f>CT44*VLOOKUP('Données projet'!$B$13,Paramètres!$A$1:$I$88,3,0)*VLOOKUP('Données projet'!$B$13,Paramètres!$A$1:$I$88,5,0)</f>
        <v>161.34768000000003</v>
      </c>
      <c r="CV44" s="14">
        <f t="shared" si="41"/>
        <v>41.146339844316657</v>
      </c>
      <c r="CW44" s="22">
        <f t="shared" si="13"/>
        <v>352.6770845621848</v>
      </c>
      <c r="CX44" s="62">
        <f t="shared" si="14"/>
        <v>631.24930546170447</v>
      </c>
      <c r="CY44" s="62">
        <f ca="1">AVERAGE(OFFSET($CX$3,0,0,'Données projet'!$E$13+1,1))-AVERAGE(OFFSET($H$3,0,0,'Données projet'!$E$13+1,1))</f>
        <v>361.30066984973894</v>
      </c>
      <c r="CZ44" s="62">
        <f t="shared" si="42"/>
        <v>351.78053157121622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projet'!$B$13,Paramètres!$A$1:$I$88,3,0)*0.475*44/12</f>
        <v>7.6959223594553654</v>
      </c>
      <c r="DG44" s="23">
        <f>EXP(-LN(2)/25)*DG43+(1-EXP(-LN(2)/25))/(LN(2)/25)*Calculateur!DB44*Calculateur!DD44*VLOOKUP('Données projet'!$B$13,Paramètres!$A$1:$I$88,3,0)*0.475*44/12</f>
        <v>0</v>
      </c>
      <c r="DH44" s="23">
        <f>EXP(-LN(2)/2)*DH43+(1-EXP(-LN(2)/2))/(LN(2)/2)*DB44*DE44*VLOOKUP('Données projet'!$B$13,Paramètres!$A$1:$I$88,3,0)*0.475*44/12</f>
        <v>0</v>
      </c>
      <c r="DI44" s="24">
        <f t="shared" si="15"/>
        <v>7.6959223594553654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65.974242063505358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>
        <f>DO44*VLOOKUP('Données projet'!$B$14,Paramètres!$A$1:$I$88,3,0)*VLOOKUP('Données projet'!$B$14,Paramètres!$A$1:$I$88,5,0)</f>
        <v>0</v>
      </c>
      <c r="DQ44" s="14" t="e">
        <f t="shared" si="43"/>
        <v>#NUM!</v>
      </c>
      <c r="DR44" s="22" t="e">
        <f t="shared" si="16"/>
        <v>#NUM!</v>
      </c>
      <c r="DS44" s="62" t="e">
        <f t="shared" si="17"/>
        <v>#NUM!</v>
      </c>
      <c r="DT44" s="62">
        <f ca="1">AVERAGE(OFFSET($DS$3,0,0,'Données projet'!$E$14+1,1))-AVERAGE(OFFSET($H$3,0,0,'Données projet'!$E$14+1,1))</f>
        <v>91.201152634762423</v>
      </c>
      <c r="DU44" s="62">
        <f t="shared" si="44"/>
        <v>233.36981992862445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projet'!$B$14,Paramètres!$A$1:$I$88,3,0)*0.475*44/12</f>
        <v>33.341625409390822</v>
      </c>
      <c r="EB44" s="23">
        <f>EXP(-LN(2)/25)*EB43+(1-EXP(-LN(2)/25))/(LN(2)/25)*Calculateur!DW44*Calculateur!DY44*VLOOKUP('Données projet'!$B$14,Paramètres!$A$1:$I$88,3,0)*0.475*44/12</f>
        <v>0</v>
      </c>
      <c r="EC44" s="23">
        <f>EXP(-LN(2)/2)*EC43+(1-EXP(-LN(2)/2))/(LN(2)/2)*DW44*DZ44*VLOOKUP('Données projet'!$B$14,Paramètres!$A$1:$I$88,3,0)*0.475*44/12</f>
        <v>0</v>
      </c>
      <c r="ED44" s="24">
        <f t="shared" si="18"/>
        <v>33.341625409390822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65.974242063505358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projet'!$B$15,Paramètres!$A$1:$I$88,3,0)*0.475*44/12</f>
        <v>#N/A</v>
      </c>
      <c r="EW44" s="23" t="e">
        <f>EXP(-LN(2)/25)*EW43+(1-EXP(-LN(2)/25))/(LN(2)/25)*Calculateur!ER44*Calculateur!ET44*VLOOKUP('Données projet'!$B$15,Paramètres!$A$1:$I$88,3,0)*0.475*44/12</f>
        <v>#N/A</v>
      </c>
      <c r="EX44" s="23" t="e">
        <f>EXP(-LN(2)/2)*EX43+(1-EXP(-LN(2)/2))/(LN(2)/2)*ER44*EU44*VLOOKUP('Données projet'!$B$15,Paramètres!$A$1:$I$88,3,0)*0.475*44/12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65.974242063505358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projet'!$B$16,Paramètres!$A$1:$I$88,3,0)*0.475*44/12</f>
        <v>#N/A</v>
      </c>
      <c r="FR44" s="23" t="e">
        <f>EXP(-LN(2)/25)*FR43+(1-EXP(-LN(2)/25))/(LN(2)/25)*Calculateur!FM44*Calculateur!FO44*VLOOKUP('Données projet'!$B$16,Paramètres!$A$1:$I$88,3,0)*0.475*44/12</f>
        <v>#N/A</v>
      </c>
      <c r="FS44" s="23" t="e">
        <f>EXP(-LN(2)/2)*FS43+(1-EXP(-LN(2)/2))/(LN(2)/2)*FM44*FP44*VLOOKUP('Données projet'!$B$16,Paramètres!$A$1:$I$88,3,0)*0.475*44/12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65.974242063505358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projet'!$B$17,Paramètres!$A$1:$I$88,3,0)*0.475*44/12</f>
        <v>#N/A</v>
      </c>
      <c r="GM44" s="23" t="e">
        <f>EXP(-LN(2)/25)*GM43+(1-EXP(-LN(2)/25))/(LN(2)/25)*Calculateur!GH44*Calculateur!GJ44*VLOOKUP('Données projet'!$B$17,Paramètres!$A$1:$I$88,3,0)*0.475*44/12</f>
        <v>#N/A</v>
      </c>
      <c r="GN44" s="23" t="e">
        <f>EXP(-LN(2)/2)*GN43+(1-EXP(-LN(2)/2))/(LN(2)/2)*GH44*GK44*VLOOKUP('Données projet'!$B$17,Paramètres!$A$1:$I$88,3,0)*0.475*44/12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65.974242063505358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projet'!$B$18,Paramètres!$A$1:$I$88,3,0)*0.475*44/12</f>
        <v>#N/A</v>
      </c>
      <c r="HH44" s="23" t="e">
        <f>EXP(-LN(2)/25)*HH43+(1-EXP(-LN(2)/25))/(LN(2)/25)*Calculateur!HC44*Calculateur!HE44*VLOOKUP('Données projet'!$B$18,Paramètres!$A$1:$I$88,3,0)*0.475*44/12</f>
        <v>#N/A</v>
      </c>
      <c r="HI44" s="23" t="e">
        <f>EXP(-LN(2)/2)*HI43+(1-EXP(-LN(2)/2))/(LN(2)/2)*HC44*HF44*VLOOKUP('Données projet'!$B$18,Paramètres!$A$1:$I$88,3,0)*0.475*44/12</f>
        <v>#N/A</v>
      </c>
      <c r="HJ44" s="24" t="e">
        <f t="shared" si="30"/>
        <v>#N/A</v>
      </c>
    </row>
    <row r="45" spans="1:218" s="5" customFormat="1" x14ac:dyDescent="0.2">
      <c r="A45" s="11">
        <f t="shared" si="31"/>
        <v>42</v>
      </c>
      <c r="B45" s="77">
        <f>'Scénario référence'!$B$16*5+'Scénario référence'!$B$17*0+'Scénario référence'!$B$18*5</f>
        <v>1.6500000000000001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6.0500000000000007</v>
      </c>
      <c r="H45" s="70">
        <f t="shared" si="1"/>
        <v>232.4666666666667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66.044079963457136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24.2</v>
      </c>
      <c r="N45" s="14">
        <f>IF('Données projet'!$A$36&gt;35,N44+M45-V44,IF(A45&lt;'Données projet'!$A$36,$K$205^A45,IF(A45='Données projet'!$A$36,'Données projet'!$B$36,N44+M45-V44)))</f>
        <v>445.4000000000002</v>
      </c>
      <c r="O45" s="14">
        <f>N45*VLOOKUP('Données projet'!$B$9,Paramètres!$A$1:$I$88,3,0)*VLOOKUP('Données projet'!$B$9,Paramètres!$A$1:$I$88,5,0)</f>
        <v>266.34920000000017</v>
      </c>
      <c r="P45" s="14">
        <f t="shared" si="33"/>
        <v>64.073864575037135</v>
      </c>
      <c r="Q45" s="22">
        <f t="shared" si="53"/>
        <v>575.48683746818995</v>
      </c>
      <c r="R45" s="62">
        <f t="shared" si="0"/>
        <v>854.3151306675328</v>
      </c>
      <c r="S45" s="62">
        <f ca="1">AVERAGE(OFFSET($R$3,0,0,'Données projet'!$E$9+1,1))-AVERAGE(OFFSET($H$3,0,0,'Données projet'!$E$9+1,1))</f>
        <v>354.71367224254021</v>
      </c>
      <c r="T45" s="62">
        <f t="shared" si="34"/>
        <v>490.074370133397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18.535167002459985</v>
      </c>
      <c r="AA45" s="23">
        <f>EXP(-LN(2)/25)*AA44+(1-EXP(-LN(2)/25))/(LN(2)/25)*Calculateur!V45*Calculateur!X45*VLOOKUP('Données projet'!$B$9,Paramètres!$A$1:$I$88,3,0)*0.475*44/12</f>
        <v>42.874163535389002</v>
      </c>
      <c r="AB45" s="23">
        <f>EXP(-LN(2)/2)*AB44+(1-EXP(-LN(2)/2))/(LN(2)/2)*V45*Y45*VLOOKUP('Données projet'!$B$9,Paramètres!$A$1:$I$88,3,0)*0.475*44/12</f>
        <v>6.8979127380784178</v>
      </c>
      <c r="AC45" s="24">
        <f t="shared" si="3"/>
        <v>68.307243275927405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66.044079963457136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15.8</v>
      </c>
      <c r="AI45" s="14">
        <f>IF('Données projet'!$A$62&gt;35,AI44+AH45-AQ44,IF(A45&lt;'Données projet'!$A$62,$AF$205^A45,IF(A45='Données projet'!$A$62,'Données projet'!$B$62,AI44+AH45-AQ44)))</f>
        <v>319.60000000000014</v>
      </c>
      <c r="AJ45" s="14">
        <f>AI45*VLOOKUP('Données projet'!$B$10,Paramètres!$A$1:$I$88,3,0)*VLOOKUP('Données projet'!$B$10,Paramètres!$A$1:$I$88,5,0)</f>
        <v>191.12080000000012</v>
      </c>
      <c r="AK45" s="14">
        <f t="shared" si="35"/>
        <v>47.787660932070352</v>
      </c>
      <c r="AL45" s="22">
        <f t="shared" si="4"/>
        <v>416.09890279002269</v>
      </c>
      <c r="AM45" s="62">
        <f t="shared" si="5"/>
        <v>694.9271959893656</v>
      </c>
      <c r="AN45" s="62">
        <f ca="1">AVERAGE(OFFSET($AM$3,0,0,'Données projet'!$E$10+1,1))-AVERAGE(OFFSET($H$3,0,0,'Données projet'!$E$10+1,1))</f>
        <v>264.73276096087574</v>
      </c>
      <c r="AO45" s="62">
        <f t="shared" si="36"/>
        <v>381.84464918049662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projet'!$B$10,Paramètres!$A$1:$I$88,3,0)*0.475*44/12</f>
        <v>12.974616901721985</v>
      </c>
      <c r="AV45" s="23">
        <f>EXP(-LN(2)/25)*AV44+(1-EXP(-LN(2)/25))/(LN(2)/25)*Calculateur!AQ45*Calculateur!AS45*VLOOKUP('Données projet'!$B$10,Paramètres!$A$1:$I$88,3,0)*0.475*44/12</f>
        <v>29.945981545997025</v>
      </c>
      <c r="AW45" s="23">
        <f>EXP(-LN(2)/2)*AW44+(1-EXP(-LN(2)/2))/(LN(2)/2)*AQ45*AT45*VLOOKUP('Données projet'!$B$10,Paramètres!$A$1:$I$88,3,0)*0.475*44/12</f>
        <v>4.8285209162407075</v>
      </c>
      <c r="AX45" s="23">
        <f t="shared" si="6"/>
        <v>47.749119363959714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66.044079963457136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132.80000000000004</v>
      </c>
      <c r="BE45" s="14">
        <f>BD45*VLOOKUP('Données projet'!$B$11,Paramètres!$A$1:$I$88,3,0)*VLOOKUP('Données projet'!$B$11,Paramètres!$A$1:$I$88,5,0)</f>
        <v>151.23264000000006</v>
      </c>
      <c r="BF45" s="14">
        <f t="shared" si="37"/>
        <v>38.85857391964295</v>
      </c>
      <c r="BG45" s="22">
        <f t="shared" si="7"/>
        <v>331.07553091004485</v>
      </c>
      <c r="BH45" s="62">
        <f t="shared" si="8"/>
        <v>609.90382410938764</v>
      </c>
      <c r="BI45" s="62">
        <f ca="1">AVERAGE(OFFSET($BH$3,0,0,'Données projet'!$E$11+1,1))-AVERAGE(OFFSET($H$3,0,0,'Données projet'!$E$11+1,1))</f>
        <v>470.57532875732056</v>
      </c>
      <c r="BJ45" s="62">
        <f t="shared" si="38"/>
        <v>286.63787681165888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projet'!$B$11,Paramètres!$A$1:$I$88,3,0)*0.475*44/12</f>
        <v>2.1852976604902894</v>
      </c>
      <c r="BQ45" s="23">
        <f>EXP(-LN(2)/25)*BQ44+(1-EXP(-LN(2)/25))/(LN(2)/25)*Calculateur!BL45*Calculateur!BN45*VLOOKUP('Données projet'!$B$11,Paramètres!$A$1:$I$88,3,0)*0.475*44/12</f>
        <v>0</v>
      </c>
      <c r="BR45" s="23">
        <f>EXP(-LN(2)/2)*BR44+(1-EXP(-LN(2)/2))/(LN(2)/2)*BL45*BO45*VLOOKUP('Données projet'!$B$11,Paramètres!$A$1:$I$88,3,0)*0.475*44/12</f>
        <v>0</v>
      </c>
      <c r="BS45" s="24">
        <f t="shared" si="9"/>
        <v>2.1852976604902894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66.044079963457136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9.8000000000000007</v>
      </c>
      <c r="BY45" s="13">
        <f>IF('Données projet'!$A$114&gt;35,BY44+BX45-CG44,IF(A45&lt;'Données projet'!$A$114,$BV$205^A45,IF(A45='Données projet'!$A$114,'Données projet'!$B$114,BY44+BX45-CG44)))</f>
        <v>212.60000000000002</v>
      </c>
      <c r="BZ45" s="14">
        <f>BY45*VLOOKUP('Données projet'!$B$12,Paramètres!$A$1:$I$88,3,0)*VLOOKUP('Données projet'!$B$12,Paramètres!$A$1:$I$88,5,0)</f>
        <v>139.29552000000001</v>
      </c>
      <c r="CA45" s="14">
        <f t="shared" si="39"/>
        <v>36.135571666868977</v>
      </c>
      <c r="CB45" s="22">
        <f t="shared" si="10"/>
        <v>305.54248465313009</v>
      </c>
      <c r="CC45" s="62">
        <f t="shared" si="11"/>
        <v>584.37077785247288</v>
      </c>
      <c r="CD45" s="62">
        <f ca="1">AVERAGE(OFFSET($CC$3,0,0,'Données projet'!$E$12+1,1))-AVERAGE(OFFSET($H$3,0,0,'Données projet'!$E$12+1,1))</f>
        <v>305.38855494899906</v>
      </c>
      <c r="CE45" s="62">
        <f t="shared" si="40"/>
        <v>298.48106301229177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projet'!$B$12,Paramètres!$A$1:$I$88,3,0)*0.475*44/12</f>
        <v>5.0411720639882587</v>
      </c>
      <c r="CL45" s="23">
        <f>EXP(-LN(2)/25)*CL44+(1-EXP(-LN(2)/25))/(LN(2)/25)*Calculateur!CG45*Calculateur!CI45*VLOOKUP('Données projet'!$B$12,Paramètres!$A$1:$I$88,3,0)*0.475*44/12</f>
        <v>0</v>
      </c>
      <c r="CM45" s="23">
        <f>EXP(-LN(2)/2)*CM44+(1-EXP(-LN(2)/2))/(LN(2)/2)*CG45*CJ45*VLOOKUP('Données projet'!$B$12,Paramètres!$A$1:$I$88,3,0)*0.475*44/12</f>
        <v>0</v>
      </c>
      <c r="CN45" s="24">
        <f t="shared" si="12"/>
        <v>5.0411720639882587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66.044079963457136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9.8000000000000007</v>
      </c>
      <c r="CT45" s="13">
        <f>IF('Données projet'!$A$140&gt;35,CT44+CS45-DB44,IF(A45&lt;'Données projet'!$A$140,$CQ$205^A45,IF(A45='Données projet'!$A$140,'Données projet'!$B$140,CT44+CS45-DB44)))</f>
        <v>212.60000000000002</v>
      </c>
      <c r="CU45" s="18">
        <f>CT45*VLOOKUP('Données projet'!$B$13,Paramètres!$A$1:$I$88,3,0)*VLOOKUP('Données projet'!$B$13,Paramètres!$A$1:$I$88,5,0)</f>
        <v>169.14456000000004</v>
      </c>
      <c r="CV45" s="14">
        <f t="shared" si="41"/>
        <v>42.898377267189964</v>
      </c>
      <c r="CW45" s="22">
        <f t="shared" si="13"/>
        <v>369.30811574035596</v>
      </c>
      <c r="CX45" s="62">
        <f t="shared" si="14"/>
        <v>648.13640893969887</v>
      </c>
      <c r="CY45" s="62">
        <f ca="1">AVERAGE(OFFSET($CX$3,0,0,'Données projet'!$E$13+1,1))-AVERAGE(OFFSET($H$3,0,0,'Données projet'!$E$13+1,1))</f>
        <v>361.30066984973894</v>
      </c>
      <c r="CZ45" s="62">
        <f t="shared" si="42"/>
        <v>351.78053157121622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projet'!$B$13,Paramètres!$A$1:$I$88,3,0)*0.475*44/12</f>
        <v>7.5450100160355857</v>
      </c>
      <c r="DG45" s="23">
        <f>EXP(-LN(2)/25)*DG44+(1-EXP(-LN(2)/25))/(LN(2)/25)*Calculateur!DB45*Calculateur!DD45*VLOOKUP('Données projet'!$B$13,Paramètres!$A$1:$I$88,3,0)*0.475*44/12</f>
        <v>0</v>
      </c>
      <c r="DH45" s="23">
        <f>EXP(-LN(2)/2)*DH44+(1-EXP(-LN(2)/2))/(LN(2)/2)*DB45*DE45*VLOOKUP('Données projet'!$B$13,Paramètres!$A$1:$I$88,3,0)*0.475*44/12</f>
        <v>0</v>
      </c>
      <c r="DI45" s="24">
        <f t="shared" si="15"/>
        <v>7.5450100160355857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66.044079963457136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>
        <f>DO45*VLOOKUP('Données projet'!$B$14,Paramètres!$A$1:$I$88,3,0)*VLOOKUP('Données projet'!$B$14,Paramètres!$A$1:$I$88,5,0)</f>
        <v>0</v>
      </c>
      <c r="DQ45" s="14" t="e">
        <f t="shared" si="43"/>
        <v>#NUM!</v>
      </c>
      <c r="DR45" s="22" t="e">
        <f t="shared" si="16"/>
        <v>#NUM!</v>
      </c>
      <c r="DS45" s="62" t="e">
        <f t="shared" si="17"/>
        <v>#NUM!</v>
      </c>
      <c r="DT45" s="62">
        <f ca="1">AVERAGE(OFFSET($DS$3,0,0,'Données projet'!$E$14+1,1))-AVERAGE(OFFSET($H$3,0,0,'Données projet'!$E$14+1,1))</f>
        <v>91.201152634762423</v>
      </c>
      <c r="DU45" s="62">
        <f t="shared" si="44"/>
        <v>233.36981992862445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projet'!$B$14,Paramètres!$A$1:$I$88,3,0)*0.475*44/12</f>
        <v>32.68781647149612</v>
      </c>
      <c r="EB45" s="23">
        <f>EXP(-LN(2)/25)*EB44+(1-EXP(-LN(2)/25))/(LN(2)/25)*Calculateur!DW45*Calculateur!DY45*VLOOKUP('Données projet'!$B$14,Paramètres!$A$1:$I$88,3,0)*0.475*44/12</f>
        <v>0</v>
      </c>
      <c r="EC45" s="23">
        <f>EXP(-LN(2)/2)*EC44+(1-EXP(-LN(2)/2))/(LN(2)/2)*DW45*DZ45*VLOOKUP('Données projet'!$B$14,Paramètres!$A$1:$I$88,3,0)*0.475*44/12</f>
        <v>0</v>
      </c>
      <c r="ED45" s="24">
        <f t="shared" si="18"/>
        <v>32.68781647149612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66.044079963457136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projet'!$B$15,Paramètres!$A$1:$I$88,3,0)*0.475*44/12</f>
        <v>#N/A</v>
      </c>
      <c r="EW45" s="23" t="e">
        <f>EXP(-LN(2)/25)*EW44+(1-EXP(-LN(2)/25))/(LN(2)/25)*Calculateur!ER45*Calculateur!ET45*VLOOKUP('Données projet'!$B$15,Paramètres!$A$1:$I$88,3,0)*0.475*44/12</f>
        <v>#N/A</v>
      </c>
      <c r="EX45" s="23" t="e">
        <f>EXP(-LN(2)/2)*EX44+(1-EXP(-LN(2)/2))/(LN(2)/2)*ER45*EU45*VLOOKUP('Données projet'!$B$15,Paramètres!$A$1:$I$88,3,0)*0.475*44/12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66.044079963457136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projet'!$B$16,Paramètres!$A$1:$I$88,3,0)*0.475*44/12</f>
        <v>#N/A</v>
      </c>
      <c r="FR45" s="23" t="e">
        <f>EXP(-LN(2)/25)*FR44+(1-EXP(-LN(2)/25))/(LN(2)/25)*Calculateur!FM45*Calculateur!FO45*VLOOKUP('Données projet'!$B$16,Paramètres!$A$1:$I$88,3,0)*0.475*44/12</f>
        <v>#N/A</v>
      </c>
      <c r="FS45" s="23" t="e">
        <f>EXP(-LN(2)/2)*FS44+(1-EXP(-LN(2)/2))/(LN(2)/2)*FM45*FP45*VLOOKUP('Données projet'!$B$16,Paramètres!$A$1:$I$88,3,0)*0.475*44/12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66.044079963457136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projet'!$B$17,Paramètres!$A$1:$I$88,3,0)*0.475*44/12</f>
        <v>#N/A</v>
      </c>
      <c r="GM45" s="23" t="e">
        <f>EXP(-LN(2)/25)*GM44+(1-EXP(-LN(2)/25))/(LN(2)/25)*Calculateur!GH45*Calculateur!GJ45*VLOOKUP('Données projet'!$B$17,Paramètres!$A$1:$I$88,3,0)*0.475*44/12</f>
        <v>#N/A</v>
      </c>
      <c r="GN45" s="23" t="e">
        <f>EXP(-LN(2)/2)*GN44+(1-EXP(-LN(2)/2))/(LN(2)/2)*GH45*GK45*VLOOKUP('Données projet'!$B$17,Paramètres!$A$1:$I$88,3,0)*0.475*44/12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66.044079963457136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projet'!$B$18,Paramètres!$A$1:$I$88,3,0)*0.475*44/12</f>
        <v>#N/A</v>
      </c>
      <c r="HH45" s="23" t="e">
        <f>EXP(-LN(2)/25)*HH44+(1-EXP(-LN(2)/25))/(LN(2)/25)*Calculateur!HC45*Calculateur!HE45*VLOOKUP('Données projet'!$B$18,Paramètres!$A$1:$I$88,3,0)*0.475*44/12</f>
        <v>#N/A</v>
      </c>
      <c r="HI45" s="23" t="e">
        <f>EXP(-LN(2)/2)*HI44+(1-EXP(-LN(2)/2))/(LN(2)/2)*HC45*HF45*VLOOKUP('Données projet'!$B$18,Paramètres!$A$1:$I$88,3,0)*0.475*44/12</f>
        <v>#N/A</v>
      </c>
      <c r="HJ45" s="24" t="e">
        <f t="shared" si="30"/>
        <v>#N/A</v>
      </c>
    </row>
    <row r="46" spans="1:218" s="5" customFormat="1" x14ac:dyDescent="0.2">
      <c r="A46" s="11">
        <f t="shared" si="31"/>
        <v>43</v>
      </c>
      <c r="B46" s="77">
        <f>'Scénario référence'!$B$16*5+'Scénario référence'!$B$17*0+'Scénario référence'!$B$18*5</f>
        <v>1.6500000000000001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6.0500000000000007</v>
      </c>
      <c r="H46" s="70">
        <f t="shared" si="1"/>
        <v>232.4666666666667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66.112706331978899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24.2</v>
      </c>
      <c r="N46" s="14">
        <f>IF('Données projet'!$A$36&gt;35,N45+M46-V45,IF(A46&lt;'Données projet'!$A$36,$K$205^A46,IF(A46='Données projet'!$A$36,'Données projet'!$B$36,N45+M46-V45)))</f>
        <v>469.60000000000019</v>
      </c>
      <c r="O46" s="14">
        <f>N46*VLOOKUP('Données projet'!$B$9,Paramètres!$A$1:$I$88,3,0)*VLOOKUP('Données projet'!$B$9,Paramètres!$A$1:$I$88,5,0)</f>
        <v>280.82080000000013</v>
      </c>
      <c r="P46" s="14">
        <f t="shared" si="33"/>
        <v>67.140437954919463</v>
      </c>
      <c r="Q46" s="22">
        <f t="shared" si="53"/>
        <v>606.03248943815163</v>
      </c>
      <c r="R46" s="62">
        <f t="shared" si="0"/>
        <v>885.11241265540752</v>
      </c>
      <c r="S46" s="62">
        <f ca="1">AVERAGE(OFFSET($R$3,0,0,'Données projet'!$E$9+1,1))-AVERAGE(OFFSET($H$3,0,0,'Données projet'!$E$9+1,1))</f>
        <v>354.71367224254021</v>
      </c>
      <c r="T46" s="62">
        <f t="shared" si="34"/>
        <v>490.074370133397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18.171703682877308</v>
      </c>
      <c r="AA46" s="23">
        <f>EXP(-LN(2)/25)*AA45+(1-EXP(-LN(2)/25))/(LN(2)/25)*Calculateur!V46*Calculateur!X46*VLOOKUP('Données projet'!$B$9,Paramètres!$A$1:$I$88,3,0)*0.475*44/12</f>
        <v>41.701767278859521</v>
      </c>
      <c r="AB46" s="23">
        <f>EXP(-LN(2)/2)*AB45+(1-EXP(-LN(2)/2))/(LN(2)/2)*V46*Y46*VLOOKUP('Données projet'!$B$9,Paramètres!$A$1:$I$88,3,0)*0.475*44/12</f>
        <v>4.8775608731283153</v>
      </c>
      <c r="AC46" s="24">
        <f t="shared" si="3"/>
        <v>64.751031834865145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66.112706331978899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15.8</v>
      </c>
      <c r="AI46" s="14">
        <f>IF('Données projet'!$A$62&gt;35,AI45+AH46-AQ45,IF(A46&lt;'Données projet'!$A$62,$AF$205^A46,IF(A46='Données projet'!$A$62,'Données projet'!$B$62,AI45+AH46-AQ45)))</f>
        <v>335.40000000000015</v>
      </c>
      <c r="AJ46" s="14">
        <f>AI46*VLOOKUP('Données projet'!$B$10,Paramètres!$A$1:$I$88,3,0)*VLOOKUP('Données projet'!$B$10,Paramètres!$A$1:$I$88,5,0)</f>
        <v>200.56920000000011</v>
      </c>
      <c r="AK46" s="14">
        <f t="shared" si="35"/>
        <v>49.869239959281366</v>
      </c>
      <c r="AL46" s="22">
        <f t="shared" si="4"/>
        <v>436.1802829290819</v>
      </c>
      <c r="AM46" s="62">
        <f t="shared" si="5"/>
        <v>715.26020614633785</v>
      </c>
      <c r="AN46" s="62">
        <f ca="1">AVERAGE(OFFSET($AM$3,0,0,'Données projet'!$E$10+1,1))-AVERAGE(OFFSET($H$3,0,0,'Données projet'!$E$10+1,1))</f>
        <v>264.73276096087574</v>
      </c>
      <c r="AO46" s="62">
        <f t="shared" si="36"/>
        <v>381.84464918049662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projet'!$B$10,Paramètres!$A$1:$I$88,3,0)*0.475*44/12</f>
        <v>12.72019257801411</v>
      </c>
      <c r="AV46" s="23">
        <f>EXP(-LN(2)/25)*AV45+(1-EXP(-LN(2)/25))/(LN(2)/25)*Calculateur!AQ46*Calculateur!AS46*VLOOKUP('Données projet'!$B$10,Paramètres!$A$1:$I$88,3,0)*0.475*44/12</f>
        <v>29.127107105831008</v>
      </c>
      <c r="AW46" s="23">
        <f>EXP(-LN(2)/2)*AW45+(1-EXP(-LN(2)/2))/(LN(2)/2)*AQ46*AT46*VLOOKUP('Données projet'!$B$10,Paramètres!$A$1:$I$88,3,0)*0.475*44/12</f>
        <v>3.4142798829748862</v>
      </c>
      <c r="AX46" s="23">
        <f t="shared" si="6"/>
        <v>45.261579566820011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66.112706331978899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141.20000000000005</v>
      </c>
      <c r="BE46" s="14">
        <f>BD46*VLOOKUP('Données projet'!$B$11,Paramètres!$A$1:$I$88,3,0)*VLOOKUP('Données projet'!$B$11,Paramètres!$A$1:$I$88,5,0)</f>
        <v>160.79856000000007</v>
      </c>
      <c r="BF46" s="14">
        <f t="shared" si="37"/>
        <v>41.022580620833168</v>
      </c>
      <c r="BG46" s="22">
        <f t="shared" si="7"/>
        <v>351.50515324795123</v>
      </c>
      <c r="BH46" s="62">
        <f t="shared" si="8"/>
        <v>630.58507646520718</v>
      </c>
      <c r="BI46" s="62">
        <f ca="1">AVERAGE(OFFSET($BH$3,0,0,'Données projet'!$E$11+1,1))-AVERAGE(OFFSET($H$3,0,0,'Données projet'!$E$11+1,1))</f>
        <v>470.57532875732056</v>
      </c>
      <c r="BJ46" s="62">
        <f t="shared" si="38"/>
        <v>286.63787681165888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projet'!$B$11,Paramètres!$A$1:$I$88,3,0)*0.475*44/12</f>
        <v>2.1424453062680349</v>
      </c>
      <c r="BQ46" s="23">
        <f>EXP(-LN(2)/25)*BQ45+(1-EXP(-LN(2)/25))/(LN(2)/25)*Calculateur!BL46*Calculateur!BN46*VLOOKUP('Données projet'!$B$11,Paramètres!$A$1:$I$88,3,0)*0.475*44/12</f>
        <v>0</v>
      </c>
      <c r="BR46" s="23">
        <f>EXP(-LN(2)/2)*BR45+(1-EXP(-LN(2)/2))/(LN(2)/2)*BL46*BO46*VLOOKUP('Données projet'!$B$11,Paramètres!$A$1:$I$88,3,0)*0.475*44/12</f>
        <v>0</v>
      </c>
      <c r="BS46" s="24">
        <f t="shared" si="9"/>
        <v>2.1424453062680349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66.112706331978899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9.8000000000000007</v>
      </c>
      <c r="BY46" s="13">
        <f>IF('Données projet'!$A$114&gt;35,BY45+BX46-CG45,IF(A46&lt;'Données projet'!$A$114,$BV$205^A46,IF(A46='Données projet'!$A$114,'Données projet'!$B$114,BY45+BX46-CG45)))</f>
        <v>222.40000000000003</v>
      </c>
      <c r="BZ46" s="14">
        <f>BY46*VLOOKUP('Données projet'!$B$12,Paramètres!$A$1:$I$88,3,0)*VLOOKUP('Données projet'!$B$12,Paramètres!$A$1:$I$88,5,0)</f>
        <v>145.71648000000002</v>
      </c>
      <c r="CA46" s="14">
        <f t="shared" si="39"/>
        <v>37.60350500083149</v>
      </c>
      <c r="CB46" s="22">
        <f t="shared" si="10"/>
        <v>319.28230720978155</v>
      </c>
      <c r="CC46" s="62">
        <f t="shared" si="11"/>
        <v>598.3622304270375</v>
      </c>
      <c r="CD46" s="62">
        <f ca="1">AVERAGE(OFFSET($CC$3,0,0,'Données projet'!$E$12+1,1))-AVERAGE(OFFSET($H$3,0,0,'Données projet'!$E$12+1,1))</f>
        <v>305.38855494899906</v>
      </c>
      <c r="CE46" s="62">
        <f t="shared" si="40"/>
        <v>298.48106301229177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projet'!$B$12,Paramètres!$A$1:$I$88,3,0)*0.475*44/12</f>
        <v>4.9423177546247956</v>
      </c>
      <c r="CL46" s="23">
        <f>EXP(-LN(2)/25)*CL45+(1-EXP(-LN(2)/25))/(LN(2)/25)*Calculateur!CG46*Calculateur!CI46*VLOOKUP('Données projet'!$B$12,Paramètres!$A$1:$I$88,3,0)*0.475*44/12</f>
        <v>0</v>
      </c>
      <c r="CM46" s="23">
        <f>EXP(-LN(2)/2)*CM45+(1-EXP(-LN(2)/2))/(LN(2)/2)*CG46*CJ46*VLOOKUP('Données projet'!$B$12,Paramètres!$A$1:$I$88,3,0)*0.475*44/12</f>
        <v>0</v>
      </c>
      <c r="CN46" s="24">
        <f t="shared" si="12"/>
        <v>4.9423177546247956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66.112706331978899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9.8000000000000007</v>
      </c>
      <c r="CT46" s="13">
        <f>IF('Données projet'!$A$140&gt;35,CT45+CS46-DB45,IF(A46&lt;'Données projet'!$A$140,$CQ$205^A46,IF(A46='Données projet'!$A$140,'Données projet'!$B$140,CT45+CS46-DB45)))</f>
        <v>222.40000000000003</v>
      </c>
      <c r="CU46" s="18">
        <f>CT46*VLOOKUP('Données projet'!$B$13,Paramètres!$A$1:$I$88,3,0)*VLOOKUP('Données projet'!$B$13,Paramètres!$A$1:$I$88,5,0)</f>
        <v>176.94144000000003</v>
      </c>
      <c r="CV46" s="14">
        <f t="shared" si="41"/>
        <v>44.641035679901449</v>
      </c>
      <c r="CW46" s="22">
        <f t="shared" si="13"/>
        <v>385.92281180916171</v>
      </c>
      <c r="CX46" s="62">
        <f t="shared" si="14"/>
        <v>665.00273502641767</v>
      </c>
      <c r="CY46" s="62">
        <f ca="1">AVERAGE(OFFSET($CX$3,0,0,'Données projet'!$E$13+1,1))-AVERAGE(OFFSET($H$3,0,0,'Données projet'!$E$13+1,1))</f>
        <v>361.30066984973894</v>
      </c>
      <c r="CZ46" s="62">
        <f t="shared" si="42"/>
        <v>351.78053157121622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projet'!$B$13,Paramètres!$A$1:$I$88,3,0)*0.475*44/12</f>
        <v>7.3970569716228276</v>
      </c>
      <c r="DG46" s="23">
        <f>EXP(-LN(2)/25)*DG45+(1-EXP(-LN(2)/25))/(LN(2)/25)*Calculateur!DB46*Calculateur!DD46*VLOOKUP('Données projet'!$B$13,Paramètres!$A$1:$I$88,3,0)*0.475*44/12</f>
        <v>0</v>
      </c>
      <c r="DH46" s="23">
        <f>EXP(-LN(2)/2)*DH45+(1-EXP(-LN(2)/2))/(LN(2)/2)*DB46*DE46*VLOOKUP('Données projet'!$B$13,Paramètres!$A$1:$I$88,3,0)*0.475*44/12</f>
        <v>0</v>
      </c>
      <c r="DI46" s="24">
        <f t="shared" si="15"/>
        <v>7.3970569716228276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66.112706331978899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>
        <f>DO46*VLOOKUP('Données projet'!$B$14,Paramètres!$A$1:$I$88,3,0)*VLOOKUP('Données projet'!$B$14,Paramètres!$A$1:$I$88,5,0)</f>
        <v>0</v>
      </c>
      <c r="DQ46" s="14" t="e">
        <f t="shared" si="43"/>
        <v>#NUM!</v>
      </c>
      <c r="DR46" s="22" t="e">
        <f t="shared" si="16"/>
        <v>#NUM!</v>
      </c>
      <c r="DS46" s="62" t="e">
        <f t="shared" si="17"/>
        <v>#NUM!</v>
      </c>
      <c r="DT46" s="62">
        <f ca="1">AVERAGE(OFFSET($DS$3,0,0,'Données projet'!$E$14+1,1))-AVERAGE(OFFSET($H$3,0,0,'Données projet'!$E$14+1,1))</f>
        <v>91.201152634762423</v>
      </c>
      <c r="DU46" s="62">
        <f t="shared" si="44"/>
        <v>233.36981992862445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projet'!$B$14,Paramètres!$A$1:$I$88,3,0)*0.475*44/12</f>
        <v>32.046828328089454</v>
      </c>
      <c r="EB46" s="23">
        <f>EXP(-LN(2)/25)*EB45+(1-EXP(-LN(2)/25))/(LN(2)/25)*Calculateur!DW46*Calculateur!DY46*VLOOKUP('Données projet'!$B$14,Paramètres!$A$1:$I$88,3,0)*0.475*44/12</f>
        <v>0</v>
      </c>
      <c r="EC46" s="23">
        <f>EXP(-LN(2)/2)*EC45+(1-EXP(-LN(2)/2))/(LN(2)/2)*DW46*DZ46*VLOOKUP('Données projet'!$B$14,Paramètres!$A$1:$I$88,3,0)*0.475*44/12</f>
        <v>0</v>
      </c>
      <c r="ED46" s="24">
        <f t="shared" si="18"/>
        <v>32.046828328089454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66.112706331978899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projet'!$B$15,Paramètres!$A$1:$I$88,3,0)*0.475*44/12</f>
        <v>#N/A</v>
      </c>
      <c r="EW46" s="23" t="e">
        <f>EXP(-LN(2)/25)*EW45+(1-EXP(-LN(2)/25))/(LN(2)/25)*Calculateur!ER46*Calculateur!ET46*VLOOKUP('Données projet'!$B$15,Paramètres!$A$1:$I$88,3,0)*0.475*44/12</f>
        <v>#N/A</v>
      </c>
      <c r="EX46" s="23" t="e">
        <f>EXP(-LN(2)/2)*EX45+(1-EXP(-LN(2)/2))/(LN(2)/2)*ER46*EU46*VLOOKUP('Données projet'!$B$15,Paramètres!$A$1:$I$88,3,0)*0.475*44/12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66.112706331978899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projet'!$B$16,Paramètres!$A$1:$I$88,3,0)*0.475*44/12</f>
        <v>#N/A</v>
      </c>
      <c r="FR46" s="23" t="e">
        <f>EXP(-LN(2)/25)*FR45+(1-EXP(-LN(2)/25))/(LN(2)/25)*Calculateur!FM46*Calculateur!FO46*VLOOKUP('Données projet'!$B$16,Paramètres!$A$1:$I$88,3,0)*0.475*44/12</f>
        <v>#N/A</v>
      </c>
      <c r="FS46" s="23" t="e">
        <f>EXP(-LN(2)/2)*FS45+(1-EXP(-LN(2)/2))/(LN(2)/2)*FM46*FP46*VLOOKUP('Données projet'!$B$16,Paramètres!$A$1:$I$88,3,0)*0.475*44/12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66.112706331978899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projet'!$B$17,Paramètres!$A$1:$I$88,3,0)*0.475*44/12</f>
        <v>#N/A</v>
      </c>
      <c r="GM46" s="23" t="e">
        <f>EXP(-LN(2)/25)*GM45+(1-EXP(-LN(2)/25))/(LN(2)/25)*Calculateur!GH46*Calculateur!GJ46*VLOOKUP('Données projet'!$B$17,Paramètres!$A$1:$I$88,3,0)*0.475*44/12</f>
        <v>#N/A</v>
      </c>
      <c r="GN46" s="23" t="e">
        <f>EXP(-LN(2)/2)*GN45+(1-EXP(-LN(2)/2))/(LN(2)/2)*GH46*GK46*VLOOKUP('Données projet'!$B$17,Paramètres!$A$1:$I$88,3,0)*0.475*44/12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66.112706331978899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projet'!$B$18,Paramètres!$A$1:$I$88,3,0)*0.475*44/12</f>
        <v>#N/A</v>
      </c>
      <c r="HH46" s="23" t="e">
        <f>EXP(-LN(2)/25)*HH45+(1-EXP(-LN(2)/25))/(LN(2)/25)*Calculateur!HC46*Calculateur!HE46*VLOOKUP('Données projet'!$B$18,Paramètres!$A$1:$I$88,3,0)*0.475*44/12</f>
        <v>#N/A</v>
      </c>
      <c r="HI46" s="23" t="e">
        <f>EXP(-LN(2)/2)*HI45+(1-EXP(-LN(2)/2))/(LN(2)/2)*HC46*HF46*VLOOKUP('Données projet'!$B$18,Paramètres!$A$1:$I$88,3,0)*0.475*44/12</f>
        <v>#N/A</v>
      </c>
      <c r="HJ46" s="24" t="e">
        <f t="shared" si="30"/>
        <v>#N/A</v>
      </c>
    </row>
    <row r="47" spans="1:218" s="5" customFormat="1" x14ac:dyDescent="0.2">
      <c r="A47" s="11">
        <f t="shared" si="31"/>
        <v>44</v>
      </c>
      <c r="B47" s="77">
        <f>'Scénario référence'!$B$16*5+'Scénario référence'!$B$17*0+'Scénario référence'!$B$18*5</f>
        <v>1.6500000000000001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6.0500000000000007</v>
      </c>
      <c r="H47" s="70">
        <f t="shared" si="1"/>
        <v>232.4666666666667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66.180142186432377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24.2</v>
      </c>
      <c r="N47" s="14">
        <f>IF('Données projet'!$A$36&gt;35,N46+M47-V46,IF(A47&lt;'Données projet'!$A$36,$K$205^A47,IF(A47='Données projet'!$A$36,'Données projet'!$B$36,N46+M47-V46)))</f>
        <v>493.80000000000018</v>
      </c>
      <c r="O47" s="14">
        <f>N47*VLOOKUP('Données projet'!$B$9,Paramètres!$A$1:$I$88,3,0)*VLOOKUP('Données projet'!$B$9,Paramètres!$A$1:$I$88,5,0)</f>
        <v>295.2924000000001</v>
      </c>
      <c r="P47" s="14">
        <f t="shared" si="33"/>
        <v>70.188663082637405</v>
      </c>
      <c r="Q47" s="22">
        <f t="shared" si="53"/>
        <v>636.54618486892696</v>
      </c>
      <c r="R47" s="62">
        <f t="shared" si="0"/>
        <v>915.87337288584558</v>
      </c>
      <c r="S47" s="62">
        <f ca="1">AVERAGE(OFFSET($R$3,0,0,'Données projet'!$E$9+1,1))-AVERAGE(OFFSET($H$3,0,0,'Données projet'!$E$9+1,1))</f>
        <v>354.71367224254021</v>
      </c>
      <c r="T47" s="62">
        <f t="shared" si="34"/>
        <v>490.074370133397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17.815367657300911</v>
      </c>
      <c r="AA47" s="23">
        <f>EXP(-LN(2)/25)*AA46+(1-EXP(-LN(2)/25))/(LN(2)/25)*Calculateur!V47*Calculateur!X47*VLOOKUP('Données projet'!$B$9,Paramètres!$A$1:$I$88,3,0)*0.475*44/12</f>
        <v>40.561430259618476</v>
      </c>
      <c r="AB47" s="23">
        <f>EXP(-LN(2)/2)*AB46+(1-EXP(-LN(2)/2))/(LN(2)/2)*V47*Y47*VLOOKUP('Données projet'!$B$9,Paramètres!$A$1:$I$88,3,0)*0.475*44/12</f>
        <v>3.4489563690392098</v>
      </c>
      <c r="AC47" s="24">
        <f t="shared" si="3"/>
        <v>61.825754285958595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66.180142186432377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15.8</v>
      </c>
      <c r="AI47" s="14">
        <f>IF('Données projet'!$A$62&gt;35,AI46+AH47-AQ46,IF(A47&lt;'Données projet'!$A$62,$AF$205^A47,IF(A47='Données projet'!$A$62,'Données projet'!$B$62,AI46+AH47-AQ46)))</f>
        <v>351.20000000000016</v>
      </c>
      <c r="AJ47" s="14">
        <f>AI47*VLOOKUP('Données projet'!$B$10,Paramètres!$A$1:$I$88,3,0)*VLOOKUP('Données projet'!$B$10,Paramètres!$A$1:$I$88,5,0)</f>
        <v>210.0176000000001</v>
      </c>
      <c r="AK47" s="14">
        <f t="shared" si="35"/>
        <v>51.939431722351195</v>
      </c>
      <c r="AL47" s="22">
        <f t="shared" si="4"/>
        <v>456.24183024976179</v>
      </c>
      <c r="AM47" s="62">
        <f t="shared" si="5"/>
        <v>735.56901826668047</v>
      </c>
      <c r="AN47" s="62">
        <f ca="1">AVERAGE(OFFSET($AM$3,0,0,'Données projet'!$E$10+1,1))-AVERAGE(OFFSET($H$3,0,0,'Données projet'!$E$10+1,1))</f>
        <v>264.73276096087574</v>
      </c>
      <c r="AO47" s="62">
        <f t="shared" si="36"/>
        <v>381.84464918049662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projet'!$B$10,Paramètres!$A$1:$I$88,3,0)*0.475*44/12</f>
        <v>12.470757360110634</v>
      </c>
      <c r="AV47" s="23">
        <f>EXP(-LN(2)/25)*AV46+(1-EXP(-LN(2)/25))/(LN(2)/25)*Calculateur!AQ47*Calculateur!AS47*VLOOKUP('Données projet'!$B$10,Paramètres!$A$1:$I$88,3,0)*0.475*44/12</f>
        <v>28.330624830294067</v>
      </c>
      <c r="AW47" s="23">
        <f>EXP(-LN(2)/2)*AW46+(1-EXP(-LN(2)/2))/(LN(2)/2)*AQ47*AT47*VLOOKUP('Données projet'!$B$10,Paramètres!$A$1:$I$88,3,0)*0.475*44/12</f>
        <v>2.4142604581203542</v>
      </c>
      <c r="AX47" s="23">
        <f t="shared" si="6"/>
        <v>43.215642648525055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66.180142186432377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149.60000000000005</v>
      </c>
      <c r="BE47" s="14">
        <f>BD47*VLOOKUP('Données projet'!$B$11,Paramètres!$A$1:$I$88,3,0)*VLOOKUP('Données projet'!$B$11,Paramètres!$A$1:$I$88,5,0)</f>
        <v>170.36448000000007</v>
      </c>
      <c r="BF47" s="14">
        <f t="shared" si="37"/>
        <v>43.171644802736004</v>
      </c>
      <c r="BG47" s="22">
        <f t="shared" si="7"/>
        <v>371.90875069809863</v>
      </c>
      <c r="BH47" s="62">
        <f t="shared" si="8"/>
        <v>651.23593871501726</v>
      </c>
      <c r="BI47" s="62">
        <f ca="1">AVERAGE(OFFSET($BH$3,0,0,'Données projet'!$E$11+1,1))-AVERAGE(OFFSET($H$3,0,0,'Données projet'!$E$11+1,1))</f>
        <v>470.57532875732056</v>
      </c>
      <c r="BJ47" s="62">
        <f t="shared" si="38"/>
        <v>286.63787681165888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projet'!$B$11,Paramètres!$A$1:$I$88,3,0)*0.475*44/12</f>
        <v>2.1004332605747233</v>
      </c>
      <c r="BQ47" s="23">
        <f>EXP(-LN(2)/25)*BQ46+(1-EXP(-LN(2)/25))/(LN(2)/25)*Calculateur!BL47*Calculateur!BN47*VLOOKUP('Données projet'!$B$11,Paramètres!$A$1:$I$88,3,0)*0.475*44/12</f>
        <v>0</v>
      </c>
      <c r="BR47" s="23">
        <f>EXP(-LN(2)/2)*BR46+(1-EXP(-LN(2)/2))/(LN(2)/2)*BL47*BO47*VLOOKUP('Données projet'!$B$11,Paramètres!$A$1:$I$88,3,0)*0.475*44/12</f>
        <v>0</v>
      </c>
      <c r="BS47" s="24">
        <f t="shared" si="9"/>
        <v>2.1004332605747233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66.180142186432377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9.8000000000000007</v>
      </c>
      <c r="BY47" s="13">
        <f>IF('Données projet'!$A$114&gt;35,BY46+BX47-CG46,IF(A47&lt;'Données projet'!$A$114,$BV$205^A47,IF(A47='Données projet'!$A$114,'Données projet'!$B$114,BY46+BX47-CG46)))</f>
        <v>232.20000000000005</v>
      </c>
      <c r="BZ47" s="14">
        <f>BY47*VLOOKUP('Données projet'!$B$12,Paramètres!$A$1:$I$88,3,0)*VLOOKUP('Données projet'!$B$12,Paramètres!$A$1:$I$88,5,0)</f>
        <v>152.13744000000003</v>
      </c>
      <c r="CA47" s="14">
        <f t="shared" si="39"/>
        <v>39.063925813036093</v>
      </c>
      <c r="CB47" s="22">
        <f t="shared" si="10"/>
        <v>333.00904545770453</v>
      </c>
      <c r="CC47" s="62">
        <f t="shared" si="11"/>
        <v>612.33623347462321</v>
      </c>
      <c r="CD47" s="62">
        <f ca="1">AVERAGE(OFFSET($CC$3,0,0,'Données projet'!$E$12+1,1))-AVERAGE(OFFSET($H$3,0,0,'Données projet'!$E$12+1,1))</f>
        <v>305.38855494899906</v>
      </c>
      <c r="CE47" s="62">
        <f t="shared" si="40"/>
        <v>298.48106301229177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projet'!$B$12,Paramètres!$A$1:$I$88,3,0)*0.475*44/12</f>
        <v>4.845401917972775</v>
      </c>
      <c r="CL47" s="23">
        <f>EXP(-LN(2)/25)*CL46+(1-EXP(-LN(2)/25))/(LN(2)/25)*Calculateur!CG47*Calculateur!CI47*VLOOKUP('Données projet'!$B$12,Paramètres!$A$1:$I$88,3,0)*0.475*44/12</f>
        <v>0</v>
      </c>
      <c r="CM47" s="23">
        <f>EXP(-LN(2)/2)*CM46+(1-EXP(-LN(2)/2))/(LN(2)/2)*CG47*CJ47*VLOOKUP('Données projet'!$B$12,Paramètres!$A$1:$I$88,3,0)*0.475*44/12</f>
        <v>0</v>
      </c>
      <c r="CN47" s="24">
        <f t="shared" si="12"/>
        <v>4.845401917972775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66.180142186432377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9.8000000000000007</v>
      </c>
      <c r="CT47" s="13">
        <f>IF('Données projet'!$A$140&gt;35,CT46+CS47-DB46,IF(A47&lt;'Données projet'!$A$140,$CQ$205^A47,IF(A47='Données projet'!$A$140,'Données projet'!$B$140,CT46+CS47-DB46)))</f>
        <v>232.20000000000005</v>
      </c>
      <c r="CU47" s="18">
        <f>CT47*VLOOKUP('Données projet'!$B$13,Paramètres!$A$1:$I$88,3,0)*VLOOKUP('Données projet'!$B$13,Paramètres!$A$1:$I$88,5,0)</f>
        <v>184.73832000000004</v>
      </c>
      <c r="CV47" s="14">
        <f t="shared" si="41"/>
        <v>46.374775595471988</v>
      </c>
      <c r="CW47" s="22">
        <f t="shared" si="13"/>
        <v>402.52197482878046</v>
      </c>
      <c r="CX47" s="62">
        <f t="shared" si="14"/>
        <v>681.84916284569908</v>
      </c>
      <c r="CY47" s="62">
        <f ca="1">AVERAGE(OFFSET($CX$3,0,0,'Données projet'!$E$13+1,1))-AVERAGE(OFFSET($H$3,0,0,'Données projet'!$E$13+1,1))</f>
        <v>361.30066984973894</v>
      </c>
      <c r="CZ47" s="62">
        <f t="shared" si="42"/>
        <v>351.78053157121622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projet'!$B$13,Paramètres!$A$1:$I$88,3,0)*0.475*44/12</f>
        <v>7.2520051961685574</v>
      </c>
      <c r="DG47" s="23">
        <f>EXP(-LN(2)/25)*DG46+(1-EXP(-LN(2)/25))/(LN(2)/25)*Calculateur!DB47*Calculateur!DD47*VLOOKUP('Données projet'!$B$13,Paramètres!$A$1:$I$88,3,0)*0.475*44/12</f>
        <v>0</v>
      </c>
      <c r="DH47" s="23">
        <f>EXP(-LN(2)/2)*DH46+(1-EXP(-LN(2)/2))/(LN(2)/2)*DB47*DE47*VLOOKUP('Données projet'!$B$13,Paramètres!$A$1:$I$88,3,0)*0.475*44/12</f>
        <v>0</v>
      </c>
      <c r="DI47" s="24">
        <f t="shared" si="15"/>
        <v>7.2520051961685574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66.180142186432377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>
        <f>DO47*VLOOKUP('Données projet'!$B$14,Paramètres!$A$1:$I$88,3,0)*VLOOKUP('Données projet'!$B$14,Paramètres!$A$1:$I$88,5,0)</f>
        <v>0</v>
      </c>
      <c r="DQ47" s="14" t="e">
        <f t="shared" si="43"/>
        <v>#NUM!</v>
      </c>
      <c r="DR47" s="22" t="e">
        <f t="shared" si="16"/>
        <v>#NUM!</v>
      </c>
      <c r="DS47" s="62" t="e">
        <f t="shared" si="17"/>
        <v>#NUM!</v>
      </c>
      <c r="DT47" s="62">
        <f ca="1">AVERAGE(OFFSET($DS$3,0,0,'Données projet'!$E$14+1,1))-AVERAGE(OFFSET($H$3,0,0,'Données projet'!$E$14+1,1))</f>
        <v>91.201152634762423</v>
      </c>
      <c r="DU47" s="62">
        <f t="shared" si="44"/>
        <v>233.36981992862445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projet'!$B$14,Paramètres!$A$1:$I$88,3,0)*0.475*44/12</f>
        <v>31.41840957121083</v>
      </c>
      <c r="EB47" s="23">
        <f>EXP(-LN(2)/25)*EB46+(1-EXP(-LN(2)/25))/(LN(2)/25)*Calculateur!DW47*Calculateur!DY47*VLOOKUP('Données projet'!$B$14,Paramètres!$A$1:$I$88,3,0)*0.475*44/12</f>
        <v>0</v>
      </c>
      <c r="EC47" s="23">
        <f>EXP(-LN(2)/2)*EC46+(1-EXP(-LN(2)/2))/(LN(2)/2)*DW47*DZ47*VLOOKUP('Données projet'!$B$14,Paramètres!$A$1:$I$88,3,0)*0.475*44/12</f>
        <v>0</v>
      </c>
      <c r="ED47" s="24">
        <f t="shared" si="18"/>
        <v>31.41840957121083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66.180142186432377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projet'!$B$15,Paramètres!$A$1:$I$88,3,0)*0.475*44/12</f>
        <v>#N/A</v>
      </c>
      <c r="EW47" s="23" t="e">
        <f>EXP(-LN(2)/25)*EW46+(1-EXP(-LN(2)/25))/(LN(2)/25)*Calculateur!ER47*Calculateur!ET47*VLOOKUP('Données projet'!$B$15,Paramètres!$A$1:$I$88,3,0)*0.475*44/12</f>
        <v>#N/A</v>
      </c>
      <c r="EX47" s="23" t="e">
        <f>EXP(-LN(2)/2)*EX46+(1-EXP(-LN(2)/2))/(LN(2)/2)*ER47*EU47*VLOOKUP('Données projet'!$B$15,Paramètres!$A$1:$I$88,3,0)*0.475*44/12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66.180142186432377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projet'!$B$16,Paramètres!$A$1:$I$88,3,0)*0.475*44/12</f>
        <v>#N/A</v>
      </c>
      <c r="FR47" s="23" t="e">
        <f>EXP(-LN(2)/25)*FR46+(1-EXP(-LN(2)/25))/(LN(2)/25)*Calculateur!FM47*Calculateur!FO47*VLOOKUP('Données projet'!$B$16,Paramètres!$A$1:$I$88,3,0)*0.475*44/12</f>
        <v>#N/A</v>
      </c>
      <c r="FS47" s="23" t="e">
        <f>EXP(-LN(2)/2)*FS46+(1-EXP(-LN(2)/2))/(LN(2)/2)*FM47*FP47*VLOOKUP('Données projet'!$B$16,Paramètres!$A$1:$I$88,3,0)*0.475*44/12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66.180142186432377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projet'!$B$17,Paramètres!$A$1:$I$88,3,0)*0.475*44/12</f>
        <v>#N/A</v>
      </c>
      <c r="GM47" s="23" t="e">
        <f>EXP(-LN(2)/25)*GM46+(1-EXP(-LN(2)/25))/(LN(2)/25)*Calculateur!GH47*Calculateur!GJ47*VLOOKUP('Données projet'!$B$17,Paramètres!$A$1:$I$88,3,0)*0.475*44/12</f>
        <v>#N/A</v>
      </c>
      <c r="GN47" s="23" t="e">
        <f>EXP(-LN(2)/2)*GN46+(1-EXP(-LN(2)/2))/(LN(2)/2)*GH47*GK47*VLOOKUP('Données projet'!$B$17,Paramètres!$A$1:$I$88,3,0)*0.475*44/12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66.180142186432377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projet'!$B$18,Paramètres!$A$1:$I$88,3,0)*0.475*44/12</f>
        <v>#N/A</v>
      </c>
      <c r="HH47" s="23" t="e">
        <f>EXP(-LN(2)/25)*HH46+(1-EXP(-LN(2)/25))/(LN(2)/25)*Calculateur!HC47*Calculateur!HE47*VLOOKUP('Données projet'!$B$18,Paramètres!$A$1:$I$88,3,0)*0.475*44/12</f>
        <v>#N/A</v>
      </c>
      <c r="HI47" s="23" t="e">
        <f>EXP(-LN(2)/2)*HI46+(1-EXP(-LN(2)/2))/(LN(2)/2)*HC47*HF47*VLOOKUP('Données projet'!$B$18,Paramètres!$A$1:$I$88,3,0)*0.475*44/12</f>
        <v>#N/A</v>
      </c>
      <c r="HJ47" s="24" t="e">
        <f t="shared" si="30"/>
        <v>#N/A</v>
      </c>
    </row>
    <row r="48" spans="1:218" s="5" customFormat="1" x14ac:dyDescent="0.2">
      <c r="A48" s="11">
        <f t="shared" si="31"/>
        <v>45</v>
      </c>
      <c r="B48" s="77">
        <f>'Scénario référence'!$B$16*5+'Scénario référence'!$B$17*0+'Scénario référence'!$B$18*5</f>
        <v>1.6500000000000001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6.0500000000000007</v>
      </c>
      <c r="H48" s="70">
        <f t="shared" si="1"/>
        <v>232.4666666666667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66.24640817957507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518</v>
      </c>
      <c r="L48" s="13">
        <f>VLOOKUP(A48,'Données projet'!$A$35:$I$55,9,0)</f>
        <v>24.2</v>
      </c>
      <c r="M48" s="13">
        <f t="array" ref="M48">INDEX(L:L,MIN(IF(ISNUMBER(L48:L244),ROW(L48:L244),"")))</f>
        <v>24.2</v>
      </c>
      <c r="N48" s="14">
        <f>IF('Données projet'!$A$36&gt;35,N47+M48-V47,IF(A48&lt;'Données projet'!$A$36,$K$205^A48,IF(A48='Données projet'!$A$36,'Données projet'!$B$36,N47+M48-V47)))</f>
        <v>518.00000000000023</v>
      </c>
      <c r="O48" s="14">
        <f>N48*VLOOKUP('Données projet'!$B$9,Paramètres!$A$1:$I$88,3,0)*VLOOKUP('Données projet'!$B$9,Paramètres!$A$1:$I$88,5,0)</f>
        <v>309.76400000000018</v>
      </c>
      <c r="P48" s="14">
        <f t="shared" si="33"/>
        <v>73.219541794375104</v>
      </c>
      <c r="Q48" s="22">
        <f t="shared" si="53"/>
        <v>667.02966862520361</v>
      </c>
      <c r="R48" s="62">
        <f t="shared" si="0"/>
        <v>946.59983195031214</v>
      </c>
      <c r="S48" s="62">
        <f ca="1">AVERAGE(OFFSET($R$3,0,0,'Données projet'!$E$9+1,1))-AVERAGE(OFFSET($H$3,0,0,'Données projet'!$E$9+1,1))</f>
        <v>354.71367224254021</v>
      </c>
      <c r="T48" s="62">
        <f t="shared" si="34"/>
        <v>490.074370133397</v>
      </c>
      <c r="U48" s="16">
        <f>IF(ISNA(VLOOKUP(A48,'Données projet'!$A$35:$I$55,3,0)),0,VLOOKUP(A48,'Données projet'!$A$35:$I$55,3,0))</f>
        <v>7</v>
      </c>
      <c r="V48" s="16">
        <f>IF(ISNA(VLOOKUP(A48,'Données projet'!$A$35:$I$55,4,0)),0,VLOOKUP(A48,'Données projet'!$A$35:$I$55,4,0))</f>
        <v>64</v>
      </c>
      <c r="W48" s="17">
        <f>IF(ISNA(VLOOKUP(A48,'Données projet'!$A$35:$I$55,5,0)),0%,VLOOKUP(A48,'Données projet'!$A$35:$I$55,5,0)*VLOOKUP('Données projet'!$B$9,Paramètres!$A$1:$I$88,7,0))</f>
        <v>0.315</v>
      </c>
      <c r="X48" s="17">
        <f>IF(ISNA(VLOOKUP(A48,'Données projet'!$A$35:$I$55,6,0)),0%,VLOOKUP(A48,'Données projet'!$A$35:$I$55,6,0)*VLOOKUP('Données projet'!$B$9,Paramètres!$A$1:$I$88,7,0))</f>
        <v>7.5600000000000001E-2</v>
      </c>
      <c r="Y48" s="17">
        <f>IF(ISNA(VLOOKUP(A48,'Données projet'!$A$35:$I$55,7,0)),0%,VLOOKUP(A48,'Données projet'!$A$35:$I$55,7,0))</f>
        <v>0.13200000000000001</v>
      </c>
      <c r="Z48" s="23">
        <f>EXP(-LN(2)/35)*Z47+(1-EXP(-LN(2)/35))/(LN(2)/35)*V48*W48*VLOOKUP('Données projet'!$B$9,Paramètres!$A$1:$I$88,3,0)*0.475*44/12</f>
        <v>33.458655737995912</v>
      </c>
      <c r="AA48" s="23">
        <f>EXP(-LN(2)/25)*AA47+(1-EXP(-LN(2)/25))/(LN(2)/25)*Calculateur!V48*Calculateur!X48*VLOOKUP('Données projet'!$B$9,Paramètres!$A$1:$I$88,3,0)*0.475*44/12</f>
        <v>43.275396009005568</v>
      </c>
      <c r="AB48" s="23">
        <f>EXP(-LN(2)/2)*AB47+(1-EXP(-LN(2)/2))/(LN(2)/2)*V48*Y48*VLOOKUP('Données projet'!$B$9,Paramètres!$A$1:$I$88,3,0)*0.475*44/12</f>
        <v>8.1587093093672998</v>
      </c>
      <c r="AC48" s="24">
        <f t="shared" si="3"/>
        <v>84.892761056368769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66.24640817957507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367</v>
      </c>
      <c r="AG48" s="13">
        <f>VLOOKUP(A48,'Données projet'!$A$61:$I$81,9,0)</f>
        <v>15.8</v>
      </c>
      <c r="AH48" s="13">
        <f t="array" ref="AH48">INDEX(AG:AG,MIN(IF(ISNUMBER(AG48:AG244),ROW(AG48:AG244),"")))</f>
        <v>15.8</v>
      </c>
      <c r="AI48" s="14">
        <f>IF('Données projet'!$A$62&gt;35,AI47+AH48-AQ47,IF(A48&lt;'Données projet'!$A$62,$AF$205^A48,IF(A48='Données projet'!$A$62,'Données projet'!$B$62,AI47+AH48-AQ47)))</f>
        <v>367.00000000000017</v>
      </c>
      <c r="AJ48" s="14">
        <f>AI48*VLOOKUP('Données projet'!$B$10,Paramètres!$A$1:$I$88,3,0)*VLOOKUP('Données projet'!$B$10,Paramètres!$A$1:$I$88,5,0)</f>
        <v>219.46600000000012</v>
      </c>
      <c r="AK48" s="14">
        <f t="shared" si="35"/>
        <v>53.998807048358273</v>
      </c>
      <c r="AL48" s="22">
        <f t="shared" si="4"/>
        <v>476.28453894255762</v>
      </c>
      <c r="AM48" s="62">
        <f t="shared" si="5"/>
        <v>755.8547022676662</v>
      </c>
      <c r="AN48" s="62">
        <f ca="1">AVERAGE(OFFSET($AM$3,0,0,'Données projet'!$E$10+1,1))-AVERAGE(OFFSET($H$3,0,0,'Données projet'!$E$10+1,1))</f>
        <v>264.73276096087574</v>
      </c>
      <c r="AO48" s="62">
        <f t="shared" si="36"/>
        <v>381.84464918049662</v>
      </c>
      <c r="AP48" s="16">
        <f>IF(ISNA(VLOOKUP(A48,'Données projet'!$A$61:$I$81,3,0)),0,VLOOKUP(A48,'Données projet'!$A$61:$I$81,3,0))</f>
        <v>7</v>
      </c>
      <c r="AQ48" s="16">
        <f>IF(ISNA(VLOOKUP(A48,'Données projet'!$A$61:$I$81,4,0)),0,VLOOKUP(A48,'Données projet'!$A$61:$I$81,4,0))</f>
        <v>49</v>
      </c>
      <c r="AR48" s="17">
        <f>IF(ISNA(VLOOKUP(A48,'Données projet'!$A$61:$I$81,5,0)),0%,VLOOKUP(A48,'Données projet'!$A$61:$I$81,5,0)*VLOOKUP('Données projet'!$B$10,Paramètres!$A$1:$I$88,7,0))</f>
        <v>0.315</v>
      </c>
      <c r="AS48" s="17">
        <f>IF(ISNA(VLOOKUP(A48,'Données projet'!$A$61:$I$81,6,0)),0%,VLOOKUP(A48,'Données projet'!$A$61:$I$81,6,0)*VLOOKUP('Données projet'!$B$10,Paramètres!$A$1:$I$88,7,0))</f>
        <v>7.5600000000000001E-2</v>
      </c>
      <c r="AT48" s="17">
        <f>IF(ISNA(VLOOKUP(A48,'Données projet'!$A$61:$I$81,7,0)),0%,VLOOKUP(A48,'Données projet'!$A$61:$I$81,7,0))</f>
        <v>0.13200000000000001</v>
      </c>
      <c r="AU48" s="23">
        <f>EXP(-LN(2)/35)*AU47+(1-EXP(-LN(2)/35))/(LN(2)/35)*AQ48*AR48*VLOOKUP('Données projet'!$B$10,Paramètres!$A$1:$I$88,3,0)*0.475*44/12</f>
        <v>24.470575791775943</v>
      </c>
      <c r="AV48" s="23">
        <f>EXP(-LN(2)/25)*AV47+(1-EXP(-LN(2)/25))/(LN(2)/25)*Calculateur!AQ48*Calculateur!AS48*VLOOKUP('Données projet'!$B$10,Paramètres!$A$1:$I$88,3,0)*0.475*44/12</f>
        <v>30.482998802132403</v>
      </c>
      <c r="AW48" s="23">
        <f>EXP(-LN(2)/2)*AW47+(1-EXP(-LN(2)/2))/(LN(2)/2)*AQ48*AT48*VLOOKUP('Données projet'!$B$10,Paramètres!$A$1:$I$88,3,0)*0.475*44/12</f>
        <v>6.0864604847273505</v>
      </c>
      <c r="AX48" s="23">
        <f t="shared" si="6"/>
        <v>61.040035078635697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66.24640817957507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158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158.00000000000006</v>
      </c>
      <c r="BE48" s="14">
        <f>BD48*VLOOKUP('Données projet'!$B$11,Paramètres!$A$1:$I$88,3,0)*VLOOKUP('Données projet'!$B$11,Paramètres!$A$1:$I$88,5,0)</f>
        <v>179.93040000000005</v>
      </c>
      <c r="BF48" s="14">
        <f t="shared" si="37"/>
        <v>45.306701100349692</v>
      </c>
      <c r="BG48" s="22">
        <f t="shared" si="7"/>
        <v>392.28795108310914</v>
      </c>
      <c r="BH48" s="62">
        <f t="shared" si="8"/>
        <v>671.85811440821772</v>
      </c>
      <c r="BI48" s="62">
        <f ca="1">AVERAGE(OFFSET($BH$3,0,0,'Données projet'!$E$11+1,1))-AVERAGE(OFFSET($H$3,0,0,'Données projet'!$E$11+1,1))</f>
        <v>470.57532875732056</v>
      </c>
      <c r="BJ48" s="62">
        <f t="shared" si="38"/>
        <v>286.63787681165888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21</v>
      </c>
      <c r="BM48" s="17">
        <f>IF(ISNA(VLOOKUP(A48,'Données projet'!$A$87:$I$107,5,0)),0%,VLOOKUP(A48,'Données projet'!$A$87:$I$107,5,0)*VLOOKUP('Données projet'!$B$11,Paramètres!$A$1:$I$88,7,0))</f>
        <v>8.6000000000000007E-2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projet'!$B$11,Paramètres!$A$1:$I$88,3,0)*0.475*44/12</f>
        <v>4.3328359062637354</v>
      </c>
      <c r="BQ48" s="23">
        <f>EXP(-LN(2)/25)*BQ47+(1-EXP(-LN(2)/25))/(LN(2)/25)*Calculateur!BL48*Calculateur!BN48*VLOOKUP('Données projet'!$B$11,Paramètres!$A$1:$I$88,3,0)*0.475*44/12</f>
        <v>0</v>
      </c>
      <c r="BR48" s="23">
        <f>EXP(-LN(2)/2)*BR47+(1-EXP(-LN(2)/2))/(LN(2)/2)*BL48*BO48*VLOOKUP('Données projet'!$B$11,Paramètres!$A$1:$I$88,3,0)*0.475*44/12</f>
        <v>0</v>
      </c>
      <c r="BS48" s="24">
        <f t="shared" si="9"/>
        <v>4.3328359062637354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66.24640817957507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242</v>
      </c>
      <c r="BW48" s="13">
        <f>VLOOKUP(A48,'Données projet'!$A$113:$I$133,9,0)</f>
        <v>9.8000000000000007</v>
      </c>
      <c r="BX48" s="13">
        <f t="array" ref="BX48">INDEX(BW:BW,MIN(IF(ISNUMBER(BW48:BW244),ROW(BW48:BW244),"")))</f>
        <v>9.8000000000000007</v>
      </c>
      <c r="BY48" s="13">
        <f>IF('Données projet'!$A$114&gt;35,BY47+BX48-CG47,IF(A48&lt;'Données projet'!$A$114,$BV$205^A48,IF(A48='Données projet'!$A$114,'Données projet'!$B$114,BY47+BX48-CG47)))</f>
        <v>242.00000000000006</v>
      </c>
      <c r="BZ48" s="14">
        <f>BY48*VLOOKUP('Données projet'!$B$12,Paramètres!$A$1:$I$88,3,0)*VLOOKUP('Données projet'!$B$12,Paramètres!$A$1:$I$88,5,0)</f>
        <v>158.55840000000003</v>
      </c>
      <c r="CA48" s="14">
        <f t="shared" si="39"/>
        <v>40.517187421846444</v>
      </c>
      <c r="CB48" s="22">
        <f t="shared" si="10"/>
        <v>346.72331475971595</v>
      </c>
      <c r="CC48" s="62">
        <f t="shared" si="11"/>
        <v>626.29347808482453</v>
      </c>
      <c r="CD48" s="62">
        <f ca="1">AVERAGE(OFFSET($CC$3,0,0,'Données projet'!$E$12+1,1))-AVERAGE(OFFSET($H$3,0,0,'Données projet'!$E$12+1,1))</f>
        <v>305.38855494899906</v>
      </c>
      <c r="CE48" s="62">
        <f t="shared" si="40"/>
        <v>298.48106301229177</v>
      </c>
      <c r="CF48" s="16">
        <f>IF(ISNA(VLOOKUP(A48,'Données projet'!$A$113:$I$133,3,0)),0,VLOOKUP(A48,'Données projet'!$A$113:$I$133,3,0))</f>
        <v>8</v>
      </c>
      <c r="CG48" s="16">
        <f>IF(ISNA(VLOOKUP(A48,'Données projet'!$A$113:$I$133,4,0)),0,VLOOKUP(A48,'Données projet'!$A$113:$I$133,4,0))</f>
        <v>24</v>
      </c>
      <c r="CH48" s="17">
        <f>IF(ISNA(VLOOKUP(A48,'Données projet'!$A$113:$I$133,5,0)),0%,VLOOKUP(A48,'Données projet'!$A$113:$I$133,5,0)*VLOOKUP('Données projet'!$B$12,Paramètres!$A$1:$I$88,7,0))</f>
        <v>0.129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projet'!$B$12,Paramètres!$A$1:$I$88,3,0)*0.475*44/12</f>
        <v>6.9928323222709636</v>
      </c>
      <c r="CL48" s="23">
        <f>EXP(-LN(2)/25)*CL47+(1-EXP(-LN(2)/25))/(LN(2)/25)*Calculateur!CG48*Calculateur!CI48*VLOOKUP('Données projet'!$B$12,Paramètres!$A$1:$I$88,3,0)*0.475*44/12</f>
        <v>0</v>
      </c>
      <c r="CM48" s="23">
        <f>EXP(-LN(2)/2)*CM47+(1-EXP(-LN(2)/2))/(LN(2)/2)*CG48*CJ48*VLOOKUP('Données projet'!$B$12,Paramètres!$A$1:$I$88,3,0)*0.475*44/12</f>
        <v>0</v>
      </c>
      <c r="CN48" s="24">
        <f t="shared" si="12"/>
        <v>6.9928323222709636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66.24640817957507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242</v>
      </c>
      <c r="CR48" s="13">
        <f>VLOOKUP(A48,'Données projet'!$A$139:$I$159,9,0)</f>
        <v>9.8000000000000007</v>
      </c>
      <c r="CS48" s="13">
        <f t="array" ref="CS48">INDEX(CR:CR,MIN(IF(ISNUMBER(CR48:CR244),ROW(CR48:CR244),"")))</f>
        <v>9.8000000000000007</v>
      </c>
      <c r="CT48" s="13">
        <f>IF('Données projet'!$A$140&gt;35,CT47+CS48-DB47,IF(A48&lt;'Données projet'!$A$140,$CQ$205^A48,IF(A48='Données projet'!$A$140,'Données projet'!$B$140,CT47+CS48-DB47)))</f>
        <v>242.00000000000006</v>
      </c>
      <c r="CU48" s="18">
        <f>CT48*VLOOKUP('Données projet'!$B$13,Paramètres!$A$1:$I$88,3,0)*VLOOKUP('Données projet'!$B$13,Paramètres!$A$1:$I$88,5,0)</f>
        <v>192.53520000000006</v>
      </c>
      <c r="CV48" s="14">
        <f t="shared" si="41"/>
        <v>48.100016456123079</v>
      </c>
      <c r="CW48" s="22">
        <f t="shared" si="13"/>
        <v>419.10633532774779</v>
      </c>
      <c r="CX48" s="62">
        <f t="shared" si="14"/>
        <v>698.67649865285637</v>
      </c>
      <c r="CY48" s="62">
        <f ca="1">AVERAGE(OFFSET($CX$3,0,0,'Données projet'!$E$13+1,1))-AVERAGE(OFFSET($H$3,0,0,'Données projet'!$E$13+1,1))</f>
        <v>361.30066984973894</v>
      </c>
      <c r="CZ48" s="62">
        <f t="shared" si="42"/>
        <v>351.78053157121622</v>
      </c>
      <c r="DA48" s="16">
        <f>IF(ISNA(VLOOKUP(A48,'Données projet'!$A$139:$I$159,3,0)),0,VLOOKUP(A48,'Données projet'!$A$139:$I$159,3,0))</f>
        <v>8</v>
      </c>
      <c r="DB48" s="16">
        <f>IF(ISNA(VLOOKUP(A48,'Données projet'!$A$139:$I$159,4,0)),0,VLOOKUP(A48,'Données projet'!$A$139:$I$159,4,0))</f>
        <v>24</v>
      </c>
      <c r="DC48" s="17">
        <f>IF(ISNA(VLOOKUP(A48,'Données projet'!$A$139:$I$159,5,0)),0%,VLOOKUP(A48,'Données projet'!$A$139:$I$159,5,0)*VLOOKUP('Données projet'!$B$13,Paramètres!$A$1:$I$88,7,0))</f>
        <v>0.159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projet'!$B$13,Paramètres!$A$1:$I$88,3,0)*0.475*44/12</f>
        <v>10.466016482335778</v>
      </c>
      <c r="DG48" s="23">
        <f>EXP(-LN(2)/25)*DG47+(1-EXP(-LN(2)/25))/(LN(2)/25)*Calculateur!DB48*Calculateur!DD48*VLOOKUP('Données projet'!$B$13,Paramètres!$A$1:$I$88,3,0)*0.475*44/12</f>
        <v>0</v>
      </c>
      <c r="DH48" s="23">
        <f>EXP(-LN(2)/2)*DH47+(1-EXP(-LN(2)/2))/(LN(2)/2)*DB48*DE48*VLOOKUP('Données projet'!$B$13,Paramètres!$A$1:$I$88,3,0)*0.475*44/12</f>
        <v>0</v>
      </c>
      <c r="DI48" s="24">
        <f t="shared" si="15"/>
        <v>10.466016482335778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66.24640817957507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>
        <f>DO48*VLOOKUP('Données projet'!$B$14,Paramètres!$A$1:$I$88,3,0)*VLOOKUP('Données projet'!$B$14,Paramètres!$A$1:$I$88,5,0)</f>
        <v>0</v>
      </c>
      <c r="DQ48" s="14" t="e">
        <f t="shared" si="43"/>
        <v>#NUM!</v>
      </c>
      <c r="DR48" s="22" t="e">
        <f t="shared" si="16"/>
        <v>#NUM!</v>
      </c>
      <c r="DS48" s="62" t="e">
        <f t="shared" si="17"/>
        <v>#NUM!</v>
      </c>
      <c r="DT48" s="62">
        <f ca="1">AVERAGE(OFFSET($DS$3,0,0,'Données projet'!$E$14+1,1))-AVERAGE(OFFSET($H$3,0,0,'Données projet'!$E$14+1,1))</f>
        <v>91.201152634762423</v>
      </c>
      <c r="DU48" s="62">
        <f t="shared" si="44"/>
        <v>233.36981992862445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projet'!$B$14,Paramètres!$A$1:$I$88,3,0)*0.475*44/12</f>
        <v>30.802313722857001</v>
      </c>
      <c r="EB48" s="23">
        <f>EXP(-LN(2)/25)*EB47+(1-EXP(-LN(2)/25))/(LN(2)/25)*Calculateur!DW48*Calculateur!DY48*VLOOKUP('Données projet'!$B$14,Paramètres!$A$1:$I$88,3,0)*0.475*44/12</f>
        <v>0</v>
      </c>
      <c r="EC48" s="23">
        <f>EXP(-LN(2)/2)*EC47+(1-EXP(-LN(2)/2))/(LN(2)/2)*DW48*DZ48*VLOOKUP('Données projet'!$B$14,Paramètres!$A$1:$I$88,3,0)*0.475*44/12</f>
        <v>0</v>
      </c>
      <c r="ED48" s="24">
        <f t="shared" si="18"/>
        <v>30.802313722857001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66.24640817957507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projet'!$B$15,Paramètres!$A$1:$I$88,3,0)*0.475*44/12</f>
        <v>#N/A</v>
      </c>
      <c r="EW48" s="23" t="e">
        <f>EXP(-LN(2)/25)*EW47+(1-EXP(-LN(2)/25))/(LN(2)/25)*Calculateur!ER48*Calculateur!ET48*VLOOKUP('Données projet'!$B$15,Paramètres!$A$1:$I$88,3,0)*0.475*44/12</f>
        <v>#N/A</v>
      </c>
      <c r="EX48" s="23" t="e">
        <f>EXP(-LN(2)/2)*EX47+(1-EXP(-LN(2)/2))/(LN(2)/2)*ER48*EU48*VLOOKUP('Données projet'!$B$15,Paramètres!$A$1:$I$88,3,0)*0.475*44/12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66.24640817957507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projet'!$B$16,Paramètres!$A$1:$I$88,3,0)*0.475*44/12</f>
        <v>#N/A</v>
      </c>
      <c r="FR48" s="23" t="e">
        <f>EXP(-LN(2)/25)*FR47+(1-EXP(-LN(2)/25))/(LN(2)/25)*Calculateur!FM48*Calculateur!FO48*VLOOKUP('Données projet'!$B$16,Paramètres!$A$1:$I$88,3,0)*0.475*44/12</f>
        <v>#N/A</v>
      </c>
      <c r="FS48" s="23" t="e">
        <f>EXP(-LN(2)/2)*FS47+(1-EXP(-LN(2)/2))/(LN(2)/2)*FM48*FP48*VLOOKUP('Données projet'!$B$16,Paramètres!$A$1:$I$88,3,0)*0.475*44/12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66.24640817957507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projet'!$B$17,Paramètres!$A$1:$I$88,3,0)*0.475*44/12</f>
        <v>#N/A</v>
      </c>
      <c r="GM48" s="23" t="e">
        <f>EXP(-LN(2)/25)*GM47+(1-EXP(-LN(2)/25))/(LN(2)/25)*Calculateur!GH48*Calculateur!GJ48*VLOOKUP('Données projet'!$B$17,Paramètres!$A$1:$I$88,3,0)*0.475*44/12</f>
        <v>#N/A</v>
      </c>
      <c r="GN48" s="23" t="e">
        <f>EXP(-LN(2)/2)*GN47+(1-EXP(-LN(2)/2))/(LN(2)/2)*GH48*GK48*VLOOKUP('Données projet'!$B$17,Paramètres!$A$1:$I$88,3,0)*0.475*44/12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66.24640817957507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projet'!$B$18,Paramètres!$A$1:$I$88,3,0)*0.475*44/12</f>
        <v>#N/A</v>
      </c>
      <c r="HH48" s="23" t="e">
        <f>EXP(-LN(2)/25)*HH47+(1-EXP(-LN(2)/25))/(LN(2)/25)*Calculateur!HC48*Calculateur!HE48*VLOOKUP('Données projet'!$B$18,Paramètres!$A$1:$I$88,3,0)*0.475*44/12</f>
        <v>#N/A</v>
      </c>
      <c r="HI48" s="23" t="e">
        <f>EXP(-LN(2)/2)*HI47+(1-EXP(-LN(2)/2))/(LN(2)/2)*HC48*HF48*VLOOKUP('Données projet'!$B$18,Paramètres!$A$1:$I$88,3,0)*0.475*44/12</f>
        <v>#N/A</v>
      </c>
      <c r="HJ48" s="24" t="e">
        <f t="shared" si="30"/>
        <v>#N/A</v>
      </c>
    </row>
    <row r="49" spans="1:218" s="5" customFormat="1" x14ac:dyDescent="0.2">
      <c r="A49" s="11">
        <f t="shared" si="31"/>
        <v>46</v>
      </c>
      <c r="B49" s="77">
        <f>'Scénario référence'!$B$16*5+'Scénario référence'!$B$17*0+'Scénario référence'!$B$18*5</f>
        <v>1.6500000000000001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6.0500000000000007</v>
      </c>
      <c r="H49" s="70">
        <f t="shared" si="1"/>
        <v>232.4666666666667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66.311524605885324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21.8</v>
      </c>
      <c r="N49" s="14">
        <f>IF('Données projet'!$A$36&gt;35,N48+M49-V48,IF(A49&lt;'Données projet'!$A$36,$K$205^A49,IF(A49='Données projet'!$A$36,'Données projet'!$B$36,N48+M49-V48)))</f>
        <v>475.80000000000018</v>
      </c>
      <c r="O49" s="14">
        <f>N49*VLOOKUP('Données projet'!$B$9,Paramètres!$A$1:$I$88,3,0)*VLOOKUP('Données projet'!$B$9,Paramètres!$A$1:$I$88,5,0)</f>
        <v>284.52840000000009</v>
      </c>
      <c r="P49" s="14">
        <f t="shared" si="33"/>
        <v>67.923094584210929</v>
      </c>
      <c r="Q49" s="22">
        <f t="shared" si="53"/>
        <v>613.85301973416745</v>
      </c>
      <c r="R49" s="62">
        <f t="shared" si="0"/>
        <v>893.66194328908023</v>
      </c>
      <c r="S49" s="62">
        <f ca="1">AVERAGE(OFFSET($R$3,0,0,'Données projet'!$E$9+1,1))-AVERAGE(OFFSET($H$3,0,0,'Données projet'!$E$9+1,1))</f>
        <v>354.71367224254021</v>
      </c>
      <c r="T49" s="62">
        <f t="shared" si="34"/>
        <v>490.074370133397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32.802551906738714</v>
      </c>
      <c r="AA49" s="23">
        <f>EXP(-LN(2)/25)*AA48+(1-EXP(-LN(2)/25))/(LN(2)/25)*Calculateur!V49*Calculateur!X49*VLOOKUP('Données projet'!$B$9,Paramètres!$A$1:$I$88,3,0)*0.475*44/12</f>
        <v>42.092028029385141</v>
      </c>
      <c r="AB49" s="23">
        <f>EXP(-LN(2)/2)*AB48+(1-EXP(-LN(2)/2))/(LN(2)/2)*V49*Y49*VLOOKUP('Données projet'!$B$9,Paramètres!$A$1:$I$88,3,0)*0.475*44/12</f>
        <v>5.7690786783834316</v>
      </c>
      <c r="AC49" s="24">
        <f t="shared" si="3"/>
        <v>80.663658614507284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66.311524605885324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14.8</v>
      </c>
      <c r="AI49" s="14">
        <f>IF('Données projet'!$A$62&gt;35,AI48+AH49-AQ48,IF(A49&lt;'Données projet'!$A$62,$AF$205^A49,IF(A49='Données projet'!$A$62,'Données projet'!$B$62,AI48+AH49-AQ48)))</f>
        <v>332.80000000000018</v>
      </c>
      <c r="AJ49" s="14">
        <f>AI49*VLOOKUP('Données projet'!$B$10,Paramètres!$A$1:$I$88,3,0)*VLOOKUP('Données projet'!$B$10,Paramètres!$A$1:$I$88,5,0)</f>
        <v>199.01440000000011</v>
      </c>
      <c r="AK49" s="14">
        <f t="shared" si="35"/>
        <v>49.527500437894155</v>
      </c>
      <c r="AL49" s="22">
        <f t="shared" si="4"/>
        <v>432.87714326266581</v>
      </c>
      <c r="AM49" s="62">
        <f t="shared" si="5"/>
        <v>712.68606681757865</v>
      </c>
      <c r="AN49" s="62">
        <f ca="1">AVERAGE(OFFSET($AM$3,0,0,'Données projet'!$E$10+1,1))-AVERAGE(OFFSET($H$3,0,0,'Données projet'!$E$10+1,1))</f>
        <v>264.73276096087574</v>
      </c>
      <c r="AO49" s="62">
        <f t="shared" si="36"/>
        <v>381.84464918049662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projet'!$B$10,Paramètres!$A$1:$I$88,3,0)*0.475*44/12</f>
        <v>23.990722726076672</v>
      </c>
      <c r="AV49" s="23">
        <f>EXP(-LN(2)/25)*AV48+(1-EXP(-LN(2)/25))/(LN(2)/25)*Calculateur!AQ49*Calculateur!AS49*VLOOKUP('Données projet'!$B$10,Paramètres!$A$1:$I$88,3,0)*0.475*44/12</f>
        <v>29.649439596856855</v>
      </c>
      <c r="AW49" s="23">
        <f>EXP(-LN(2)/2)*AW48+(1-EXP(-LN(2)/2))/(LN(2)/2)*AQ49*AT49*VLOOKUP('Données projet'!$B$10,Paramètres!$A$1:$I$88,3,0)*0.475*44/12</f>
        <v>4.303777482174671</v>
      </c>
      <c r="AX49" s="23">
        <f t="shared" si="6"/>
        <v>57.943939805108201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66.311524605885324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8.1999999999999993</v>
      </c>
      <c r="BD49" s="13">
        <f>IF('Données projet'!$A$88&gt;35,BD48+BC49-BL48,IF(A49&lt;'Données projet'!$A$88,$BA$205^A49,IF(A49='Données projet'!$A$88,'Données projet'!$B$88,BD48+BC49-BL48)))</f>
        <v>145.20000000000005</v>
      </c>
      <c r="BE49" s="14">
        <f>BD49*VLOOKUP('Données projet'!$B$11,Paramètres!$A$1:$I$88,3,0)*VLOOKUP('Données projet'!$B$11,Paramètres!$A$1:$I$88,5,0)</f>
        <v>165.35376000000005</v>
      </c>
      <c r="BF49" s="14">
        <f t="shared" si="37"/>
        <v>42.047748063289099</v>
      </c>
      <c r="BG49" s="22">
        <f t="shared" si="7"/>
        <v>361.22429321022861</v>
      </c>
      <c r="BH49" s="62">
        <f t="shared" si="8"/>
        <v>641.03321676514145</v>
      </c>
      <c r="BI49" s="62">
        <f ca="1">AVERAGE(OFFSET($BH$3,0,0,'Données projet'!$E$11+1,1))-AVERAGE(OFFSET($H$3,0,0,'Données projet'!$E$11+1,1))</f>
        <v>470.57532875732056</v>
      </c>
      <c r="BJ49" s="62">
        <f t="shared" si="38"/>
        <v>286.63787681165888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projet'!$B$11,Paramètres!$A$1:$I$88,3,0)*0.475*44/12</f>
        <v>4.2478716369108547</v>
      </c>
      <c r="BQ49" s="23">
        <f>EXP(-LN(2)/25)*BQ48+(1-EXP(-LN(2)/25))/(LN(2)/25)*Calculateur!BL49*Calculateur!BN49*VLOOKUP('Données projet'!$B$11,Paramètres!$A$1:$I$88,3,0)*0.475*44/12</f>
        <v>0</v>
      </c>
      <c r="BR49" s="23">
        <f>EXP(-LN(2)/2)*BR48+(1-EXP(-LN(2)/2))/(LN(2)/2)*BL49*BO49*VLOOKUP('Données projet'!$B$11,Paramètres!$A$1:$I$88,3,0)*0.475*44/12</f>
        <v>0</v>
      </c>
      <c r="BS49" s="24">
        <f t="shared" si="9"/>
        <v>4.2478716369108547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66.311524605885324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8.6</v>
      </c>
      <c r="BY49" s="13">
        <f>IF('Données projet'!$A$114&gt;35,BY48+BX49-CG48,IF(A49&lt;'Données projet'!$A$114,$BV$205^A49,IF(A49='Données projet'!$A$114,'Données projet'!$B$114,BY48+BX49-CG48)))</f>
        <v>226.60000000000005</v>
      </c>
      <c r="BZ49" s="14">
        <f>BY49*VLOOKUP('Données projet'!$B$12,Paramètres!$A$1:$I$88,3,0)*VLOOKUP('Données projet'!$B$12,Paramètres!$A$1:$I$88,5,0)</f>
        <v>148.46832000000003</v>
      </c>
      <c r="CA49" s="14">
        <f t="shared" si="39"/>
        <v>38.230298193326924</v>
      </c>
      <c r="CB49" s="22">
        <f t="shared" si="10"/>
        <v>325.16676002004442</v>
      </c>
      <c r="CC49" s="62">
        <f t="shared" si="11"/>
        <v>604.9756835749572</v>
      </c>
      <c r="CD49" s="62">
        <f ca="1">AVERAGE(OFFSET($CC$3,0,0,'Données projet'!$E$12+1,1))-AVERAGE(OFFSET($H$3,0,0,'Données projet'!$E$12+1,1))</f>
        <v>305.38855494899906</v>
      </c>
      <c r="CE49" s="62">
        <f t="shared" si="40"/>
        <v>298.48106301229177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projet'!$B$12,Paramètres!$A$1:$I$88,3,0)*0.475*44/12</f>
        <v>6.8557071456377923</v>
      </c>
      <c r="CL49" s="23">
        <f>EXP(-LN(2)/25)*CL48+(1-EXP(-LN(2)/25))/(LN(2)/25)*Calculateur!CG49*Calculateur!CI49*VLOOKUP('Données projet'!$B$12,Paramètres!$A$1:$I$88,3,0)*0.475*44/12</f>
        <v>0</v>
      </c>
      <c r="CM49" s="23">
        <f>EXP(-LN(2)/2)*CM48+(1-EXP(-LN(2)/2))/(LN(2)/2)*CG49*CJ49*VLOOKUP('Données projet'!$B$12,Paramètres!$A$1:$I$88,3,0)*0.475*44/12</f>
        <v>0</v>
      </c>
      <c r="CN49" s="24">
        <f t="shared" si="12"/>
        <v>6.8557071456377923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66.311524605885324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8.6</v>
      </c>
      <c r="CT49" s="13">
        <f>IF('Données projet'!$A$140&gt;35,CT48+CS49-DB48,IF(A49&lt;'Données projet'!$A$140,$CQ$205^A49,IF(A49='Données projet'!$A$140,'Données projet'!$B$140,CT48+CS49-DB48)))</f>
        <v>226.60000000000005</v>
      </c>
      <c r="CU49" s="18">
        <f>CT49*VLOOKUP('Données projet'!$B$13,Paramètres!$A$1:$I$88,3,0)*VLOOKUP('Données projet'!$B$13,Paramètres!$A$1:$I$88,5,0)</f>
        <v>180.28296000000006</v>
      </c>
      <c r="CV49" s="14">
        <f t="shared" si="41"/>
        <v>45.385133797071397</v>
      </c>
      <c r="CW49" s="22">
        <f t="shared" si="13"/>
        <v>393.03859669656612</v>
      </c>
      <c r="CX49" s="62">
        <f t="shared" si="14"/>
        <v>672.84752025147895</v>
      </c>
      <c r="CY49" s="62">
        <f ca="1">AVERAGE(OFFSET($CX$3,0,0,'Données projet'!$E$13+1,1))-AVERAGE(OFFSET($H$3,0,0,'Données projet'!$E$13+1,1))</f>
        <v>361.30066984973894</v>
      </c>
      <c r="CZ49" s="62">
        <f t="shared" si="42"/>
        <v>351.78053157121622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projet'!$B$13,Paramètres!$A$1:$I$88,3,0)*0.475*44/12</f>
        <v>10.260784282756896</v>
      </c>
      <c r="DG49" s="23">
        <f>EXP(-LN(2)/25)*DG48+(1-EXP(-LN(2)/25))/(LN(2)/25)*Calculateur!DB49*Calculateur!DD49*VLOOKUP('Données projet'!$B$13,Paramètres!$A$1:$I$88,3,0)*0.475*44/12</f>
        <v>0</v>
      </c>
      <c r="DH49" s="23">
        <f>EXP(-LN(2)/2)*DH48+(1-EXP(-LN(2)/2))/(LN(2)/2)*DB49*DE49*VLOOKUP('Données projet'!$B$13,Paramètres!$A$1:$I$88,3,0)*0.475*44/12</f>
        <v>0</v>
      </c>
      <c r="DI49" s="24">
        <f t="shared" si="15"/>
        <v>10.260784282756896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66.311524605885324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>
        <f>DO49*VLOOKUP('Données projet'!$B$14,Paramètres!$A$1:$I$88,3,0)*VLOOKUP('Données projet'!$B$14,Paramètres!$A$1:$I$88,5,0)</f>
        <v>0</v>
      </c>
      <c r="DQ49" s="14" t="e">
        <f t="shared" si="43"/>
        <v>#NUM!</v>
      </c>
      <c r="DR49" s="22" t="e">
        <f t="shared" si="16"/>
        <v>#NUM!</v>
      </c>
      <c r="DS49" s="62" t="e">
        <f t="shared" si="17"/>
        <v>#NUM!</v>
      </c>
      <c r="DT49" s="62">
        <f ca="1">AVERAGE(OFFSET($DS$3,0,0,'Données projet'!$E$14+1,1))-AVERAGE(OFFSET($H$3,0,0,'Données projet'!$E$14+1,1))</f>
        <v>91.201152634762423</v>
      </c>
      <c r="DU49" s="62">
        <f t="shared" si="44"/>
        <v>233.36981992862445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projet'!$B$14,Paramètres!$A$1:$I$88,3,0)*0.475*44/12</f>
        <v>30.19829913830803</v>
      </c>
      <c r="EB49" s="23">
        <f>EXP(-LN(2)/25)*EB48+(1-EXP(-LN(2)/25))/(LN(2)/25)*Calculateur!DW49*Calculateur!DY49*VLOOKUP('Données projet'!$B$14,Paramètres!$A$1:$I$88,3,0)*0.475*44/12</f>
        <v>0</v>
      </c>
      <c r="EC49" s="23">
        <f>EXP(-LN(2)/2)*EC48+(1-EXP(-LN(2)/2))/(LN(2)/2)*DW49*DZ49*VLOOKUP('Données projet'!$B$14,Paramètres!$A$1:$I$88,3,0)*0.475*44/12</f>
        <v>0</v>
      </c>
      <c r="ED49" s="24">
        <f t="shared" si="18"/>
        <v>30.19829913830803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66.311524605885324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projet'!$B$15,Paramètres!$A$1:$I$88,3,0)*0.475*44/12</f>
        <v>#N/A</v>
      </c>
      <c r="EW49" s="23" t="e">
        <f>EXP(-LN(2)/25)*EW48+(1-EXP(-LN(2)/25))/(LN(2)/25)*Calculateur!ER49*Calculateur!ET49*VLOOKUP('Données projet'!$B$15,Paramètres!$A$1:$I$88,3,0)*0.475*44/12</f>
        <v>#N/A</v>
      </c>
      <c r="EX49" s="23" t="e">
        <f>EXP(-LN(2)/2)*EX48+(1-EXP(-LN(2)/2))/(LN(2)/2)*ER49*EU49*VLOOKUP('Données projet'!$B$15,Paramètres!$A$1:$I$88,3,0)*0.475*44/12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66.311524605885324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projet'!$B$16,Paramètres!$A$1:$I$88,3,0)*0.475*44/12</f>
        <v>#N/A</v>
      </c>
      <c r="FR49" s="23" t="e">
        <f>EXP(-LN(2)/25)*FR48+(1-EXP(-LN(2)/25))/(LN(2)/25)*Calculateur!FM49*Calculateur!FO49*VLOOKUP('Données projet'!$B$16,Paramètres!$A$1:$I$88,3,0)*0.475*44/12</f>
        <v>#N/A</v>
      </c>
      <c r="FS49" s="23" t="e">
        <f>EXP(-LN(2)/2)*FS48+(1-EXP(-LN(2)/2))/(LN(2)/2)*FM49*FP49*VLOOKUP('Données projet'!$B$16,Paramètres!$A$1:$I$88,3,0)*0.475*44/12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66.311524605885324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projet'!$B$17,Paramètres!$A$1:$I$88,3,0)*0.475*44/12</f>
        <v>#N/A</v>
      </c>
      <c r="GM49" s="23" t="e">
        <f>EXP(-LN(2)/25)*GM48+(1-EXP(-LN(2)/25))/(LN(2)/25)*Calculateur!GH49*Calculateur!GJ49*VLOOKUP('Données projet'!$B$17,Paramètres!$A$1:$I$88,3,0)*0.475*44/12</f>
        <v>#N/A</v>
      </c>
      <c r="GN49" s="23" t="e">
        <f>EXP(-LN(2)/2)*GN48+(1-EXP(-LN(2)/2))/(LN(2)/2)*GH49*GK49*VLOOKUP('Données projet'!$B$17,Paramètres!$A$1:$I$88,3,0)*0.475*44/12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66.311524605885324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projet'!$B$18,Paramètres!$A$1:$I$88,3,0)*0.475*44/12</f>
        <v>#N/A</v>
      </c>
      <c r="HH49" s="23" t="e">
        <f>EXP(-LN(2)/25)*HH48+(1-EXP(-LN(2)/25))/(LN(2)/25)*Calculateur!HC49*Calculateur!HE49*VLOOKUP('Données projet'!$B$18,Paramètres!$A$1:$I$88,3,0)*0.475*44/12</f>
        <v>#N/A</v>
      </c>
      <c r="HI49" s="23" t="e">
        <f>EXP(-LN(2)/2)*HI48+(1-EXP(-LN(2)/2))/(LN(2)/2)*HC49*HF49*VLOOKUP('Données projet'!$B$18,Paramètres!$A$1:$I$88,3,0)*0.475*44/12</f>
        <v>#N/A</v>
      </c>
      <c r="HJ49" s="24" t="e">
        <f t="shared" si="30"/>
        <v>#N/A</v>
      </c>
    </row>
    <row r="50" spans="1:218" s="5" customFormat="1" x14ac:dyDescent="0.2">
      <c r="A50" s="11">
        <f t="shared" si="31"/>
        <v>47</v>
      </c>
      <c r="B50" s="77">
        <f>'Scénario référence'!$B$16*5+'Scénario référence'!$B$17*0+'Scénario référence'!$B$18*5</f>
        <v>1.6500000000000001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6.0500000000000007</v>
      </c>
      <c r="H50" s="70">
        <f t="shared" si="1"/>
        <v>232.4666666666667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66.375511407777594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21.8</v>
      </c>
      <c r="N50" s="14">
        <f>IF('Données projet'!$A$36&gt;35,N49+M50-V49,IF(A50&lt;'Données projet'!$A$36,$K$205^A50,IF(A50='Données projet'!$A$36,'Données projet'!$B$36,N49+M50-V49)))</f>
        <v>497.60000000000019</v>
      </c>
      <c r="O50" s="14">
        <f>N50*VLOOKUP('Données projet'!$B$9,Paramètres!$A$1:$I$88,3,0)*VLOOKUP('Données projet'!$B$9,Paramètres!$A$1:$I$88,5,0)</f>
        <v>297.56480000000016</v>
      </c>
      <c r="P50" s="14">
        <f t="shared" si="33"/>
        <v>70.665710106623806</v>
      </c>
      <c r="Q50" s="22">
        <f t="shared" si="53"/>
        <v>641.33480510237007</v>
      </c>
      <c r="R50" s="62">
        <f t="shared" si="0"/>
        <v>921.37834693088791</v>
      </c>
      <c r="S50" s="62">
        <f ca="1">AVERAGE(OFFSET($R$3,0,0,'Données projet'!$E$9+1,1))-AVERAGE(OFFSET($H$3,0,0,'Données projet'!$E$9+1,1))</f>
        <v>354.71367224254021</v>
      </c>
      <c r="T50" s="62">
        <f t="shared" si="34"/>
        <v>490.074370133397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32.159313871428644</v>
      </c>
      <c r="AA50" s="23">
        <f>EXP(-LN(2)/25)*AA49+(1-EXP(-LN(2)/25))/(LN(2)/25)*Calculateur!V50*Calculateur!X50*VLOOKUP('Données projet'!$B$9,Paramètres!$A$1:$I$88,3,0)*0.475*44/12</f>
        <v>40.941019309398051</v>
      </c>
      <c r="AB50" s="23">
        <f>EXP(-LN(2)/2)*AB49+(1-EXP(-LN(2)/2))/(LN(2)/2)*V50*Y50*VLOOKUP('Données projet'!$B$9,Paramètres!$A$1:$I$88,3,0)*0.475*44/12</f>
        <v>4.0793546546836499</v>
      </c>
      <c r="AC50" s="24">
        <f t="shared" si="3"/>
        <v>77.17968783551035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66.375511407777594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14.8</v>
      </c>
      <c r="AI50" s="14">
        <f>IF('Données projet'!$A$62&gt;35,AI49+AH50-AQ49,IF(A50&lt;'Données projet'!$A$62,$AF$205^A50,IF(A50='Données projet'!$A$62,'Données projet'!$B$62,AI49+AH50-AQ49)))</f>
        <v>347.60000000000019</v>
      </c>
      <c r="AJ50" s="14">
        <f>AI50*VLOOKUP('Données projet'!$B$10,Paramètres!$A$1:$I$88,3,0)*VLOOKUP('Données projet'!$B$10,Paramètres!$A$1:$I$88,5,0)</f>
        <v>207.86480000000014</v>
      </c>
      <c r="AK50" s="14">
        <f t="shared" si="35"/>
        <v>51.468713616997768</v>
      </c>
      <c r="AL50" s="22">
        <f t="shared" si="4"/>
        <v>451.67253621627128</v>
      </c>
      <c r="AM50" s="62">
        <f t="shared" si="5"/>
        <v>731.71607804478913</v>
      </c>
      <c r="AN50" s="62">
        <f ca="1">AVERAGE(OFFSET($AM$3,0,0,'Données projet'!$E$10+1,1))-AVERAGE(OFFSET($H$3,0,0,'Données projet'!$E$10+1,1))</f>
        <v>264.73276096087574</v>
      </c>
      <c r="AO50" s="62">
        <f t="shared" si="36"/>
        <v>381.84464918049662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projet'!$B$10,Paramètres!$A$1:$I$88,3,0)*0.475*44/12</f>
        <v>23.520279286314292</v>
      </c>
      <c r="AV50" s="23">
        <f>EXP(-LN(2)/25)*AV49+(1-EXP(-LN(2)/25))/(LN(2)/25)*Calculateur!AQ50*Calculateur!AS50*VLOOKUP('Données projet'!$B$10,Paramètres!$A$1:$I$88,3,0)*0.475*44/12</f>
        <v>28.83867411188454</v>
      </c>
      <c r="AW50" s="23">
        <f>EXP(-LN(2)/2)*AW49+(1-EXP(-LN(2)/2))/(LN(2)/2)*AQ50*AT50*VLOOKUP('Données projet'!$B$10,Paramètres!$A$1:$I$88,3,0)*0.475*44/12</f>
        <v>3.0432302423636757</v>
      </c>
      <c r="AX50" s="23">
        <f t="shared" si="6"/>
        <v>55.402183640562512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66.375511407777594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8.1999999999999993</v>
      </c>
      <c r="BD50" s="13">
        <f>IF('Données projet'!$A$88&gt;35,BD49+BC50-BL49,IF(A50&lt;'Données projet'!$A$88,$BA$205^A50,IF(A50='Données projet'!$A$88,'Données projet'!$B$88,BD49+BC50-BL49)))</f>
        <v>153.40000000000003</v>
      </c>
      <c r="BE50" s="14">
        <f>BD50*VLOOKUP('Données projet'!$B$11,Paramètres!$A$1:$I$88,3,0)*VLOOKUP('Données projet'!$B$11,Paramètres!$A$1:$I$88,5,0)</f>
        <v>174.69192000000004</v>
      </c>
      <c r="BF50" s="14">
        <f t="shared" si="37"/>
        <v>44.139186726182643</v>
      </c>
      <c r="BG50" s="22">
        <f t="shared" si="7"/>
        <v>381.13084421476816</v>
      </c>
      <c r="BH50" s="62">
        <f t="shared" si="8"/>
        <v>661.17438604328595</v>
      </c>
      <c r="BI50" s="62">
        <f ca="1">AVERAGE(OFFSET($BH$3,0,0,'Données projet'!$E$11+1,1))-AVERAGE(OFFSET($H$3,0,0,'Données projet'!$E$11+1,1))</f>
        <v>470.57532875732056</v>
      </c>
      <c r="BJ50" s="62">
        <f t="shared" si="38"/>
        <v>286.63787681165888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projet'!$B$11,Paramètres!$A$1:$I$88,3,0)*0.475*44/12</f>
        <v>4.1645734650568969</v>
      </c>
      <c r="BQ50" s="23">
        <f>EXP(-LN(2)/25)*BQ49+(1-EXP(-LN(2)/25))/(LN(2)/25)*Calculateur!BL50*Calculateur!BN50*VLOOKUP('Données projet'!$B$11,Paramètres!$A$1:$I$88,3,0)*0.475*44/12</f>
        <v>0</v>
      </c>
      <c r="BR50" s="23">
        <f>EXP(-LN(2)/2)*BR49+(1-EXP(-LN(2)/2))/(LN(2)/2)*BL50*BO50*VLOOKUP('Données projet'!$B$11,Paramètres!$A$1:$I$88,3,0)*0.475*44/12</f>
        <v>0</v>
      </c>
      <c r="BS50" s="24">
        <f t="shared" si="9"/>
        <v>4.1645734650568969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66.375511407777594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8.6</v>
      </c>
      <c r="BY50" s="13">
        <f>IF('Données projet'!$A$114&gt;35,BY49+BX50-CG49,IF(A50&lt;'Données projet'!$A$114,$BV$205^A50,IF(A50='Données projet'!$A$114,'Données projet'!$B$114,BY49+BX50-CG49)))</f>
        <v>235.20000000000005</v>
      </c>
      <c r="BZ50" s="14">
        <f>BY50*VLOOKUP('Données projet'!$B$12,Paramètres!$A$1:$I$88,3,0)*VLOOKUP('Données projet'!$B$12,Paramètres!$A$1:$I$88,5,0)</f>
        <v>154.10304000000005</v>
      </c>
      <c r="CA50" s="14">
        <f t="shared" si="39"/>
        <v>39.509546668758176</v>
      </c>
      <c r="CB50" s="22">
        <f t="shared" si="10"/>
        <v>337.20858844808726</v>
      </c>
      <c r="CC50" s="62">
        <f t="shared" si="11"/>
        <v>617.25213027660516</v>
      </c>
      <c r="CD50" s="62">
        <f ca="1">AVERAGE(OFFSET($CC$3,0,0,'Données projet'!$E$12+1,1))-AVERAGE(OFFSET($H$3,0,0,'Données projet'!$E$12+1,1))</f>
        <v>305.38855494899906</v>
      </c>
      <c r="CE50" s="62">
        <f t="shared" si="40"/>
        <v>298.48106301229177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projet'!$B$12,Paramètres!$A$1:$I$88,3,0)*0.475*44/12</f>
        <v>6.7212709100802988</v>
      </c>
      <c r="CL50" s="23">
        <f>EXP(-LN(2)/25)*CL49+(1-EXP(-LN(2)/25))/(LN(2)/25)*Calculateur!CG50*Calculateur!CI50*VLOOKUP('Données projet'!$B$12,Paramètres!$A$1:$I$88,3,0)*0.475*44/12</f>
        <v>0</v>
      </c>
      <c r="CM50" s="23">
        <f>EXP(-LN(2)/2)*CM49+(1-EXP(-LN(2)/2))/(LN(2)/2)*CG50*CJ50*VLOOKUP('Données projet'!$B$12,Paramètres!$A$1:$I$88,3,0)*0.475*44/12</f>
        <v>0</v>
      </c>
      <c r="CN50" s="24">
        <f t="shared" si="12"/>
        <v>6.7212709100802988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66.375511407777594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8.6</v>
      </c>
      <c r="CT50" s="13">
        <f>IF('Données projet'!$A$140&gt;35,CT49+CS50-DB49,IF(A50&lt;'Données projet'!$A$140,$CQ$205^A50,IF(A50='Données projet'!$A$140,'Données projet'!$B$140,CT49+CS50-DB49)))</f>
        <v>235.20000000000005</v>
      </c>
      <c r="CU50" s="18">
        <f>CT50*VLOOKUP('Données projet'!$B$13,Paramètres!$A$1:$I$88,3,0)*VLOOKUP('Données projet'!$B$13,Paramètres!$A$1:$I$88,5,0)</f>
        <v>187.12512000000004</v>
      </c>
      <c r="CV50" s="14">
        <f t="shared" si="41"/>
        <v>46.903794805770545</v>
      </c>
      <c r="CW50" s="22">
        <f t="shared" si="13"/>
        <v>407.60035995338376</v>
      </c>
      <c r="CX50" s="62">
        <f t="shared" si="14"/>
        <v>687.6439017819016</v>
      </c>
      <c r="CY50" s="62">
        <f ca="1">AVERAGE(OFFSET($CX$3,0,0,'Données projet'!$E$13+1,1))-AVERAGE(OFFSET($H$3,0,0,'Données projet'!$E$13+1,1))</f>
        <v>361.30066984973894</v>
      </c>
      <c r="CZ50" s="62">
        <f t="shared" si="42"/>
        <v>351.78053157121622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projet'!$B$13,Paramètres!$A$1:$I$88,3,0)*0.475*44/12</f>
        <v>10.059576561432474</v>
      </c>
      <c r="DG50" s="23">
        <f>EXP(-LN(2)/25)*DG49+(1-EXP(-LN(2)/25))/(LN(2)/25)*Calculateur!DB50*Calculateur!DD50*VLOOKUP('Données projet'!$B$13,Paramètres!$A$1:$I$88,3,0)*0.475*44/12</f>
        <v>0</v>
      </c>
      <c r="DH50" s="23">
        <f>EXP(-LN(2)/2)*DH49+(1-EXP(-LN(2)/2))/(LN(2)/2)*DB50*DE50*VLOOKUP('Données projet'!$B$13,Paramètres!$A$1:$I$88,3,0)*0.475*44/12</f>
        <v>0</v>
      </c>
      <c r="DI50" s="24">
        <f t="shared" si="15"/>
        <v>10.059576561432474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66.375511407777594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>
        <f>DO50*VLOOKUP('Données projet'!$B$14,Paramètres!$A$1:$I$88,3,0)*VLOOKUP('Données projet'!$B$14,Paramètres!$A$1:$I$88,5,0)</f>
        <v>0</v>
      </c>
      <c r="DQ50" s="14" t="e">
        <f t="shared" si="43"/>
        <v>#NUM!</v>
      </c>
      <c r="DR50" s="22" t="e">
        <f t="shared" si="16"/>
        <v>#NUM!</v>
      </c>
      <c r="DS50" s="62" t="e">
        <f t="shared" si="17"/>
        <v>#NUM!</v>
      </c>
      <c r="DT50" s="62">
        <f ca="1">AVERAGE(OFFSET($DS$3,0,0,'Données projet'!$E$14+1,1))-AVERAGE(OFFSET($H$3,0,0,'Données projet'!$E$14+1,1))</f>
        <v>91.201152634762423</v>
      </c>
      <c r="DU50" s="62">
        <f t="shared" si="44"/>
        <v>233.36981992862445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projet'!$B$14,Paramètres!$A$1:$I$88,3,0)*0.475*44/12</f>
        <v>29.606128911349543</v>
      </c>
      <c r="EB50" s="23">
        <f>EXP(-LN(2)/25)*EB49+(1-EXP(-LN(2)/25))/(LN(2)/25)*Calculateur!DW50*Calculateur!DY50*VLOOKUP('Données projet'!$B$14,Paramètres!$A$1:$I$88,3,0)*0.475*44/12</f>
        <v>0</v>
      </c>
      <c r="EC50" s="23">
        <f>EXP(-LN(2)/2)*EC49+(1-EXP(-LN(2)/2))/(LN(2)/2)*DW50*DZ50*VLOOKUP('Données projet'!$B$14,Paramètres!$A$1:$I$88,3,0)*0.475*44/12</f>
        <v>0</v>
      </c>
      <c r="ED50" s="24">
        <f t="shared" si="18"/>
        <v>29.606128911349543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66.375511407777594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projet'!$B$15,Paramètres!$A$1:$I$88,3,0)*0.475*44/12</f>
        <v>#N/A</v>
      </c>
      <c r="EW50" s="23" t="e">
        <f>EXP(-LN(2)/25)*EW49+(1-EXP(-LN(2)/25))/(LN(2)/25)*Calculateur!ER50*Calculateur!ET50*VLOOKUP('Données projet'!$B$15,Paramètres!$A$1:$I$88,3,0)*0.475*44/12</f>
        <v>#N/A</v>
      </c>
      <c r="EX50" s="23" t="e">
        <f>EXP(-LN(2)/2)*EX49+(1-EXP(-LN(2)/2))/(LN(2)/2)*ER50*EU50*VLOOKUP('Données projet'!$B$15,Paramètres!$A$1:$I$88,3,0)*0.475*44/12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66.375511407777594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projet'!$B$16,Paramètres!$A$1:$I$88,3,0)*0.475*44/12</f>
        <v>#N/A</v>
      </c>
      <c r="FR50" s="23" t="e">
        <f>EXP(-LN(2)/25)*FR49+(1-EXP(-LN(2)/25))/(LN(2)/25)*Calculateur!FM50*Calculateur!FO50*VLOOKUP('Données projet'!$B$16,Paramètres!$A$1:$I$88,3,0)*0.475*44/12</f>
        <v>#N/A</v>
      </c>
      <c r="FS50" s="23" t="e">
        <f>EXP(-LN(2)/2)*FS49+(1-EXP(-LN(2)/2))/(LN(2)/2)*FM50*FP50*VLOOKUP('Données projet'!$B$16,Paramètres!$A$1:$I$88,3,0)*0.475*44/12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66.375511407777594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projet'!$B$17,Paramètres!$A$1:$I$88,3,0)*0.475*44/12</f>
        <v>#N/A</v>
      </c>
      <c r="GM50" s="23" t="e">
        <f>EXP(-LN(2)/25)*GM49+(1-EXP(-LN(2)/25))/(LN(2)/25)*Calculateur!GH50*Calculateur!GJ50*VLOOKUP('Données projet'!$B$17,Paramètres!$A$1:$I$88,3,0)*0.475*44/12</f>
        <v>#N/A</v>
      </c>
      <c r="GN50" s="23" t="e">
        <f>EXP(-LN(2)/2)*GN49+(1-EXP(-LN(2)/2))/(LN(2)/2)*GH50*GK50*VLOOKUP('Données projet'!$B$17,Paramètres!$A$1:$I$88,3,0)*0.475*44/12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66.375511407777594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projet'!$B$18,Paramètres!$A$1:$I$88,3,0)*0.475*44/12</f>
        <v>#N/A</v>
      </c>
      <c r="HH50" s="23" t="e">
        <f>EXP(-LN(2)/25)*HH49+(1-EXP(-LN(2)/25))/(LN(2)/25)*Calculateur!HC50*Calculateur!HE50*VLOOKUP('Données projet'!$B$18,Paramètres!$A$1:$I$88,3,0)*0.475*44/12</f>
        <v>#N/A</v>
      </c>
      <c r="HI50" s="23" t="e">
        <f>EXP(-LN(2)/2)*HI49+(1-EXP(-LN(2)/2))/(LN(2)/2)*HC50*HF50*VLOOKUP('Données projet'!$B$18,Paramètres!$A$1:$I$88,3,0)*0.475*44/12</f>
        <v>#N/A</v>
      </c>
      <c r="HJ50" s="24" t="e">
        <f t="shared" si="30"/>
        <v>#N/A</v>
      </c>
    </row>
    <row r="51" spans="1:218" s="5" customFormat="1" x14ac:dyDescent="0.2">
      <c r="A51" s="11">
        <f t="shared" si="31"/>
        <v>48</v>
      </c>
      <c r="B51" s="77">
        <f>'Scénario référence'!$B$16*5+'Scénario référence'!$B$17*0+'Scénario référence'!$B$18*5</f>
        <v>1.6500000000000001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6.0500000000000007</v>
      </c>
      <c r="H51" s="70">
        <f t="shared" si="1"/>
        <v>232.4666666666667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66.438388181710096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21.8</v>
      </c>
      <c r="N51" s="14">
        <f>IF('Données projet'!$A$36&gt;35,N50+M51-V50,IF(A51&lt;'Données projet'!$A$36,$K$205^A51,IF(A51='Données projet'!$A$36,'Données projet'!$B$36,N50+M51-V50)))</f>
        <v>519.4000000000002</v>
      </c>
      <c r="O51" s="14">
        <f>N51*VLOOKUP('Données projet'!$B$9,Paramètres!$A$1:$I$88,3,0)*VLOOKUP('Données projet'!$B$9,Paramètres!$A$1:$I$88,5,0)</f>
        <v>310.60120000000012</v>
      </c>
      <c r="P51" s="14">
        <f t="shared" si="33"/>
        <v>73.394370499024973</v>
      </c>
      <c r="Q51" s="22">
        <f t="shared" si="53"/>
        <v>668.792285285802</v>
      </c>
      <c r="R51" s="62">
        <f t="shared" si="0"/>
        <v>949.06637528540568</v>
      </c>
      <c r="S51" s="62">
        <f ca="1">AVERAGE(OFFSET($R$3,0,0,'Données projet'!$E$9+1,1))-AVERAGE(OFFSET($H$3,0,0,'Données projet'!$E$9+1,1))</f>
        <v>354.71367224254021</v>
      </c>
      <c r="T51" s="62">
        <f t="shared" si="34"/>
        <v>490.074370133397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31.528689341654545</v>
      </c>
      <c r="AA51" s="23">
        <f>EXP(-LN(2)/25)*AA50+(1-EXP(-LN(2)/25))/(LN(2)/25)*Calculateur!V51*Calculateur!X51*VLOOKUP('Données projet'!$B$9,Paramètres!$A$1:$I$88,3,0)*0.475*44/12</f>
        <v>39.821484983387926</v>
      </c>
      <c r="AB51" s="23">
        <f>EXP(-LN(2)/2)*AB50+(1-EXP(-LN(2)/2))/(LN(2)/2)*V51*Y51*VLOOKUP('Données projet'!$B$9,Paramètres!$A$1:$I$88,3,0)*0.475*44/12</f>
        <v>2.8845393391917158</v>
      </c>
      <c r="AC51" s="24">
        <f t="shared" si="3"/>
        <v>74.234713664234192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66.438388181710096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14.8</v>
      </c>
      <c r="AI51" s="14">
        <f>IF('Données projet'!$A$62&gt;35,AI50+AH51-AQ50,IF(A51&lt;'Données projet'!$A$62,$AF$205^A51,IF(A51='Données projet'!$A$62,'Données projet'!$B$62,AI50+AH51-AQ50)))</f>
        <v>362.4000000000002</v>
      </c>
      <c r="AJ51" s="14">
        <f>AI51*VLOOKUP('Données projet'!$B$10,Paramètres!$A$1:$I$88,3,0)*VLOOKUP('Données projet'!$B$10,Paramètres!$A$1:$I$88,5,0)</f>
        <v>216.71520000000012</v>
      </c>
      <c r="AK51" s="14">
        <f t="shared" si="35"/>
        <v>53.400326801074698</v>
      </c>
      <c r="AL51" s="22">
        <f t="shared" si="4"/>
        <v>470.45120917853865</v>
      </c>
      <c r="AM51" s="62">
        <f t="shared" si="5"/>
        <v>750.72529917814234</v>
      </c>
      <c r="AN51" s="62">
        <f ca="1">AVERAGE(OFFSET($AM$3,0,0,'Données projet'!$E$10+1,1))-AVERAGE(OFFSET($H$3,0,0,'Données projet'!$E$10+1,1))</f>
        <v>264.73276096087574</v>
      </c>
      <c r="AO51" s="62">
        <f t="shared" si="36"/>
        <v>381.84464918049662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projet'!$B$10,Paramètres!$A$1:$I$88,3,0)*0.475*44/12</f>
        <v>23.059060955463487</v>
      </c>
      <c r="AV51" s="23">
        <f>EXP(-LN(2)/25)*AV50+(1-EXP(-LN(2)/25))/(LN(2)/25)*Calculateur!AQ51*Calculateur!AS51*VLOOKUP('Données projet'!$B$10,Paramètres!$A$1:$I$88,3,0)*0.475*44/12</f>
        <v>28.050079051735096</v>
      </c>
      <c r="AW51" s="23">
        <f>EXP(-LN(2)/2)*AW50+(1-EXP(-LN(2)/2))/(LN(2)/2)*AQ51*AT51*VLOOKUP('Données projet'!$B$10,Paramètres!$A$1:$I$88,3,0)*0.475*44/12</f>
        <v>2.151888741087336</v>
      </c>
      <c r="AX51" s="23">
        <f t="shared" si="6"/>
        <v>53.261028748285916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66.438388181710096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8.1999999999999993</v>
      </c>
      <c r="BD51" s="13">
        <f>IF('Données projet'!$A$88&gt;35,BD50+BC51-BL50,IF(A51&lt;'Données projet'!$A$88,$BA$205^A51,IF(A51='Données projet'!$A$88,'Données projet'!$B$88,BD50+BC51-BL50)))</f>
        <v>161.60000000000002</v>
      </c>
      <c r="BE51" s="14">
        <f>BD51*VLOOKUP('Données projet'!$B$11,Paramètres!$A$1:$I$88,3,0)*VLOOKUP('Données projet'!$B$11,Paramètres!$A$1:$I$88,5,0)</f>
        <v>184.03008000000003</v>
      </c>
      <c r="BF51" s="14">
        <f t="shared" si="37"/>
        <v>46.217645990417758</v>
      </c>
      <c r="BG51" s="22">
        <f t="shared" si="7"/>
        <v>401.01478943331102</v>
      </c>
      <c r="BH51" s="62">
        <f t="shared" si="8"/>
        <v>681.28887943291465</v>
      </c>
      <c r="BI51" s="62">
        <f ca="1">AVERAGE(OFFSET($BH$3,0,0,'Données projet'!$E$11+1,1))-AVERAGE(OFFSET($H$3,0,0,'Données projet'!$E$11+1,1))</f>
        <v>470.57532875732056</v>
      </c>
      <c r="BJ51" s="62">
        <f t="shared" si="38"/>
        <v>286.63787681165888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projet'!$B$11,Paramètres!$A$1:$I$88,3,0)*0.475*44/12</f>
        <v>4.0829087195461273</v>
      </c>
      <c r="BQ51" s="23">
        <f>EXP(-LN(2)/25)*BQ50+(1-EXP(-LN(2)/25))/(LN(2)/25)*Calculateur!BL51*Calculateur!BN51*VLOOKUP('Données projet'!$B$11,Paramètres!$A$1:$I$88,3,0)*0.475*44/12</f>
        <v>0</v>
      </c>
      <c r="BR51" s="23">
        <f>EXP(-LN(2)/2)*BR50+(1-EXP(-LN(2)/2))/(LN(2)/2)*BL51*BO51*VLOOKUP('Données projet'!$B$11,Paramètres!$A$1:$I$88,3,0)*0.475*44/12</f>
        <v>0</v>
      </c>
      <c r="BS51" s="24">
        <f t="shared" si="9"/>
        <v>4.0829087195461273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66.438388181710096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8.6</v>
      </c>
      <c r="BY51" s="13">
        <f>IF('Données projet'!$A$114&gt;35,BY50+BX51-CG50,IF(A51&lt;'Données projet'!$A$114,$BV$205^A51,IF(A51='Données projet'!$A$114,'Données projet'!$B$114,BY50+BX51-CG50)))</f>
        <v>243.80000000000004</v>
      </c>
      <c r="BZ51" s="14">
        <f>BY51*VLOOKUP('Données projet'!$B$12,Paramètres!$A$1:$I$88,3,0)*VLOOKUP('Données projet'!$B$12,Paramètres!$A$1:$I$88,5,0)</f>
        <v>159.73776000000004</v>
      </c>
      <c r="CA51" s="14">
        <f t="shared" si="39"/>
        <v>40.783360797044367</v>
      </c>
      <c r="CB51" s="22">
        <f t="shared" si="10"/>
        <v>349.24095205485236</v>
      </c>
      <c r="CC51" s="62">
        <f t="shared" si="11"/>
        <v>629.51504205445599</v>
      </c>
      <c r="CD51" s="62">
        <f ca="1">AVERAGE(OFFSET($CC$3,0,0,'Données projet'!$E$12+1,1))-AVERAGE(OFFSET($H$3,0,0,'Données projet'!$E$12+1,1))</f>
        <v>305.38855494899906</v>
      </c>
      <c r="CE51" s="62">
        <f t="shared" si="40"/>
        <v>298.48106301229177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projet'!$B$12,Paramètres!$A$1:$I$88,3,0)*0.475*44/12</f>
        <v>6.5894708871040804</v>
      </c>
      <c r="CL51" s="23">
        <f>EXP(-LN(2)/25)*CL50+(1-EXP(-LN(2)/25))/(LN(2)/25)*Calculateur!CG51*Calculateur!CI51*VLOOKUP('Données projet'!$B$12,Paramètres!$A$1:$I$88,3,0)*0.475*44/12</f>
        <v>0</v>
      </c>
      <c r="CM51" s="23">
        <f>EXP(-LN(2)/2)*CM50+(1-EXP(-LN(2)/2))/(LN(2)/2)*CG51*CJ51*VLOOKUP('Données projet'!$B$12,Paramètres!$A$1:$I$88,3,0)*0.475*44/12</f>
        <v>0</v>
      </c>
      <c r="CN51" s="24">
        <f t="shared" si="12"/>
        <v>6.5894708871040804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66.438388181710096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8.6</v>
      </c>
      <c r="CT51" s="13">
        <f>IF('Données projet'!$A$140&gt;35,CT50+CS51-DB50,IF(A51&lt;'Données projet'!$A$140,$CQ$205^A51,IF(A51='Données projet'!$A$140,'Données projet'!$B$140,CT50+CS51-DB50)))</f>
        <v>243.80000000000004</v>
      </c>
      <c r="CU51" s="18">
        <f>CT51*VLOOKUP('Données projet'!$B$13,Paramètres!$A$1:$I$88,3,0)*VLOOKUP('Données projet'!$B$13,Paramètres!$A$1:$I$88,5,0)</f>
        <v>193.96728000000004</v>
      </c>
      <c r="CV51" s="14">
        <f t="shared" si="41"/>
        <v>48.41600442423902</v>
      </c>
      <c r="CW51" s="22">
        <f t="shared" si="13"/>
        <v>422.15088703888301</v>
      </c>
      <c r="CX51" s="62">
        <f t="shared" si="14"/>
        <v>702.42497703848676</v>
      </c>
      <c r="CY51" s="62">
        <f ca="1">AVERAGE(OFFSET($CX$3,0,0,'Données projet'!$E$13+1,1))-AVERAGE(OFFSET($H$3,0,0,'Données projet'!$E$13+1,1))</f>
        <v>361.30066984973894</v>
      </c>
      <c r="CZ51" s="62">
        <f t="shared" si="42"/>
        <v>351.78053157121622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projet'!$B$13,Paramètres!$A$1:$I$88,3,0)*0.475*44/12</f>
        <v>9.8623144007986312</v>
      </c>
      <c r="DG51" s="23">
        <f>EXP(-LN(2)/25)*DG50+(1-EXP(-LN(2)/25))/(LN(2)/25)*Calculateur!DB51*Calculateur!DD51*VLOOKUP('Données projet'!$B$13,Paramètres!$A$1:$I$88,3,0)*0.475*44/12</f>
        <v>0</v>
      </c>
      <c r="DH51" s="23">
        <f>EXP(-LN(2)/2)*DH50+(1-EXP(-LN(2)/2))/(LN(2)/2)*DB51*DE51*VLOOKUP('Données projet'!$B$13,Paramètres!$A$1:$I$88,3,0)*0.475*44/12</f>
        <v>0</v>
      </c>
      <c r="DI51" s="24">
        <f t="shared" si="15"/>
        <v>9.8623144007986312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66.438388181710096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>
        <f>DO51*VLOOKUP('Données projet'!$B$14,Paramètres!$A$1:$I$88,3,0)*VLOOKUP('Données projet'!$B$14,Paramètres!$A$1:$I$88,5,0)</f>
        <v>0</v>
      </c>
      <c r="DQ51" s="14" t="e">
        <f t="shared" si="43"/>
        <v>#NUM!</v>
      </c>
      <c r="DR51" s="22" t="e">
        <f t="shared" si="16"/>
        <v>#NUM!</v>
      </c>
      <c r="DS51" s="62" t="e">
        <f t="shared" si="17"/>
        <v>#NUM!</v>
      </c>
      <c r="DT51" s="62">
        <f ca="1">AVERAGE(OFFSET($DS$3,0,0,'Données projet'!$E$14+1,1))-AVERAGE(OFFSET($H$3,0,0,'Données projet'!$E$14+1,1))</f>
        <v>91.201152634762423</v>
      </c>
      <c r="DU51" s="62">
        <f t="shared" si="44"/>
        <v>233.36981992862445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projet'!$B$14,Paramètres!$A$1:$I$88,3,0)*0.475*44/12</f>
        <v>29.02557078135354</v>
      </c>
      <c r="EB51" s="23">
        <f>EXP(-LN(2)/25)*EB50+(1-EXP(-LN(2)/25))/(LN(2)/25)*Calculateur!DW51*Calculateur!DY51*VLOOKUP('Données projet'!$B$14,Paramètres!$A$1:$I$88,3,0)*0.475*44/12</f>
        <v>0</v>
      </c>
      <c r="EC51" s="23">
        <f>EXP(-LN(2)/2)*EC50+(1-EXP(-LN(2)/2))/(LN(2)/2)*DW51*DZ51*VLOOKUP('Données projet'!$B$14,Paramètres!$A$1:$I$88,3,0)*0.475*44/12</f>
        <v>0</v>
      </c>
      <c r="ED51" s="24">
        <f t="shared" si="18"/>
        <v>29.02557078135354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66.438388181710096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projet'!$B$15,Paramètres!$A$1:$I$88,3,0)*0.475*44/12</f>
        <v>#N/A</v>
      </c>
      <c r="EW51" s="23" t="e">
        <f>EXP(-LN(2)/25)*EW50+(1-EXP(-LN(2)/25))/(LN(2)/25)*Calculateur!ER51*Calculateur!ET51*VLOOKUP('Données projet'!$B$15,Paramètres!$A$1:$I$88,3,0)*0.475*44/12</f>
        <v>#N/A</v>
      </c>
      <c r="EX51" s="23" t="e">
        <f>EXP(-LN(2)/2)*EX50+(1-EXP(-LN(2)/2))/(LN(2)/2)*ER51*EU51*VLOOKUP('Données projet'!$B$15,Paramètres!$A$1:$I$88,3,0)*0.475*44/12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66.438388181710096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projet'!$B$16,Paramètres!$A$1:$I$88,3,0)*0.475*44/12</f>
        <v>#N/A</v>
      </c>
      <c r="FR51" s="23" t="e">
        <f>EXP(-LN(2)/25)*FR50+(1-EXP(-LN(2)/25))/(LN(2)/25)*Calculateur!FM51*Calculateur!FO51*VLOOKUP('Données projet'!$B$16,Paramètres!$A$1:$I$88,3,0)*0.475*44/12</f>
        <v>#N/A</v>
      </c>
      <c r="FS51" s="23" t="e">
        <f>EXP(-LN(2)/2)*FS50+(1-EXP(-LN(2)/2))/(LN(2)/2)*FM51*FP51*VLOOKUP('Données projet'!$B$16,Paramètres!$A$1:$I$88,3,0)*0.475*44/12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66.438388181710096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projet'!$B$17,Paramètres!$A$1:$I$88,3,0)*0.475*44/12</f>
        <v>#N/A</v>
      </c>
      <c r="GM51" s="23" t="e">
        <f>EXP(-LN(2)/25)*GM50+(1-EXP(-LN(2)/25))/(LN(2)/25)*Calculateur!GH51*Calculateur!GJ51*VLOOKUP('Données projet'!$B$17,Paramètres!$A$1:$I$88,3,0)*0.475*44/12</f>
        <v>#N/A</v>
      </c>
      <c r="GN51" s="23" t="e">
        <f>EXP(-LN(2)/2)*GN50+(1-EXP(-LN(2)/2))/(LN(2)/2)*GH51*GK51*VLOOKUP('Données projet'!$B$17,Paramètres!$A$1:$I$88,3,0)*0.475*44/12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66.438388181710096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projet'!$B$18,Paramètres!$A$1:$I$88,3,0)*0.475*44/12</f>
        <v>#N/A</v>
      </c>
      <c r="HH51" s="23" t="e">
        <f>EXP(-LN(2)/25)*HH50+(1-EXP(-LN(2)/25))/(LN(2)/25)*Calculateur!HC51*Calculateur!HE51*VLOOKUP('Données projet'!$B$18,Paramètres!$A$1:$I$88,3,0)*0.475*44/12</f>
        <v>#N/A</v>
      </c>
      <c r="HI51" s="23" t="e">
        <f>EXP(-LN(2)/2)*HI50+(1-EXP(-LN(2)/2))/(LN(2)/2)*HC51*HF51*VLOOKUP('Données projet'!$B$18,Paramètres!$A$1:$I$88,3,0)*0.475*44/12</f>
        <v>#N/A</v>
      </c>
      <c r="HJ51" s="24" t="e">
        <f t="shared" si="30"/>
        <v>#N/A</v>
      </c>
    </row>
    <row r="52" spans="1:218" s="5" customFormat="1" x14ac:dyDescent="0.2">
      <c r="A52" s="11">
        <f t="shared" si="31"/>
        <v>49</v>
      </c>
      <c r="B52" s="77">
        <f>'Scénario référence'!$B$16*5+'Scénario référence'!$B$17*0+'Scénario référence'!$B$18*5</f>
        <v>1.6500000000000001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6.0500000000000007</v>
      </c>
      <c r="H52" s="70">
        <f t="shared" si="1"/>
        <v>232.4666666666667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66.500174184186278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21.8</v>
      </c>
      <c r="N52" s="14">
        <f>IF('Données projet'!$A$36&gt;35,N51+M52-V51,IF(A52&lt;'Données projet'!$A$36,$K$205^A52,IF(A52='Données projet'!$A$36,'Données projet'!$B$36,N51+M52-V51)))</f>
        <v>541.20000000000016</v>
      </c>
      <c r="O52" s="14">
        <f>N52*VLOOKUP('Données projet'!$B$9,Paramètres!$A$1:$I$88,3,0)*VLOOKUP('Données projet'!$B$9,Paramètres!$A$1:$I$88,5,0)</f>
        <v>323.63760000000013</v>
      </c>
      <c r="P52" s="14">
        <f t="shared" si="33"/>
        <v>76.109728452986261</v>
      </c>
      <c r="Q52" s="22">
        <f t="shared" si="53"/>
        <v>696.22659705561784</v>
      </c>
      <c r="R52" s="62">
        <f t="shared" si="0"/>
        <v>976.72723573096755</v>
      </c>
      <c r="S52" s="62">
        <f ca="1">AVERAGE(OFFSET($R$3,0,0,'Données projet'!$E$9+1,1))-AVERAGE(OFFSET($H$3,0,0,'Données projet'!$E$9+1,1))</f>
        <v>354.71367224254021</v>
      </c>
      <c r="T52" s="62">
        <f t="shared" si="34"/>
        <v>490.074370133397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30.910430974266333</v>
      </c>
      <c r="AA52" s="23">
        <f>EXP(-LN(2)/25)*AA51+(1-EXP(-LN(2)/25))/(LN(2)/25)*Calculateur!V52*Calculateur!X52*VLOOKUP('Données projet'!$B$9,Paramètres!$A$1:$I$88,3,0)*0.475*44/12</f>
        <v>38.732564382396298</v>
      </c>
      <c r="AB52" s="23">
        <f>EXP(-LN(2)/2)*AB51+(1-EXP(-LN(2)/2))/(LN(2)/2)*V52*Y52*VLOOKUP('Données projet'!$B$9,Paramètres!$A$1:$I$88,3,0)*0.475*44/12</f>
        <v>2.0396773273418249</v>
      </c>
      <c r="AC52" s="24">
        <f t="shared" si="3"/>
        <v>71.682672684004444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66.500174184186278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14.8</v>
      </c>
      <c r="AI52" s="14">
        <f>IF('Données projet'!$A$62&gt;35,AI51+AH52-AQ51,IF(A52&lt;'Données projet'!$A$62,$AF$205^A52,IF(A52='Données projet'!$A$62,'Données projet'!$B$62,AI51+AH52-AQ51)))</f>
        <v>377.20000000000022</v>
      </c>
      <c r="AJ52" s="14">
        <f>AI52*VLOOKUP('Données projet'!$B$10,Paramètres!$A$1:$I$88,3,0)*VLOOKUP('Données projet'!$B$10,Paramètres!$A$1:$I$88,5,0)</f>
        <v>225.56560000000016</v>
      </c>
      <c r="AK52" s="14">
        <f t="shared" si="35"/>
        <v>55.322776886773624</v>
      </c>
      <c r="AL52" s="22">
        <f t="shared" si="4"/>
        <v>489.21392307779774</v>
      </c>
      <c r="AM52" s="62">
        <f t="shared" si="5"/>
        <v>769.71456175314734</v>
      </c>
      <c r="AN52" s="62">
        <f ca="1">AVERAGE(OFFSET($AM$3,0,0,'Données projet'!$E$10+1,1))-AVERAGE(OFFSET($H$3,0,0,'Données projet'!$E$10+1,1))</f>
        <v>264.73276096087574</v>
      </c>
      <c r="AO52" s="62">
        <f t="shared" si="36"/>
        <v>381.84464918049662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projet'!$B$10,Paramètres!$A$1:$I$88,3,0)*0.475*44/12</f>
        <v>22.606886834765263</v>
      </c>
      <c r="AV52" s="23">
        <f>EXP(-LN(2)/25)*AV51+(1-EXP(-LN(2)/25))/(LN(2)/25)*Calculateur!AQ52*Calculateur!AS52*VLOOKUP('Données projet'!$B$10,Paramètres!$A$1:$I$88,3,0)*0.475*44/12</f>
        <v>27.283048164975853</v>
      </c>
      <c r="AW52" s="23">
        <f>EXP(-LN(2)/2)*AW51+(1-EXP(-LN(2)/2))/(LN(2)/2)*AQ52*AT52*VLOOKUP('Données projet'!$B$10,Paramètres!$A$1:$I$88,3,0)*0.475*44/12</f>
        <v>1.5216151211818383</v>
      </c>
      <c r="AX52" s="23">
        <f t="shared" si="6"/>
        <v>51.411550120922954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66.500174184186278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8.1999999999999993</v>
      </c>
      <c r="BD52" s="13">
        <f>IF('Données projet'!$A$88&gt;35,BD51+BC52-BL51,IF(A52&lt;'Données projet'!$A$88,$BA$205^A52,IF(A52='Données projet'!$A$88,'Données projet'!$B$88,BD51+BC52-BL51)))</f>
        <v>169.8</v>
      </c>
      <c r="BE52" s="14">
        <f>BD52*VLOOKUP('Données projet'!$B$11,Paramètres!$A$1:$I$88,3,0)*VLOOKUP('Données projet'!$B$11,Paramètres!$A$1:$I$88,5,0)</f>
        <v>193.36824000000001</v>
      </c>
      <c r="BF52" s="14">
        <f t="shared" si="37"/>
        <v>48.283859604107981</v>
      </c>
      <c r="BG52" s="22">
        <f t="shared" si="7"/>
        <v>420.87740681048808</v>
      </c>
      <c r="BH52" s="62">
        <f t="shared" si="8"/>
        <v>701.37804548583767</v>
      </c>
      <c r="BI52" s="62">
        <f ca="1">AVERAGE(OFFSET($BH$3,0,0,'Données projet'!$E$11+1,1))-AVERAGE(OFFSET($H$3,0,0,'Données projet'!$E$11+1,1))</f>
        <v>470.57532875732056</v>
      </c>
      <c r="BJ52" s="62">
        <f t="shared" si="38"/>
        <v>286.63787681165888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projet'!$B$11,Paramètres!$A$1:$I$88,3,0)*0.475*44/12</f>
        <v>4.0028453698842474</v>
      </c>
      <c r="BQ52" s="23">
        <f>EXP(-LN(2)/25)*BQ51+(1-EXP(-LN(2)/25))/(LN(2)/25)*Calculateur!BL52*Calculateur!BN52*VLOOKUP('Données projet'!$B$11,Paramètres!$A$1:$I$88,3,0)*0.475*44/12</f>
        <v>0</v>
      </c>
      <c r="BR52" s="23">
        <f>EXP(-LN(2)/2)*BR51+(1-EXP(-LN(2)/2))/(LN(2)/2)*BL52*BO52*VLOOKUP('Données projet'!$B$11,Paramètres!$A$1:$I$88,3,0)*0.475*44/12</f>
        <v>0</v>
      </c>
      <c r="BS52" s="24">
        <f t="shared" si="9"/>
        <v>4.0028453698842474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66.500174184186278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8.6</v>
      </c>
      <c r="BY52" s="13">
        <f>IF('Données projet'!$A$114&gt;35,BY51+BX52-CG51,IF(A52&lt;'Données projet'!$A$114,$BV$205^A52,IF(A52='Données projet'!$A$114,'Données projet'!$B$114,BY51+BX52-CG51)))</f>
        <v>252.40000000000003</v>
      </c>
      <c r="BZ52" s="14">
        <f>BY52*VLOOKUP('Données projet'!$B$12,Paramètres!$A$1:$I$88,3,0)*VLOOKUP('Données projet'!$B$12,Paramètres!$A$1:$I$88,5,0)</f>
        <v>165.37248000000002</v>
      </c>
      <c r="CA52" s="14">
        <f t="shared" si="39"/>
        <v>42.051954238472845</v>
      </c>
      <c r="CB52" s="22">
        <f t="shared" si="10"/>
        <v>361.26422296534025</v>
      </c>
      <c r="CC52" s="62">
        <f t="shared" si="11"/>
        <v>641.7648616406899</v>
      </c>
      <c r="CD52" s="62">
        <f ca="1">AVERAGE(OFFSET($CC$3,0,0,'Données projet'!$E$12+1,1))-AVERAGE(OFFSET($H$3,0,0,'Données projet'!$E$12+1,1))</f>
        <v>305.38855494899906</v>
      </c>
      <c r="CE52" s="62">
        <f t="shared" si="40"/>
        <v>298.48106301229177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projet'!$B$12,Paramètres!$A$1:$I$88,3,0)*0.475*44/12</f>
        <v>6.4602553821883495</v>
      </c>
      <c r="CL52" s="23">
        <f>EXP(-LN(2)/25)*CL51+(1-EXP(-LN(2)/25))/(LN(2)/25)*Calculateur!CG52*Calculateur!CI52*VLOOKUP('Données projet'!$B$12,Paramètres!$A$1:$I$88,3,0)*0.475*44/12</f>
        <v>0</v>
      </c>
      <c r="CM52" s="23">
        <f>EXP(-LN(2)/2)*CM51+(1-EXP(-LN(2)/2))/(LN(2)/2)*CG52*CJ52*VLOOKUP('Données projet'!$B$12,Paramètres!$A$1:$I$88,3,0)*0.475*44/12</f>
        <v>0</v>
      </c>
      <c r="CN52" s="24">
        <f t="shared" si="12"/>
        <v>6.4602553821883495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66.500174184186278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8.6</v>
      </c>
      <c r="CT52" s="13">
        <f>IF('Données projet'!$A$140&gt;35,CT51+CS52-DB51,IF(A52&lt;'Données projet'!$A$140,$CQ$205^A52,IF(A52='Données projet'!$A$140,'Données projet'!$B$140,CT51+CS52-DB51)))</f>
        <v>252.40000000000003</v>
      </c>
      <c r="CU52" s="18">
        <f>CT52*VLOOKUP('Données projet'!$B$13,Paramètres!$A$1:$I$88,3,0)*VLOOKUP('Données projet'!$B$13,Paramètres!$A$1:$I$88,5,0)</f>
        <v>200.80944000000002</v>
      </c>
      <c r="CV52" s="14">
        <f t="shared" si="41"/>
        <v>49.922016299484312</v>
      </c>
      <c r="CW52" s="22">
        <f t="shared" si="13"/>
        <v>436.69061972160188</v>
      </c>
      <c r="CX52" s="62">
        <f t="shared" si="14"/>
        <v>717.19125839695153</v>
      </c>
      <c r="CY52" s="62">
        <f ca="1">AVERAGE(OFFSET($CX$3,0,0,'Données projet'!$E$13+1,1))-AVERAGE(OFFSET($H$3,0,0,'Données projet'!$E$13+1,1))</f>
        <v>361.30066984973894</v>
      </c>
      <c r="CZ52" s="62">
        <f t="shared" si="42"/>
        <v>351.78053157121622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projet'!$B$13,Paramètres!$A$1:$I$88,3,0)*0.475*44/12</f>
        <v>9.6689204308167813</v>
      </c>
      <c r="DG52" s="23">
        <f>EXP(-LN(2)/25)*DG51+(1-EXP(-LN(2)/25))/(LN(2)/25)*Calculateur!DB52*Calculateur!DD52*VLOOKUP('Données projet'!$B$13,Paramètres!$A$1:$I$88,3,0)*0.475*44/12</f>
        <v>0</v>
      </c>
      <c r="DH52" s="23">
        <f>EXP(-LN(2)/2)*DH51+(1-EXP(-LN(2)/2))/(LN(2)/2)*DB52*DE52*VLOOKUP('Données projet'!$B$13,Paramètres!$A$1:$I$88,3,0)*0.475*44/12</f>
        <v>0</v>
      </c>
      <c r="DI52" s="24">
        <f t="shared" si="15"/>
        <v>9.6689204308167813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66.500174184186278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>
        <f>DO52*VLOOKUP('Données projet'!$B$14,Paramètres!$A$1:$I$88,3,0)*VLOOKUP('Données projet'!$B$14,Paramètres!$A$1:$I$88,5,0)</f>
        <v>0</v>
      </c>
      <c r="DQ52" s="14" t="e">
        <f t="shared" si="43"/>
        <v>#NUM!</v>
      </c>
      <c r="DR52" s="22" t="e">
        <f t="shared" si="16"/>
        <v>#NUM!</v>
      </c>
      <c r="DS52" s="62" t="e">
        <f t="shared" si="17"/>
        <v>#NUM!</v>
      </c>
      <c r="DT52" s="62">
        <f ca="1">AVERAGE(OFFSET($DS$3,0,0,'Données projet'!$E$14+1,1))-AVERAGE(OFFSET($H$3,0,0,'Données projet'!$E$14+1,1))</f>
        <v>91.201152634762423</v>
      </c>
      <c r="DU52" s="62">
        <f t="shared" si="44"/>
        <v>233.36981992862445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projet'!$B$14,Paramètres!$A$1:$I$88,3,0)*0.475*44/12</f>
        <v>28.456397042181266</v>
      </c>
      <c r="EB52" s="23">
        <f>EXP(-LN(2)/25)*EB51+(1-EXP(-LN(2)/25))/(LN(2)/25)*Calculateur!DW52*Calculateur!DY52*VLOOKUP('Données projet'!$B$14,Paramètres!$A$1:$I$88,3,0)*0.475*44/12</f>
        <v>0</v>
      </c>
      <c r="EC52" s="23">
        <f>EXP(-LN(2)/2)*EC51+(1-EXP(-LN(2)/2))/(LN(2)/2)*DW52*DZ52*VLOOKUP('Données projet'!$B$14,Paramètres!$A$1:$I$88,3,0)*0.475*44/12</f>
        <v>0</v>
      </c>
      <c r="ED52" s="24">
        <f t="shared" si="18"/>
        <v>28.456397042181266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66.500174184186278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projet'!$B$15,Paramètres!$A$1:$I$88,3,0)*0.475*44/12</f>
        <v>#N/A</v>
      </c>
      <c r="EW52" s="23" t="e">
        <f>EXP(-LN(2)/25)*EW51+(1-EXP(-LN(2)/25))/(LN(2)/25)*Calculateur!ER52*Calculateur!ET52*VLOOKUP('Données projet'!$B$15,Paramètres!$A$1:$I$88,3,0)*0.475*44/12</f>
        <v>#N/A</v>
      </c>
      <c r="EX52" s="23" t="e">
        <f>EXP(-LN(2)/2)*EX51+(1-EXP(-LN(2)/2))/(LN(2)/2)*ER52*EU52*VLOOKUP('Données projet'!$B$15,Paramètres!$A$1:$I$88,3,0)*0.475*44/12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66.500174184186278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projet'!$B$16,Paramètres!$A$1:$I$88,3,0)*0.475*44/12</f>
        <v>#N/A</v>
      </c>
      <c r="FR52" s="23" t="e">
        <f>EXP(-LN(2)/25)*FR51+(1-EXP(-LN(2)/25))/(LN(2)/25)*Calculateur!FM52*Calculateur!FO52*VLOOKUP('Données projet'!$B$16,Paramètres!$A$1:$I$88,3,0)*0.475*44/12</f>
        <v>#N/A</v>
      </c>
      <c r="FS52" s="23" t="e">
        <f>EXP(-LN(2)/2)*FS51+(1-EXP(-LN(2)/2))/(LN(2)/2)*FM52*FP52*VLOOKUP('Données projet'!$B$16,Paramètres!$A$1:$I$88,3,0)*0.475*44/12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66.500174184186278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projet'!$B$17,Paramètres!$A$1:$I$88,3,0)*0.475*44/12</f>
        <v>#N/A</v>
      </c>
      <c r="GM52" s="23" t="e">
        <f>EXP(-LN(2)/25)*GM51+(1-EXP(-LN(2)/25))/(LN(2)/25)*Calculateur!GH52*Calculateur!GJ52*VLOOKUP('Données projet'!$B$17,Paramètres!$A$1:$I$88,3,0)*0.475*44/12</f>
        <v>#N/A</v>
      </c>
      <c r="GN52" s="23" t="e">
        <f>EXP(-LN(2)/2)*GN51+(1-EXP(-LN(2)/2))/(LN(2)/2)*GH52*GK52*VLOOKUP('Données projet'!$B$17,Paramètres!$A$1:$I$88,3,0)*0.475*44/12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66.500174184186278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projet'!$B$18,Paramètres!$A$1:$I$88,3,0)*0.475*44/12</f>
        <v>#N/A</v>
      </c>
      <c r="HH52" s="23" t="e">
        <f>EXP(-LN(2)/25)*HH51+(1-EXP(-LN(2)/25))/(LN(2)/25)*Calculateur!HC52*Calculateur!HE52*VLOOKUP('Données projet'!$B$18,Paramètres!$A$1:$I$88,3,0)*0.475*44/12</f>
        <v>#N/A</v>
      </c>
      <c r="HI52" s="23" t="e">
        <f>EXP(-LN(2)/2)*HI51+(1-EXP(-LN(2)/2))/(LN(2)/2)*HC52*HF52*VLOOKUP('Données projet'!$B$18,Paramètres!$A$1:$I$88,3,0)*0.475*44/12</f>
        <v>#N/A</v>
      </c>
      <c r="HJ52" s="24" t="e">
        <f t="shared" si="30"/>
        <v>#N/A</v>
      </c>
    </row>
    <row r="53" spans="1:218" s="5" customFormat="1" x14ac:dyDescent="0.2">
      <c r="A53" s="11">
        <f t="shared" si="31"/>
        <v>50</v>
      </c>
      <c r="B53" s="77">
        <f>'Scénario référence'!$B$16*5+'Scénario référence'!$B$17*0+'Scénario référence'!$B$18*5</f>
        <v>1.6500000000000001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6.0500000000000007</v>
      </c>
      <c r="H53" s="70">
        <f t="shared" si="1"/>
        <v>232.4666666666667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66.560888337652315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563</v>
      </c>
      <c r="L53" s="13">
        <f>VLOOKUP(A53,'Données projet'!$A$35:$I$55,9,0)</f>
        <v>21.8</v>
      </c>
      <c r="M53" s="13">
        <f t="array" ref="M53">INDEX(L:L,MIN(IF(ISNUMBER(L53:L249),ROW(L53:L249),"")))</f>
        <v>21.8</v>
      </c>
      <c r="N53" s="14">
        <f>IF('Données projet'!$A$36&gt;35,N52+M53-V52,IF(A53&lt;'Données projet'!$A$36,$K$205^A53,IF(A53='Données projet'!$A$36,'Données projet'!$B$36,N52+M53-V52)))</f>
        <v>563.00000000000011</v>
      </c>
      <c r="O53" s="14">
        <f>N53*VLOOKUP('Données projet'!$B$9,Paramètres!$A$1:$I$88,3,0)*VLOOKUP('Données projet'!$B$9,Paramètres!$A$1:$I$88,5,0)</f>
        <v>336.67400000000009</v>
      </c>
      <c r="P53" s="14">
        <f t="shared" si="33"/>
        <v>78.812381102074809</v>
      </c>
      <c r="Q53" s="22">
        <f t="shared" si="53"/>
        <v>723.63878041944702</v>
      </c>
      <c r="R53" s="62">
        <f t="shared" si="0"/>
        <v>1004.3620376575054</v>
      </c>
      <c r="S53" s="62">
        <f ca="1">AVERAGE(OFFSET($R$3,0,0,'Données projet'!$E$9+1,1))-AVERAGE(OFFSET($H$3,0,0,'Données projet'!$E$9+1,1))</f>
        <v>354.71367224254021</v>
      </c>
      <c r="T53" s="62">
        <f t="shared" si="34"/>
        <v>490.074370133397</v>
      </c>
      <c r="U53" s="16">
        <f>IF(ISNA(VLOOKUP(A53,'Données projet'!$A$35:$I$55,3,0)),0,VLOOKUP(A53,'Données projet'!$A$35:$I$55,3,0))</f>
        <v>8</v>
      </c>
      <c r="V53" s="16">
        <f>IF(ISNA(VLOOKUP(A53,'Données projet'!$A$35:$I$55,4,0)),0,VLOOKUP(A53,'Données projet'!$A$35:$I$55,4,0))</f>
        <v>563</v>
      </c>
      <c r="W53" s="17">
        <f>IF(ISNA(VLOOKUP(A53,'Données projet'!$A$35:$I$55,5,0)),0%,VLOOKUP(A53,'Données projet'!$A$35:$I$55,5,0)*VLOOKUP('Données projet'!$B$9,Paramètres!$A$1:$I$88,7,0))</f>
        <v>0.40500000000000003</v>
      </c>
      <c r="X53" s="17">
        <f>IF(ISNA(VLOOKUP(A53,'Données projet'!$A$35:$I$55,6,0)),0%,VLOOKUP(A53,'Données projet'!$A$35:$I$55,6,0)*VLOOKUP('Données projet'!$B$9,Paramètres!$A$1:$I$88,7,0))</f>
        <v>2.52E-2</v>
      </c>
      <c r="Y53" s="17">
        <f>IF(ISNA(VLOOKUP(A53,'Données projet'!$A$35:$I$55,7,0)),0%,VLOOKUP(A53,'Données projet'!$A$35:$I$55,7,0))</f>
        <v>4.3999999999999997E-2</v>
      </c>
      <c r="Z53" s="23">
        <f>EXP(-LN(2)/35)*Z52+(1-EXP(-LN(2)/35))/(LN(2)/35)*V53*W53*VLOOKUP('Données projet'!$B$9,Paramètres!$A$1:$I$88,3,0)*0.475*44/12</f>
        <v>211.18529967197617</v>
      </c>
      <c r="AA53" s="23">
        <f>EXP(-LN(2)/25)*AA52+(1-EXP(-LN(2)/25))/(LN(2)/25)*Calculateur!V53*Calculateur!X53*VLOOKUP('Données projet'!$B$9,Paramètres!$A$1:$I$88,3,0)*0.475*44/12</f>
        <v>48.883923854718269</v>
      </c>
      <c r="AB53" s="23">
        <f>EXP(-LN(2)/2)*AB52+(1-EXP(-LN(2)/2))/(LN(2)/2)*V53*Y53*VLOOKUP('Données projet'!$B$9,Paramètres!$A$1:$I$88,3,0)*0.475*44/12</f>
        <v>18.214769437242573</v>
      </c>
      <c r="AC53" s="24">
        <f t="shared" si="3"/>
        <v>278.28399296393701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66.560888337652315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392</v>
      </c>
      <c r="AG53" s="13">
        <f>VLOOKUP(A53,'Données projet'!$A$61:$I$81,9,0)</f>
        <v>14.8</v>
      </c>
      <c r="AH53" s="13">
        <f t="array" ref="AH53">INDEX(AG:AG,MIN(IF(ISNUMBER(AG53:AG249),ROW(AG53:AG249),"")))</f>
        <v>14.8</v>
      </c>
      <c r="AI53" s="14">
        <f>IF('Données projet'!$A$62&gt;35,AI52+AH53-AQ52,IF(A53&lt;'Données projet'!$A$62,$AF$205^A53,IF(A53='Données projet'!$A$62,'Données projet'!$B$62,AI52+AH53-AQ52)))</f>
        <v>392.00000000000023</v>
      </c>
      <c r="AJ53" s="14">
        <f>AI53*VLOOKUP('Données projet'!$B$10,Paramètres!$A$1:$I$88,3,0)*VLOOKUP('Données projet'!$B$10,Paramètres!$A$1:$I$88,5,0)</f>
        <v>234.41600000000014</v>
      </c>
      <c r="AK53" s="14">
        <f t="shared" si="35"/>
        <v>57.236464545088474</v>
      </c>
      <c r="AL53" s="22">
        <f t="shared" si="4"/>
        <v>507.96137574936262</v>
      </c>
      <c r="AM53" s="62">
        <f t="shared" si="5"/>
        <v>788.68463298742108</v>
      </c>
      <c r="AN53" s="62">
        <f ca="1">AVERAGE(OFFSET($AM$3,0,0,'Données projet'!$E$10+1,1))-AVERAGE(OFFSET($H$3,0,0,'Données projet'!$E$10+1,1))</f>
        <v>264.73276096087574</v>
      </c>
      <c r="AO53" s="62">
        <f t="shared" si="36"/>
        <v>381.84464918049662</v>
      </c>
      <c r="AP53" s="16">
        <f>IF(ISNA(VLOOKUP(A53,'Données projet'!$A$61:$I$81,3,0)),0,VLOOKUP(A53,'Données projet'!$A$61:$I$81,3,0))</f>
        <v>8</v>
      </c>
      <c r="AQ53" s="16">
        <f>IF(ISNA(VLOOKUP(A53,'Données projet'!$A$61:$I$81,4,0)),0,VLOOKUP(A53,'Données projet'!$A$61:$I$81,4,0))</f>
        <v>392</v>
      </c>
      <c r="AR53" s="17">
        <f>IF(ISNA(VLOOKUP(A53,'Données projet'!$A$61:$I$81,5,0)),0%,VLOOKUP(A53,'Données projet'!$A$61:$I$81,5,0)*VLOOKUP('Données projet'!$B$10,Paramètres!$A$1:$I$88,7,0))</f>
        <v>0.40500000000000003</v>
      </c>
      <c r="AS53" s="17">
        <f>IF(ISNA(VLOOKUP(A53,'Données projet'!$A$61:$I$81,6,0)),0%,VLOOKUP(A53,'Données projet'!$A$61:$I$81,6,0)*VLOOKUP('Données projet'!$B$10,Paramètres!$A$1:$I$88,7,0))</f>
        <v>2.52E-2</v>
      </c>
      <c r="AT53" s="17">
        <f>IF(ISNA(VLOOKUP(A53,'Données projet'!$A$61:$I$81,7,0)),0%,VLOOKUP(A53,'Données projet'!$A$61:$I$81,7,0))</f>
        <v>4.3999999999999997E-2</v>
      </c>
      <c r="AU53" s="23">
        <f>EXP(-LN(2)/35)*AU52+(1-EXP(-LN(2)/35))/(LN(2)/35)*AQ53*AR53*VLOOKUP('Données projet'!$B$10,Paramètres!$A$1:$I$88,3,0)*0.475*44/12</f>
        <v>148.10559259423263</v>
      </c>
      <c r="AV53" s="23">
        <f>EXP(-LN(2)/25)*AV52+(1-EXP(-LN(2)/25))/(LN(2)/25)*Calculateur!AQ53*Calculateur!AS53*VLOOKUP('Données projet'!$B$10,Paramètres!$A$1:$I$88,3,0)*0.475*44/12</f>
        <v>34.342528838592877</v>
      </c>
      <c r="AW53" s="23">
        <f>EXP(-LN(2)/2)*AW52+(1-EXP(-LN(2)/2))/(LN(2)/2)*AQ53*AT53*VLOOKUP('Données projet'!$B$10,Paramètres!$A$1:$I$88,3,0)*0.475*44/12</f>
        <v>12.754132485850086</v>
      </c>
      <c r="AX53" s="23">
        <f t="shared" si="6"/>
        <v>195.20225391867558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66.560888337652315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178</v>
      </c>
      <c r="BB53" s="13">
        <f>VLOOKUP(A53,'Données projet'!$A$87:$I$107,9,0)</f>
        <v>8.1999999999999993</v>
      </c>
      <c r="BC53" s="13">
        <f t="array" ref="BC53">INDEX(BB:BB,MIN(IF(ISNUMBER(BB53:BB249),ROW(BB53:BB249),"")))</f>
        <v>8.1999999999999993</v>
      </c>
      <c r="BD53" s="13">
        <f>IF('Données projet'!$A$88&gt;35,BD52+BC53-BL52,IF(A53&lt;'Données projet'!$A$88,$BA$205^A53,IF(A53='Données projet'!$A$88,'Données projet'!$B$88,BD52+BC53-BL52)))</f>
        <v>178</v>
      </c>
      <c r="BE53" s="14">
        <f>BD53*VLOOKUP('Données projet'!$B$11,Paramètres!$A$1:$I$88,3,0)*VLOOKUP('Données projet'!$B$11,Paramètres!$A$1:$I$88,5,0)</f>
        <v>202.7064</v>
      </c>
      <c r="BF53" s="14">
        <f t="shared" si="37"/>
        <v>50.338486442784266</v>
      </c>
      <c r="BG53" s="22">
        <f t="shared" si="7"/>
        <v>440.71984388784927</v>
      </c>
      <c r="BH53" s="62">
        <f t="shared" si="8"/>
        <v>721.44310112590779</v>
      </c>
      <c r="BI53" s="62">
        <f ca="1">AVERAGE(OFFSET($BH$3,0,0,'Données projet'!$E$11+1,1))-AVERAGE(OFFSET($H$3,0,0,'Données projet'!$E$11+1,1))</f>
        <v>470.57532875732056</v>
      </c>
      <c r="BJ53" s="62">
        <f t="shared" si="38"/>
        <v>286.63787681165888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21</v>
      </c>
      <c r="BM53" s="17">
        <f>IF(ISNA(VLOOKUP(A53,'Données projet'!$A$87:$I$107,5,0)),0%,VLOOKUP(A53,'Données projet'!$A$87:$I$107,5,0)*VLOOKUP('Données projet'!$B$11,Paramètres!$A$1:$I$88,7,0))</f>
        <v>8.6000000000000007E-2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projet'!$B$11,Paramètres!$A$1:$I$88,3,0)*0.475*44/12</f>
        <v>6.197942874466511</v>
      </c>
      <c r="BQ53" s="23">
        <f>EXP(-LN(2)/25)*BQ52+(1-EXP(-LN(2)/25))/(LN(2)/25)*Calculateur!BL53*Calculateur!BN53*VLOOKUP('Données projet'!$B$11,Paramètres!$A$1:$I$88,3,0)*0.475*44/12</f>
        <v>0</v>
      </c>
      <c r="BR53" s="23">
        <f>EXP(-LN(2)/2)*BR52+(1-EXP(-LN(2)/2))/(LN(2)/2)*BL53*BO53*VLOOKUP('Données projet'!$B$11,Paramètres!$A$1:$I$88,3,0)*0.475*44/12</f>
        <v>0</v>
      </c>
      <c r="BS53" s="24">
        <f t="shared" si="9"/>
        <v>6.197942874466511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66.560888337652315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261</v>
      </c>
      <c r="BW53" s="13">
        <f>VLOOKUP(A53,'Données projet'!$A$113:$I$133,9,0)</f>
        <v>8.6</v>
      </c>
      <c r="BX53" s="13">
        <f t="array" ref="BX53">INDEX(BW:BW,MIN(IF(ISNUMBER(BW53:BW249),ROW(BW53:BW249),"")))</f>
        <v>8.6</v>
      </c>
      <c r="BY53" s="13">
        <f>IF('Données projet'!$A$114&gt;35,BY52+BX53-CG52,IF(A53&lt;'Données projet'!$A$114,$BV$205^A53,IF(A53='Données projet'!$A$114,'Données projet'!$B$114,BY52+BX53-CG52)))</f>
        <v>261.00000000000006</v>
      </c>
      <c r="BZ53" s="14">
        <f>BY53*VLOOKUP('Données projet'!$B$12,Paramètres!$A$1:$I$88,3,0)*VLOOKUP('Données projet'!$B$12,Paramètres!$A$1:$I$88,5,0)</f>
        <v>171.00720000000004</v>
      </c>
      <c r="CA53" s="14">
        <f t="shared" si="39"/>
        <v>43.315525267338089</v>
      </c>
      <c r="CB53" s="22">
        <f t="shared" si="10"/>
        <v>373.27874650728057</v>
      </c>
      <c r="CC53" s="62">
        <f t="shared" si="11"/>
        <v>654.00200374533904</v>
      </c>
      <c r="CD53" s="62">
        <f ca="1">AVERAGE(OFFSET($CC$3,0,0,'Données projet'!$E$12+1,1))-AVERAGE(OFFSET($H$3,0,0,'Données projet'!$E$12+1,1))</f>
        <v>305.38855494899906</v>
      </c>
      <c r="CE53" s="62">
        <f t="shared" si="40"/>
        <v>298.48106301229177</v>
      </c>
      <c r="CF53" s="16">
        <f>IF(ISNA(VLOOKUP(A53,'Données projet'!$A$113:$I$133,3,0)),0,VLOOKUP(A53,'Données projet'!$A$113:$I$133,3,0))</f>
        <v>9</v>
      </c>
      <c r="CG53" s="16">
        <f>IF(ISNA(VLOOKUP(A53,'Données projet'!$A$113:$I$133,4,0)),0,VLOOKUP(A53,'Données projet'!$A$113:$I$133,4,0))</f>
        <v>19</v>
      </c>
      <c r="CH53" s="17">
        <f>IF(ISNA(VLOOKUP(A53,'Données projet'!$A$113:$I$133,5,0)),0%,VLOOKUP(A53,'Données projet'!$A$113:$I$133,5,0)*VLOOKUP('Données projet'!$B$12,Paramètres!$A$1:$I$88,7,0))</f>
        <v>0.17200000000000001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projet'!$B$12,Paramètres!$A$1:$I$88,3,0)*0.475*44/12</f>
        <v>8.7005998161558633</v>
      </c>
      <c r="CL53" s="23">
        <f>EXP(-LN(2)/25)*CL52+(1-EXP(-LN(2)/25))/(LN(2)/25)*Calculateur!CG53*Calculateur!CI53*VLOOKUP('Données projet'!$B$12,Paramètres!$A$1:$I$88,3,0)*0.475*44/12</f>
        <v>0</v>
      </c>
      <c r="CM53" s="23">
        <f>EXP(-LN(2)/2)*CM52+(1-EXP(-LN(2)/2))/(LN(2)/2)*CG53*CJ53*VLOOKUP('Données projet'!$B$12,Paramètres!$A$1:$I$88,3,0)*0.475*44/12</f>
        <v>0</v>
      </c>
      <c r="CN53" s="24">
        <f t="shared" si="12"/>
        <v>8.7005998161558633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66.560888337652315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261</v>
      </c>
      <c r="CR53" s="13">
        <f>VLOOKUP(A53,'Données projet'!$A$139:$I$159,9,0)</f>
        <v>8.6</v>
      </c>
      <c r="CS53" s="13">
        <f t="array" ref="CS53">INDEX(CR:CR,MIN(IF(ISNUMBER(CR53:CR249),ROW(CR53:CR249),"")))</f>
        <v>8.6</v>
      </c>
      <c r="CT53" s="13">
        <f>IF('Données projet'!$A$140&gt;35,CT52+CS53-DB52,IF(A53&lt;'Données projet'!$A$140,$CQ$205^A53,IF(A53='Données projet'!$A$140,'Données projet'!$B$140,CT52+CS53-DB52)))</f>
        <v>261.00000000000006</v>
      </c>
      <c r="CU53" s="18">
        <f>CT53*VLOOKUP('Données projet'!$B$13,Paramètres!$A$1:$I$88,3,0)*VLOOKUP('Données projet'!$B$13,Paramètres!$A$1:$I$88,5,0)</f>
        <v>207.65160000000006</v>
      </c>
      <c r="CV53" s="14">
        <f t="shared" si="41"/>
        <v>51.422065813018108</v>
      </c>
      <c r="CW53" s="22">
        <f t="shared" si="13"/>
        <v>451.2199679576733</v>
      </c>
      <c r="CX53" s="62">
        <f t="shared" si="14"/>
        <v>731.94322519573177</v>
      </c>
      <c r="CY53" s="62">
        <f ca="1">AVERAGE(OFFSET($CX$3,0,0,'Données projet'!$E$13+1,1))-AVERAGE(OFFSET($H$3,0,0,'Données projet'!$E$13+1,1))</f>
        <v>361.30066984973894</v>
      </c>
      <c r="CZ53" s="62">
        <f t="shared" si="42"/>
        <v>351.78053157121622</v>
      </c>
      <c r="DA53" s="16">
        <f>IF(ISNA(VLOOKUP(A53,'Données projet'!$A$139:$I$159,3,0)),0,VLOOKUP(A53,'Données projet'!$A$139:$I$159,3,0))</f>
        <v>9</v>
      </c>
      <c r="DB53" s="16">
        <f>IF(ISNA(VLOOKUP(A53,'Données projet'!$A$139:$I$159,4,0)),0,VLOOKUP(A53,'Données projet'!$A$139:$I$159,4,0))</f>
        <v>19</v>
      </c>
      <c r="DC53" s="17">
        <f>IF(ISNA(VLOOKUP(A53,'Données projet'!$A$139:$I$159,5,0)),0%,VLOOKUP(A53,'Données projet'!$A$139:$I$159,5,0)*VLOOKUP('Données projet'!$B$13,Paramètres!$A$1:$I$88,7,0))</f>
        <v>0.21200000000000002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projet'!$B$13,Paramètres!$A$1:$I$88,3,0)*0.475*44/12</f>
        <v>13.021994077004042</v>
      </c>
      <c r="DG53" s="23">
        <f>EXP(-LN(2)/25)*DG52+(1-EXP(-LN(2)/25))/(LN(2)/25)*Calculateur!DB53*Calculateur!DD53*VLOOKUP('Données projet'!$B$13,Paramètres!$A$1:$I$88,3,0)*0.475*44/12</f>
        <v>0</v>
      </c>
      <c r="DH53" s="23">
        <f>EXP(-LN(2)/2)*DH52+(1-EXP(-LN(2)/2))/(LN(2)/2)*DB53*DE53*VLOOKUP('Données projet'!$B$13,Paramètres!$A$1:$I$88,3,0)*0.475*44/12</f>
        <v>0</v>
      </c>
      <c r="DI53" s="24">
        <f t="shared" si="15"/>
        <v>13.021994077004042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66.560888337652315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>
        <f>DO53*VLOOKUP('Données projet'!$B$14,Paramètres!$A$1:$I$88,3,0)*VLOOKUP('Données projet'!$B$14,Paramètres!$A$1:$I$88,5,0)</f>
        <v>0</v>
      </c>
      <c r="DQ53" s="14" t="e">
        <f t="shared" si="43"/>
        <v>#NUM!</v>
      </c>
      <c r="DR53" s="22" t="e">
        <f t="shared" si="16"/>
        <v>#NUM!</v>
      </c>
      <c r="DS53" s="62" t="e">
        <f t="shared" si="17"/>
        <v>#NUM!</v>
      </c>
      <c r="DT53" s="62">
        <f ca="1">AVERAGE(OFFSET($DS$3,0,0,'Données projet'!$E$14+1,1))-AVERAGE(OFFSET($H$3,0,0,'Données projet'!$E$14+1,1))</f>
        <v>91.201152634762423</v>
      </c>
      <c r="DU53" s="62">
        <f t="shared" si="44"/>
        <v>233.36981992862445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projet'!$B$14,Paramètres!$A$1:$I$88,3,0)*0.475*44/12</f>
        <v>27.898384452872456</v>
      </c>
      <c r="EB53" s="23">
        <f>EXP(-LN(2)/25)*EB52+(1-EXP(-LN(2)/25))/(LN(2)/25)*Calculateur!DW53*Calculateur!DY53*VLOOKUP('Données projet'!$B$14,Paramètres!$A$1:$I$88,3,0)*0.475*44/12</f>
        <v>0</v>
      </c>
      <c r="EC53" s="23">
        <f>EXP(-LN(2)/2)*EC52+(1-EXP(-LN(2)/2))/(LN(2)/2)*DW53*DZ53*VLOOKUP('Données projet'!$B$14,Paramètres!$A$1:$I$88,3,0)*0.475*44/12</f>
        <v>0</v>
      </c>
      <c r="ED53" s="24">
        <f t="shared" si="18"/>
        <v>27.898384452872456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66.560888337652315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projet'!$B$15,Paramètres!$A$1:$I$88,3,0)*0.475*44/12</f>
        <v>#N/A</v>
      </c>
      <c r="EW53" s="23" t="e">
        <f>EXP(-LN(2)/25)*EW52+(1-EXP(-LN(2)/25))/(LN(2)/25)*Calculateur!ER53*Calculateur!ET53*VLOOKUP('Données projet'!$B$15,Paramètres!$A$1:$I$88,3,0)*0.475*44/12</f>
        <v>#N/A</v>
      </c>
      <c r="EX53" s="23" t="e">
        <f>EXP(-LN(2)/2)*EX52+(1-EXP(-LN(2)/2))/(LN(2)/2)*ER53*EU53*VLOOKUP('Données projet'!$B$15,Paramètres!$A$1:$I$88,3,0)*0.475*44/12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66.560888337652315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projet'!$B$16,Paramètres!$A$1:$I$88,3,0)*0.475*44/12</f>
        <v>#N/A</v>
      </c>
      <c r="FR53" s="23" t="e">
        <f>EXP(-LN(2)/25)*FR52+(1-EXP(-LN(2)/25))/(LN(2)/25)*Calculateur!FM53*Calculateur!FO53*VLOOKUP('Données projet'!$B$16,Paramètres!$A$1:$I$88,3,0)*0.475*44/12</f>
        <v>#N/A</v>
      </c>
      <c r="FS53" s="23" t="e">
        <f>EXP(-LN(2)/2)*FS52+(1-EXP(-LN(2)/2))/(LN(2)/2)*FM53*FP53*VLOOKUP('Données projet'!$B$16,Paramètres!$A$1:$I$88,3,0)*0.475*44/12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66.560888337652315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projet'!$B$17,Paramètres!$A$1:$I$88,3,0)*0.475*44/12</f>
        <v>#N/A</v>
      </c>
      <c r="GM53" s="23" t="e">
        <f>EXP(-LN(2)/25)*GM52+(1-EXP(-LN(2)/25))/(LN(2)/25)*Calculateur!GH53*Calculateur!GJ53*VLOOKUP('Données projet'!$B$17,Paramètres!$A$1:$I$88,3,0)*0.475*44/12</f>
        <v>#N/A</v>
      </c>
      <c r="GN53" s="23" t="e">
        <f>EXP(-LN(2)/2)*GN52+(1-EXP(-LN(2)/2))/(LN(2)/2)*GH53*GK53*VLOOKUP('Données projet'!$B$17,Paramètres!$A$1:$I$88,3,0)*0.475*44/12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66.560888337652315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projet'!$B$18,Paramètres!$A$1:$I$88,3,0)*0.475*44/12</f>
        <v>#N/A</v>
      </c>
      <c r="HH53" s="23" t="e">
        <f>EXP(-LN(2)/25)*HH52+(1-EXP(-LN(2)/25))/(LN(2)/25)*Calculateur!HC53*Calculateur!HE53*VLOOKUP('Données projet'!$B$18,Paramètres!$A$1:$I$88,3,0)*0.475*44/12</f>
        <v>#N/A</v>
      </c>
      <c r="HI53" s="23" t="e">
        <f>EXP(-LN(2)/2)*HI52+(1-EXP(-LN(2)/2))/(LN(2)/2)*HC53*HF53*VLOOKUP('Données projet'!$B$18,Paramètres!$A$1:$I$88,3,0)*0.475*44/12</f>
        <v>#N/A</v>
      </c>
      <c r="HJ53" s="24" t="e">
        <f t="shared" si="30"/>
        <v>#N/A</v>
      </c>
    </row>
    <row r="54" spans="1:218" s="5" customFormat="1" x14ac:dyDescent="0.2">
      <c r="A54" s="11">
        <f t="shared" si="31"/>
        <v>51</v>
      </c>
      <c r="B54" s="77">
        <f>'Scénario référence'!$B$16*5+'Scénario référence'!$B$17*0+'Scénario référence'!$B$18*5</f>
        <v>1.6500000000000001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6.0500000000000007</v>
      </c>
      <c r="H54" s="70">
        <f t="shared" si="1"/>
        <v>232.4666666666667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66.62054923629222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projet'!$B$9,Paramètres!$A$1:$I$88,3,0)*VLOOKUP('Données projet'!$B$9,Paramètres!$A$1:$I$88,5,0)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280.9420138664068</v>
      </c>
      <c r="S54" s="62">
        <f ca="1">AVERAGE(OFFSET($R$3,0,0,'Données projet'!$E$9+1,1))-AVERAGE(OFFSET($H$3,0,0,'Données projet'!$E$9+1,1))</f>
        <v>354.71367224254021</v>
      </c>
      <c r="T54" s="62">
        <f t="shared" si="34"/>
        <v>490.074370133397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207.04408475572257</v>
      </c>
      <c r="AA54" s="23">
        <f>EXP(-LN(2)/25)*AA53+(1-EXP(-LN(2)/25))/(LN(2)/25)*Calculateur!V54*Calculateur!X54*VLOOKUP('Données projet'!$B$9,Paramètres!$A$1:$I$88,3,0)*0.475*44/12</f>
        <v>47.547190386217167</v>
      </c>
      <c r="AB54" s="23">
        <f>EXP(-LN(2)/2)*AB53+(1-EXP(-LN(2)/2))/(LN(2)/2)*V54*Y54*VLOOKUP('Données projet'!$B$9,Paramètres!$A$1:$I$88,3,0)*0.475*44/12</f>
        <v>12.879786986823699</v>
      </c>
      <c r="AC54" s="24">
        <f t="shared" si="3"/>
        <v>267.47106212876344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66.62054923629222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2.2737367544323206E-13</v>
      </c>
      <c r="AJ54" s="14">
        <f>AI54*VLOOKUP('Données projet'!$B$10,Paramètres!$A$1:$I$88,3,0)*VLOOKUP('Données projet'!$B$10,Paramètres!$A$1:$I$88,5,0)</f>
        <v>1.3596945791505279E-13</v>
      </c>
      <c r="AK54" s="14">
        <f t="shared" si="35"/>
        <v>1.9708830566360721E-12</v>
      </c>
      <c r="AL54" s="22">
        <f t="shared" si="4"/>
        <v>3.669434796176543E-12</v>
      </c>
      <c r="AM54" s="62">
        <f t="shared" si="5"/>
        <v>280.9420138664085</v>
      </c>
      <c r="AN54" s="62">
        <f ca="1">AVERAGE(OFFSET($AM$3,0,0,'Données projet'!$E$10+1,1))-AVERAGE(OFFSET($H$3,0,0,'Données projet'!$E$10+1,1))</f>
        <v>264.73276096087574</v>
      </c>
      <c r="AO54" s="62">
        <f t="shared" si="36"/>
        <v>381.84464918049662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projet'!$B$10,Paramètres!$A$1:$I$88,3,0)*0.475*44/12</f>
        <v>145.20133225895131</v>
      </c>
      <c r="AV54" s="23">
        <f>EXP(-LN(2)/25)*AV53+(1-EXP(-LN(2)/25))/(LN(2)/25)*Calculateur!AQ54*Calculateur!AS54*VLOOKUP('Données projet'!$B$10,Paramètres!$A$1:$I$88,3,0)*0.475*44/12</f>
        <v>33.403430581506456</v>
      </c>
      <c r="AW54" s="23">
        <f>EXP(-LN(2)/2)*AW53+(1-EXP(-LN(2)/2))/(LN(2)/2)*AQ54*AT54*VLOOKUP('Données projet'!$B$10,Paramètres!$A$1:$I$88,3,0)*0.475*44/12</f>
        <v>9.0185335688962347</v>
      </c>
      <c r="AX54" s="23">
        <f t="shared" si="6"/>
        <v>187.623296409354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66.62054923629222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165</v>
      </c>
      <c r="BE54" s="14">
        <f>BD54*VLOOKUP('Données projet'!$B$11,Paramètres!$A$1:$I$88,3,0)*VLOOKUP('Données projet'!$B$11,Paramètres!$A$1:$I$88,5,0)</f>
        <v>187.90200000000002</v>
      </c>
      <c r="BF54" s="14">
        <f t="shared" si="37"/>
        <v>47.075815521257859</v>
      </c>
      <c r="BG54" s="22">
        <f t="shared" si="7"/>
        <v>409.25302869952412</v>
      </c>
      <c r="BH54" s="62">
        <f t="shared" si="8"/>
        <v>690.19504256592893</v>
      </c>
      <c r="BI54" s="62">
        <f ca="1">AVERAGE(OFFSET($BH$3,0,0,'Données projet'!$E$11+1,1))-AVERAGE(OFFSET($H$3,0,0,'Données projet'!$E$11+1,1))</f>
        <v>470.57532875732056</v>
      </c>
      <c r="BJ54" s="62">
        <f t="shared" si="38"/>
        <v>286.63787681165888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projet'!$B$11,Paramètres!$A$1:$I$88,3,0)*0.475*44/12</f>
        <v>6.0764049950700958</v>
      </c>
      <c r="BQ54" s="23">
        <f>EXP(-LN(2)/25)*BQ53+(1-EXP(-LN(2)/25))/(LN(2)/25)*Calculateur!BL54*Calculateur!BN54*VLOOKUP('Données projet'!$B$11,Paramètres!$A$1:$I$88,3,0)*0.475*44/12</f>
        <v>0</v>
      </c>
      <c r="BR54" s="23">
        <f>EXP(-LN(2)/2)*BR53+(1-EXP(-LN(2)/2))/(LN(2)/2)*BL54*BO54*VLOOKUP('Données projet'!$B$11,Paramètres!$A$1:$I$88,3,0)*0.475*44/12</f>
        <v>0</v>
      </c>
      <c r="BS54" s="24">
        <f t="shared" si="9"/>
        <v>6.0764049950700958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66.62054923629222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7.4</v>
      </c>
      <c r="BY54" s="13">
        <f>IF('Données projet'!$A$114&gt;35,BY53+BX54-CG53,IF(A54&lt;'Données projet'!$A$114,$BV$205^A54,IF(A54='Données projet'!$A$114,'Données projet'!$B$114,BY53+BX54-CG53)))</f>
        <v>249.40000000000003</v>
      </c>
      <c r="BZ54" s="14">
        <f>BY54*VLOOKUP('Données projet'!$B$12,Paramètres!$A$1:$I$88,3,0)*VLOOKUP('Données projet'!$B$12,Paramètres!$A$1:$I$88,5,0)</f>
        <v>163.40688</v>
      </c>
      <c r="CA54" s="14">
        <f t="shared" si="39"/>
        <v>41.610001881769797</v>
      </c>
      <c r="CB54" s="22">
        <f t="shared" si="10"/>
        <v>357.07106927741569</v>
      </c>
      <c r="CC54" s="62">
        <f t="shared" si="11"/>
        <v>638.0130831438205</v>
      </c>
      <c r="CD54" s="62">
        <f ca="1">AVERAGE(OFFSET($CC$3,0,0,'Données projet'!$E$12+1,1))-AVERAGE(OFFSET($H$3,0,0,'Données projet'!$E$12+1,1))</f>
        <v>305.38855494899906</v>
      </c>
      <c r="CE54" s="62">
        <f t="shared" si="40"/>
        <v>298.48106301229177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projet'!$B$12,Paramètres!$A$1:$I$88,3,0)*0.475*44/12</f>
        <v>8.529986360602928</v>
      </c>
      <c r="CL54" s="23">
        <f>EXP(-LN(2)/25)*CL53+(1-EXP(-LN(2)/25))/(LN(2)/25)*Calculateur!CG54*Calculateur!CI54*VLOOKUP('Données projet'!$B$12,Paramètres!$A$1:$I$88,3,0)*0.475*44/12</f>
        <v>0</v>
      </c>
      <c r="CM54" s="23">
        <f>EXP(-LN(2)/2)*CM53+(1-EXP(-LN(2)/2))/(LN(2)/2)*CG54*CJ54*VLOOKUP('Données projet'!$B$12,Paramètres!$A$1:$I$88,3,0)*0.475*44/12</f>
        <v>0</v>
      </c>
      <c r="CN54" s="24">
        <f t="shared" si="12"/>
        <v>8.529986360602928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66.62054923629222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7.4</v>
      </c>
      <c r="CT54" s="13">
        <f>IF('Données projet'!$A$140&gt;35,CT53+CS54-DB53,IF(A54&lt;'Données projet'!$A$140,$CQ$205^A54,IF(A54='Données projet'!$A$140,'Données projet'!$B$140,CT53+CS54-DB53)))</f>
        <v>249.40000000000003</v>
      </c>
      <c r="CU54" s="18">
        <f>CT54*VLOOKUP('Données projet'!$B$13,Paramètres!$A$1:$I$88,3,0)*VLOOKUP('Données projet'!$B$13,Paramètres!$A$1:$I$88,5,0)</f>
        <v>198.42264000000003</v>
      </c>
      <c r="CV54" s="14">
        <f t="shared" si="41"/>
        <v>49.397352151183256</v>
      </c>
      <c r="CW54" s="22">
        <f t="shared" si="13"/>
        <v>431.61981966331086</v>
      </c>
      <c r="CX54" s="62">
        <f t="shared" si="14"/>
        <v>712.56183352971561</v>
      </c>
      <c r="CY54" s="62">
        <f ca="1">AVERAGE(OFFSET($CX$3,0,0,'Données projet'!$E$13+1,1))-AVERAGE(OFFSET($H$3,0,0,'Données projet'!$E$13+1,1))</f>
        <v>361.30066984973894</v>
      </c>
      <c r="CZ54" s="62">
        <f t="shared" si="42"/>
        <v>351.78053157121622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projet'!$B$13,Paramètres!$A$1:$I$88,3,0)*0.475*44/12</f>
        <v>12.76664071578611</v>
      </c>
      <c r="DG54" s="23">
        <f>EXP(-LN(2)/25)*DG53+(1-EXP(-LN(2)/25))/(LN(2)/25)*Calculateur!DB54*Calculateur!DD54*VLOOKUP('Données projet'!$B$13,Paramètres!$A$1:$I$88,3,0)*0.475*44/12</f>
        <v>0</v>
      </c>
      <c r="DH54" s="23">
        <f>EXP(-LN(2)/2)*DH53+(1-EXP(-LN(2)/2))/(LN(2)/2)*DB54*DE54*VLOOKUP('Données projet'!$B$13,Paramètres!$A$1:$I$88,3,0)*0.475*44/12</f>
        <v>0</v>
      </c>
      <c r="DI54" s="24">
        <f t="shared" si="15"/>
        <v>12.76664071578611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66.62054923629222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>
        <f>DO54*VLOOKUP('Données projet'!$B$14,Paramètres!$A$1:$I$88,3,0)*VLOOKUP('Données projet'!$B$14,Paramètres!$A$1:$I$88,5,0)</f>
        <v>0</v>
      </c>
      <c r="DQ54" s="14" t="e">
        <f t="shared" si="43"/>
        <v>#NUM!</v>
      </c>
      <c r="DR54" s="22" t="e">
        <f t="shared" si="16"/>
        <v>#NUM!</v>
      </c>
      <c r="DS54" s="62" t="e">
        <f t="shared" si="17"/>
        <v>#NUM!</v>
      </c>
      <c r="DT54" s="62">
        <f ca="1">AVERAGE(OFFSET($DS$3,0,0,'Données projet'!$E$14+1,1))-AVERAGE(OFFSET($H$3,0,0,'Données projet'!$E$14+1,1))</f>
        <v>91.201152634762423</v>
      </c>
      <c r="DU54" s="62">
        <f t="shared" si="44"/>
        <v>233.36981992862445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projet'!$B$14,Paramètres!$A$1:$I$88,3,0)*0.475*44/12</f>
        <v>27.351314150085919</v>
      </c>
      <c r="EB54" s="23">
        <f>EXP(-LN(2)/25)*EB53+(1-EXP(-LN(2)/25))/(LN(2)/25)*Calculateur!DW54*Calculateur!DY54*VLOOKUP('Données projet'!$B$14,Paramètres!$A$1:$I$88,3,0)*0.475*44/12</f>
        <v>0</v>
      </c>
      <c r="EC54" s="23">
        <f>EXP(-LN(2)/2)*EC53+(1-EXP(-LN(2)/2))/(LN(2)/2)*DW54*DZ54*VLOOKUP('Données projet'!$B$14,Paramètres!$A$1:$I$88,3,0)*0.475*44/12</f>
        <v>0</v>
      </c>
      <c r="ED54" s="24">
        <f t="shared" si="18"/>
        <v>27.351314150085919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66.62054923629222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projet'!$B$15,Paramètres!$A$1:$I$88,3,0)*0.475*44/12</f>
        <v>#N/A</v>
      </c>
      <c r="EW54" s="23" t="e">
        <f>EXP(-LN(2)/25)*EW53+(1-EXP(-LN(2)/25))/(LN(2)/25)*Calculateur!ER54*Calculateur!ET54*VLOOKUP('Données projet'!$B$15,Paramètres!$A$1:$I$88,3,0)*0.475*44/12</f>
        <v>#N/A</v>
      </c>
      <c r="EX54" s="23" t="e">
        <f>EXP(-LN(2)/2)*EX53+(1-EXP(-LN(2)/2))/(LN(2)/2)*ER54*EU54*VLOOKUP('Données projet'!$B$15,Paramètres!$A$1:$I$88,3,0)*0.475*44/12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66.62054923629222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projet'!$B$16,Paramètres!$A$1:$I$88,3,0)*0.475*44/12</f>
        <v>#N/A</v>
      </c>
      <c r="FR54" s="23" t="e">
        <f>EXP(-LN(2)/25)*FR53+(1-EXP(-LN(2)/25))/(LN(2)/25)*Calculateur!FM54*Calculateur!FO54*VLOOKUP('Données projet'!$B$16,Paramètres!$A$1:$I$88,3,0)*0.475*44/12</f>
        <v>#N/A</v>
      </c>
      <c r="FS54" s="23" t="e">
        <f>EXP(-LN(2)/2)*FS53+(1-EXP(-LN(2)/2))/(LN(2)/2)*FM54*FP54*VLOOKUP('Données projet'!$B$16,Paramètres!$A$1:$I$88,3,0)*0.475*44/12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66.62054923629222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projet'!$B$17,Paramètres!$A$1:$I$88,3,0)*0.475*44/12</f>
        <v>#N/A</v>
      </c>
      <c r="GM54" s="23" t="e">
        <f>EXP(-LN(2)/25)*GM53+(1-EXP(-LN(2)/25))/(LN(2)/25)*Calculateur!GH54*Calculateur!GJ54*VLOOKUP('Données projet'!$B$17,Paramètres!$A$1:$I$88,3,0)*0.475*44/12</f>
        <v>#N/A</v>
      </c>
      <c r="GN54" s="23" t="e">
        <f>EXP(-LN(2)/2)*GN53+(1-EXP(-LN(2)/2))/(LN(2)/2)*GH54*GK54*VLOOKUP('Données projet'!$B$17,Paramètres!$A$1:$I$88,3,0)*0.475*44/12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66.62054923629222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projet'!$B$18,Paramètres!$A$1:$I$88,3,0)*0.475*44/12</f>
        <v>#N/A</v>
      </c>
      <c r="HH54" s="23" t="e">
        <f>EXP(-LN(2)/25)*HH53+(1-EXP(-LN(2)/25))/(LN(2)/25)*Calculateur!HC54*Calculateur!HE54*VLOOKUP('Données projet'!$B$18,Paramètres!$A$1:$I$88,3,0)*0.475*44/12</f>
        <v>#N/A</v>
      </c>
      <c r="HI54" s="23" t="e">
        <f>EXP(-LN(2)/2)*HI53+(1-EXP(-LN(2)/2))/(LN(2)/2)*HC54*HF54*VLOOKUP('Données projet'!$B$18,Paramètres!$A$1:$I$88,3,0)*0.475*44/12</f>
        <v>#N/A</v>
      </c>
      <c r="HJ54" s="24" t="e">
        <f t="shared" si="30"/>
        <v>#N/A</v>
      </c>
    </row>
    <row r="55" spans="1:218" s="5" customFormat="1" x14ac:dyDescent="0.2">
      <c r="A55" s="11">
        <f t="shared" si="31"/>
        <v>52</v>
      </c>
      <c r="B55" s="77">
        <f>'Scénario référence'!$B$16*5+'Scénario référence'!$B$17*0+'Scénario référence'!$B$18*5</f>
        <v>1.6500000000000001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6.0500000000000007</v>
      </c>
      <c r="H55" s="70">
        <f t="shared" si="1"/>
        <v>232.4666666666667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66.679175151722518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projet'!$B$9,Paramètres!$A$1:$I$88,3,0)*VLOOKUP('Données projet'!$B$9,Paramètres!$A$1:$I$88,5,0)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281.15697555631789</v>
      </c>
      <c r="S55" s="62">
        <f ca="1">AVERAGE(OFFSET($R$3,0,0,'Données projet'!$E$9+1,1))-AVERAGE(OFFSET($H$3,0,0,'Données projet'!$E$9+1,1))</f>
        <v>354.71367224254021</v>
      </c>
      <c r="T55" s="62">
        <f t="shared" si="34"/>
        <v>490.074370133397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202.98407653808499</v>
      </c>
      <c r="AA55" s="23">
        <f>EXP(-LN(2)/25)*AA54+(1-EXP(-LN(2)/25))/(LN(2)/25)*Calculateur!V55*Calculateur!X55*VLOOKUP('Données projet'!$B$9,Paramètres!$A$1:$I$88,3,0)*0.475*44/12</f>
        <v>46.247009964707985</v>
      </c>
      <c r="AB55" s="23">
        <f>EXP(-LN(2)/2)*AB54+(1-EXP(-LN(2)/2))/(LN(2)/2)*V55*Y55*VLOOKUP('Données projet'!$B$9,Paramètres!$A$1:$I$88,3,0)*0.475*44/12</f>
        <v>9.1073847186212884</v>
      </c>
      <c r="AC55" s="24">
        <f t="shared" si="3"/>
        <v>258.33847122141424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66.679175151722518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2.2737367544323206E-13</v>
      </c>
      <c r="AJ55" s="14">
        <f>AI55*VLOOKUP('Données projet'!$B$10,Paramètres!$A$1:$I$88,3,0)*VLOOKUP('Données projet'!$B$10,Paramètres!$A$1:$I$88,5,0)</f>
        <v>1.3596945791505279E-13</v>
      </c>
      <c r="AK55" s="14">
        <f t="shared" si="35"/>
        <v>1.9708830566360721E-12</v>
      </c>
      <c r="AL55" s="22">
        <f t="shared" si="4"/>
        <v>3.669434796176543E-12</v>
      </c>
      <c r="AM55" s="62">
        <f t="shared" si="5"/>
        <v>281.15697555631959</v>
      </c>
      <c r="AN55" s="62">
        <f ca="1">AVERAGE(OFFSET($AM$3,0,0,'Données projet'!$E$10+1,1))-AVERAGE(OFFSET($H$3,0,0,'Données projet'!$E$10+1,1))</f>
        <v>264.73276096087574</v>
      </c>
      <c r="AO55" s="62">
        <f t="shared" si="36"/>
        <v>381.84464918049662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projet'!$B$10,Paramètres!$A$1:$I$88,3,0)*0.475*44/12</f>
        <v>142.35402269742099</v>
      </c>
      <c r="AV55" s="23">
        <f>EXP(-LN(2)/25)*AV54+(1-EXP(-LN(2)/25))/(LN(2)/25)*Calculateur!AQ55*Calculateur!AS55*VLOOKUP('Données projet'!$B$10,Paramètres!$A$1:$I$88,3,0)*0.475*44/12</f>
        <v>32.490012015645092</v>
      </c>
      <c r="AW55" s="23">
        <f>EXP(-LN(2)/2)*AW54+(1-EXP(-LN(2)/2))/(LN(2)/2)*AQ55*AT55*VLOOKUP('Données projet'!$B$10,Paramètres!$A$1:$I$88,3,0)*0.475*44/12</f>
        <v>6.3770662429250438</v>
      </c>
      <c r="AX55" s="23">
        <f t="shared" si="6"/>
        <v>181.22110095599115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66.679175151722518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173</v>
      </c>
      <c r="BE55" s="14">
        <f>BD55*VLOOKUP('Données projet'!$B$11,Paramètres!$A$1:$I$88,3,0)*VLOOKUP('Données projet'!$B$11,Paramètres!$A$1:$I$88,5,0)</f>
        <v>197.01239999999999</v>
      </c>
      <c r="BF55" s="14">
        <f t="shared" si="37"/>
        <v>49.087009643867567</v>
      </c>
      <c r="BG55" s="22">
        <f t="shared" si="7"/>
        <v>428.62313846306932</v>
      </c>
      <c r="BH55" s="62">
        <f t="shared" si="8"/>
        <v>709.78011401938522</v>
      </c>
      <c r="BI55" s="62">
        <f ca="1">AVERAGE(OFFSET($BH$3,0,0,'Données projet'!$E$11+1,1))-AVERAGE(OFFSET($H$3,0,0,'Données projet'!$E$11+1,1))</f>
        <v>470.57532875732056</v>
      </c>
      <c r="BJ55" s="62">
        <f t="shared" si="38"/>
        <v>286.63787681165888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projet'!$B$11,Paramètres!$A$1:$I$88,3,0)*0.475*44/12</f>
        <v>5.9572503993578572</v>
      </c>
      <c r="BQ55" s="23">
        <f>EXP(-LN(2)/25)*BQ54+(1-EXP(-LN(2)/25))/(LN(2)/25)*Calculateur!BL55*Calculateur!BN55*VLOOKUP('Données projet'!$B$11,Paramètres!$A$1:$I$88,3,0)*0.475*44/12</f>
        <v>0</v>
      </c>
      <c r="BR55" s="23">
        <f>EXP(-LN(2)/2)*BR54+(1-EXP(-LN(2)/2))/(LN(2)/2)*BL55*BO55*VLOOKUP('Données projet'!$B$11,Paramètres!$A$1:$I$88,3,0)*0.475*44/12</f>
        <v>0</v>
      </c>
      <c r="BS55" s="24">
        <f t="shared" si="9"/>
        <v>5.9572503993578572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66.679175151722518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7.4</v>
      </c>
      <c r="BY55" s="13">
        <f>IF('Données projet'!$A$114&gt;35,BY54+BX55-CG54,IF(A55&lt;'Données projet'!$A$114,$BV$205^A55,IF(A55='Données projet'!$A$114,'Données projet'!$B$114,BY54+BX55-CG54)))</f>
        <v>256.8</v>
      </c>
      <c r="BZ55" s="14">
        <f>BY55*VLOOKUP('Données projet'!$B$12,Paramètres!$A$1:$I$88,3,0)*VLOOKUP('Données projet'!$B$12,Paramètres!$A$1:$I$88,5,0)</f>
        <v>168.25536</v>
      </c>
      <c r="CA55" s="14">
        <f t="shared" si="39"/>
        <v>42.699047982710887</v>
      </c>
      <c r="CB55" s="22">
        <f t="shared" si="10"/>
        <v>367.41226056988808</v>
      </c>
      <c r="CC55" s="62">
        <f t="shared" si="11"/>
        <v>648.56923612620403</v>
      </c>
      <c r="CD55" s="62">
        <f ca="1">AVERAGE(OFFSET($CC$3,0,0,'Données projet'!$E$12+1,1))-AVERAGE(OFFSET($H$3,0,0,'Données projet'!$E$12+1,1))</f>
        <v>305.38855494899906</v>
      </c>
      <c r="CE55" s="62">
        <f t="shared" si="40"/>
        <v>298.48106301229177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projet'!$B$12,Paramètres!$A$1:$I$88,3,0)*0.475*44/12</f>
        <v>8.3627185308494525</v>
      </c>
      <c r="CL55" s="23">
        <f>EXP(-LN(2)/25)*CL54+(1-EXP(-LN(2)/25))/(LN(2)/25)*Calculateur!CG55*Calculateur!CI55*VLOOKUP('Données projet'!$B$12,Paramètres!$A$1:$I$88,3,0)*0.475*44/12</f>
        <v>0</v>
      </c>
      <c r="CM55" s="23">
        <f>EXP(-LN(2)/2)*CM54+(1-EXP(-LN(2)/2))/(LN(2)/2)*CG55*CJ55*VLOOKUP('Données projet'!$B$12,Paramètres!$A$1:$I$88,3,0)*0.475*44/12</f>
        <v>0</v>
      </c>
      <c r="CN55" s="24">
        <f t="shared" si="12"/>
        <v>8.3627185308494525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66.679175151722518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7.4</v>
      </c>
      <c r="CT55" s="13">
        <f>IF('Données projet'!$A$140&gt;35,CT54+CS55-DB54,IF(A55&lt;'Données projet'!$A$140,$CQ$205^A55,IF(A55='Données projet'!$A$140,'Données projet'!$B$140,CT54+CS55-DB54)))</f>
        <v>256.8</v>
      </c>
      <c r="CU55" s="18">
        <f>CT55*VLOOKUP('Données projet'!$B$13,Paramètres!$A$1:$I$88,3,0)*VLOOKUP('Données projet'!$B$13,Paramètres!$A$1:$I$88,5,0)</f>
        <v>204.31008000000003</v>
      </c>
      <c r="CV55" s="14">
        <f t="shared" si="41"/>
        <v>50.690214235398379</v>
      </c>
      <c r="CW55" s="22">
        <f t="shared" si="13"/>
        <v>444.12551245998549</v>
      </c>
      <c r="CX55" s="62">
        <f t="shared" si="14"/>
        <v>725.28248801630139</v>
      </c>
      <c r="CY55" s="62">
        <f ca="1">AVERAGE(OFFSET($CX$3,0,0,'Données projet'!$E$13+1,1))-AVERAGE(OFFSET($H$3,0,0,'Données projet'!$E$13+1,1))</f>
        <v>361.30066984973894</v>
      </c>
      <c r="CZ55" s="62">
        <f t="shared" si="42"/>
        <v>351.78053157121622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projet'!$B$13,Paramètres!$A$1:$I$88,3,0)*0.475*44/12</f>
        <v>12.516294678231491</v>
      </c>
      <c r="DG55" s="23">
        <f>EXP(-LN(2)/25)*DG54+(1-EXP(-LN(2)/25))/(LN(2)/25)*Calculateur!DB55*Calculateur!DD55*VLOOKUP('Données projet'!$B$13,Paramètres!$A$1:$I$88,3,0)*0.475*44/12</f>
        <v>0</v>
      </c>
      <c r="DH55" s="23">
        <f>EXP(-LN(2)/2)*DH54+(1-EXP(-LN(2)/2))/(LN(2)/2)*DB55*DE55*VLOOKUP('Données projet'!$B$13,Paramètres!$A$1:$I$88,3,0)*0.475*44/12</f>
        <v>0</v>
      </c>
      <c r="DI55" s="24">
        <f t="shared" si="15"/>
        <v>12.516294678231491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66.679175151722518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>
        <f>DO55*VLOOKUP('Données projet'!$B$14,Paramètres!$A$1:$I$88,3,0)*VLOOKUP('Données projet'!$B$14,Paramètres!$A$1:$I$88,5,0)</f>
        <v>0</v>
      </c>
      <c r="DQ55" s="14" t="e">
        <f t="shared" si="43"/>
        <v>#NUM!</v>
      </c>
      <c r="DR55" s="22" t="e">
        <f t="shared" si="16"/>
        <v>#NUM!</v>
      </c>
      <c r="DS55" s="62" t="e">
        <f t="shared" si="17"/>
        <v>#NUM!</v>
      </c>
      <c r="DT55" s="62">
        <f ca="1">AVERAGE(OFFSET($DS$3,0,0,'Données projet'!$E$14+1,1))-AVERAGE(OFFSET($H$3,0,0,'Données projet'!$E$14+1,1))</f>
        <v>91.201152634762423</v>
      </c>
      <c r="DU55" s="62">
        <f t="shared" si="44"/>
        <v>233.36981992862445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projet'!$B$14,Paramètres!$A$1:$I$88,3,0)*0.475*44/12</f>
        <v>26.814971562257089</v>
      </c>
      <c r="EB55" s="23">
        <f>EXP(-LN(2)/25)*EB54+(1-EXP(-LN(2)/25))/(LN(2)/25)*Calculateur!DW55*Calculateur!DY55*VLOOKUP('Données projet'!$B$14,Paramètres!$A$1:$I$88,3,0)*0.475*44/12</f>
        <v>0</v>
      </c>
      <c r="EC55" s="23">
        <f>EXP(-LN(2)/2)*EC54+(1-EXP(-LN(2)/2))/(LN(2)/2)*DW55*DZ55*VLOOKUP('Données projet'!$B$14,Paramètres!$A$1:$I$88,3,0)*0.475*44/12</f>
        <v>0</v>
      </c>
      <c r="ED55" s="24">
        <f t="shared" si="18"/>
        <v>26.814971562257089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66.679175151722518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projet'!$B$15,Paramètres!$A$1:$I$88,3,0)*0.475*44/12</f>
        <v>#N/A</v>
      </c>
      <c r="EW55" s="23" t="e">
        <f>EXP(-LN(2)/25)*EW54+(1-EXP(-LN(2)/25))/(LN(2)/25)*Calculateur!ER55*Calculateur!ET55*VLOOKUP('Données projet'!$B$15,Paramètres!$A$1:$I$88,3,0)*0.475*44/12</f>
        <v>#N/A</v>
      </c>
      <c r="EX55" s="23" t="e">
        <f>EXP(-LN(2)/2)*EX54+(1-EXP(-LN(2)/2))/(LN(2)/2)*ER55*EU55*VLOOKUP('Données projet'!$B$15,Paramètres!$A$1:$I$88,3,0)*0.475*44/12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66.679175151722518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projet'!$B$16,Paramètres!$A$1:$I$88,3,0)*0.475*44/12</f>
        <v>#N/A</v>
      </c>
      <c r="FR55" s="23" t="e">
        <f>EXP(-LN(2)/25)*FR54+(1-EXP(-LN(2)/25))/(LN(2)/25)*Calculateur!FM55*Calculateur!FO55*VLOOKUP('Données projet'!$B$16,Paramètres!$A$1:$I$88,3,0)*0.475*44/12</f>
        <v>#N/A</v>
      </c>
      <c r="FS55" s="23" t="e">
        <f>EXP(-LN(2)/2)*FS54+(1-EXP(-LN(2)/2))/(LN(2)/2)*FM55*FP55*VLOOKUP('Données projet'!$B$16,Paramètres!$A$1:$I$88,3,0)*0.475*44/12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66.679175151722518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projet'!$B$17,Paramètres!$A$1:$I$88,3,0)*0.475*44/12</f>
        <v>#N/A</v>
      </c>
      <c r="GM55" s="23" t="e">
        <f>EXP(-LN(2)/25)*GM54+(1-EXP(-LN(2)/25))/(LN(2)/25)*Calculateur!GH55*Calculateur!GJ55*VLOOKUP('Données projet'!$B$17,Paramètres!$A$1:$I$88,3,0)*0.475*44/12</f>
        <v>#N/A</v>
      </c>
      <c r="GN55" s="23" t="e">
        <f>EXP(-LN(2)/2)*GN54+(1-EXP(-LN(2)/2))/(LN(2)/2)*GH55*GK55*VLOOKUP('Données projet'!$B$17,Paramètres!$A$1:$I$88,3,0)*0.475*44/12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66.679175151722518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projet'!$B$18,Paramètres!$A$1:$I$88,3,0)*0.475*44/12</f>
        <v>#N/A</v>
      </c>
      <c r="HH55" s="23" t="e">
        <f>EXP(-LN(2)/25)*HH54+(1-EXP(-LN(2)/25))/(LN(2)/25)*Calculateur!HC55*Calculateur!HE55*VLOOKUP('Données projet'!$B$18,Paramètres!$A$1:$I$88,3,0)*0.475*44/12</f>
        <v>#N/A</v>
      </c>
      <c r="HI55" s="23" t="e">
        <f>EXP(-LN(2)/2)*HI54+(1-EXP(-LN(2)/2))/(LN(2)/2)*HC55*HF55*VLOOKUP('Données projet'!$B$18,Paramètres!$A$1:$I$88,3,0)*0.475*44/12</f>
        <v>#N/A</v>
      </c>
      <c r="HJ55" s="24" t="e">
        <f t="shared" si="30"/>
        <v>#N/A</v>
      </c>
    </row>
    <row r="56" spans="1:218" s="5" customFormat="1" x14ac:dyDescent="0.2">
      <c r="A56" s="11">
        <f t="shared" si="31"/>
        <v>53</v>
      </c>
      <c r="B56" s="77">
        <f>'Scénario référence'!$B$16*5+'Scénario référence'!$B$17*0+'Scénario référence'!$B$18*5</f>
        <v>1.6500000000000001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6.0500000000000007</v>
      </c>
      <c r="H56" s="70">
        <f t="shared" si="1"/>
        <v>232.4666666666667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66.736784038587999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projet'!$B$9,Paramètres!$A$1:$I$88,3,0)*VLOOKUP('Données projet'!$B$9,Paramètres!$A$1:$I$88,5,0)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281.36820814149132</v>
      </c>
      <c r="S56" s="62">
        <f ca="1">AVERAGE(OFFSET($R$3,0,0,'Données projet'!$E$9+1,1))-AVERAGE(OFFSET($H$3,0,0,'Données projet'!$E$9+1,1))</f>
        <v>354.71367224254021</v>
      </c>
      <c r="T56" s="62">
        <f t="shared" si="34"/>
        <v>490.074370133397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199.00368260523481</v>
      </c>
      <c r="AA56" s="23">
        <f>EXP(-LN(2)/25)*AA55+(1-EXP(-LN(2)/25))/(LN(2)/25)*Calculateur!V56*Calculateur!X56*VLOOKUP('Données projet'!$B$9,Paramètres!$A$1:$I$88,3,0)*0.475*44/12</f>
        <v>44.982383045198489</v>
      </c>
      <c r="AB56" s="23">
        <f>EXP(-LN(2)/2)*AB55+(1-EXP(-LN(2)/2))/(LN(2)/2)*V56*Y56*VLOOKUP('Données projet'!$B$9,Paramètres!$A$1:$I$88,3,0)*0.475*44/12</f>
        <v>6.4398934934118506</v>
      </c>
      <c r="AC56" s="24">
        <f t="shared" si="3"/>
        <v>250.42595914384518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66.736784038587999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2.2737367544323206E-13</v>
      </c>
      <c r="AJ56" s="14">
        <f>AI56*VLOOKUP('Données projet'!$B$10,Paramètres!$A$1:$I$88,3,0)*VLOOKUP('Données projet'!$B$10,Paramètres!$A$1:$I$88,5,0)</f>
        <v>1.3596945791505279E-13</v>
      </c>
      <c r="AK56" s="14">
        <f t="shared" si="35"/>
        <v>1.9708830566360721E-12</v>
      </c>
      <c r="AL56" s="22">
        <f t="shared" si="4"/>
        <v>3.669434796176543E-12</v>
      </c>
      <c r="AM56" s="62">
        <f t="shared" si="5"/>
        <v>281.36820814149303</v>
      </c>
      <c r="AN56" s="62">
        <f ca="1">AVERAGE(OFFSET($AM$3,0,0,'Données projet'!$E$10+1,1))-AVERAGE(OFFSET($H$3,0,0,'Données projet'!$E$10+1,1))</f>
        <v>264.73276096087574</v>
      </c>
      <c r="AO56" s="62">
        <f t="shared" si="36"/>
        <v>381.84464918049662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projet'!$B$10,Paramètres!$A$1:$I$88,3,0)*0.475*44/12</f>
        <v>139.56254713970492</v>
      </c>
      <c r="AV56" s="23">
        <f>EXP(-LN(2)/25)*AV55+(1-EXP(-LN(2)/25))/(LN(2)/25)*Calculateur!AQ56*Calculateur!AS56*VLOOKUP('Données projet'!$B$10,Paramètres!$A$1:$I$88,3,0)*0.475*44/12</f>
        <v>31.601570928501804</v>
      </c>
      <c r="AW56" s="23">
        <f>EXP(-LN(2)/2)*AW55+(1-EXP(-LN(2)/2))/(LN(2)/2)*AQ56*AT56*VLOOKUP('Données projet'!$B$10,Paramètres!$A$1:$I$88,3,0)*0.475*44/12</f>
        <v>4.5092667844481182</v>
      </c>
      <c r="AX56" s="23">
        <f t="shared" si="6"/>
        <v>175.67338485265486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66.736784038587999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181</v>
      </c>
      <c r="BE56" s="14">
        <f>BD56*VLOOKUP('Données projet'!$B$11,Paramètres!$A$1:$I$88,3,0)*VLOOKUP('Données projet'!$B$11,Paramètres!$A$1:$I$88,5,0)</f>
        <v>206.12280000000001</v>
      </c>
      <c r="BF56" s="14">
        <f t="shared" si="37"/>
        <v>51.087403212899119</v>
      </c>
      <c r="BG56" s="22">
        <f t="shared" si="7"/>
        <v>447.97443726246598</v>
      </c>
      <c r="BH56" s="62">
        <f t="shared" si="8"/>
        <v>729.34264540395532</v>
      </c>
      <c r="BI56" s="62">
        <f ca="1">AVERAGE(OFFSET($BH$3,0,0,'Données projet'!$E$11+1,1))-AVERAGE(OFFSET($H$3,0,0,'Données projet'!$E$11+1,1))</f>
        <v>470.57532875732056</v>
      </c>
      <c r="BJ56" s="62">
        <f t="shared" si="38"/>
        <v>286.63787681165888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projet'!$B$11,Paramètres!$A$1:$I$88,3,0)*0.475*44/12</f>
        <v>5.8404323525904083</v>
      </c>
      <c r="BQ56" s="23">
        <f>EXP(-LN(2)/25)*BQ55+(1-EXP(-LN(2)/25))/(LN(2)/25)*Calculateur!BL56*Calculateur!BN56*VLOOKUP('Données projet'!$B$11,Paramètres!$A$1:$I$88,3,0)*0.475*44/12</f>
        <v>0</v>
      </c>
      <c r="BR56" s="23">
        <f>EXP(-LN(2)/2)*BR55+(1-EXP(-LN(2)/2))/(LN(2)/2)*BL56*BO56*VLOOKUP('Données projet'!$B$11,Paramètres!$A$1:$I$88,3,0)*0.475*44/12</f>
        <v>0</v>
      </c>
      <c r="BS56" s="24">
        <f t="shared" si="9"/>
        <v>5.8404323525904083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66.736784038587999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7.4</v>
      </c>
      <c r="BY56" s="13">
        <f>IF('Données projet'!$A$114&gt;35,BY55+BX56-CG55,IF(A56&lt;'Données projet'!$A$114,$BV$205^A56,IF(A56='Données projet'!$A$114,'Données projet'!$B$114,BY55+BX56-CG55)))</f>
        <v>264.2</v>
      </c>
      <c r="BZ56" s="14">
        <f>BY56*VLOOKUP('Données projet'!$B$12,Paramètres!$A$1:$I$88,3,0)*VLOOKUP('Données projet'!$B$12,Paramètres!$A$1:$I$88,5,0)</f>
        <v>173.10383999999999</v>
      </c>
      <c r="CA56" s="14">
        <f t="shared" si="39"/>
        <v>43.784446785172882</v>
      </c>
      <c r="CB56" s="22">
        <f t="shared" si="10"/>
        <v>377.74709948417603</v>
      </c>
      <c r="CC56" s="62">
        <f t="shared" si="11"/>
        <v>659.11530762566531</v>
      </c>
      <c r="CD56" s="62">
        <f ca="1">AVERAGE(OFFSET($CC$3,0,0,'Données projet'!$E$12+1,1))-AVERAGE(OFFSET($H$3,0,0,'Données projet'!$E$12+1,1))</f>
        <v>305.38855494899906</v>
      </c>
      <c r="CE56" s="62">
        <f t="shared" si="40"/>
        <v>298.48106301229177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projet'!$B$12,Paramètres!$A$1:$I$88,3,0)*0.475*44/12</f>
        <v>8.1987307212141403</v>
      </c>
      <c r="CL56" s="23">
        <f>EXP(-LN(2)/25)*CL55+(1-EXP(-LN(2)/25))/(LN(2)/25)*Calculateur!CG56*Calculateur!CI56*VLOOKUP('Données projet'!$B$12,Paramètres!$A$1:$I$88,3,0)*0.475*44/12</f>
        <v>0</v>
      </c>
      <c r="CM56" s="23">
        <f>EXP(-LN(2)/2)*CM55+(1-EXP(-LN(2)/2))/(LN(2)/2)*CG56*CJ56*VLOOKUP('Données projet'!$B$12,Paramètres!$A$1:$I$88,3,0)*0.475*44/12</f>
        <v>0</v>
      </c>
      <c r="CN56" s="24">
        <f t="shared" si="12"/>
        <v>8.1987307212141403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66.736784038587999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7.4</v>
      </c>
      <c r="CT56" s="13">
        <f>IF('Données projet'!$A$140&gt;35,CT55+CS56-DB55,IF(A56&lt;'Données projet'!$A$140,$CQ$205^A56,IF(A56='Données projet'!$A$140,'Données projet'!$B$140,CT55+CS56-DB55)))</f>
        <v>264.2</v>
      </c>
      <c r="CU56" s="18">
        <f>CT56*VLOOKUP('Données projet'!$B$13,Paramètres!$A$1:$I$88,3,0)*VLOOKUP('Données projet'!$B$13,Paramètres!$A$1:$I$88,5,0)</f>
        <v>210.19752</v>
      </c>
      <c r="CV56" s="14">
        <f t="shared" si="41"/>
        <v>51.978746425856599</v>
      </c>
      <c r="CW56" s="22">
        <f t="shared" si="13"/>
        <v>456.62366402503358</v>
      </c>
      <c r="CX56" s="62">
        <f t="shared" si="14"/>
        <v>737.99187216652285</v>
      </c>
      <c r="CY56" s="62">
        <f ca="1">AVERAGE(OFFSET($CX$3,0,0,'Données projet'!$E$13+1,1))-AVERAGE(OFFSET($H$3,0,0,'Données projet'!$E$13+1,1))</f>
        <v>361.30066984973894</v>
      </c>
      <c r="CZ56" s="62">
        <f t="shared" si="42"/>
        <v>351.78053157121622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projet'!$B$13,Paramètres!$A$1:$I$88,3,0)*0.475*44/12</f>
        <v>12.270857773777312</v>
      </c>
      <c r="DG56" s="23">
        <f>EXP(-LN(2)/25)*DG55+(1-EXP(-LN(2)/25))/(LN(2)/25)*Calculateur!DB56*Calculateur!DD56*VLOOKUP('Données projet'!$B$13,Paramètres!$A$1:$I$88,3,0)*0.475*44/12</f>
        <v>0</v>
      </c>
      <c r="DH56" s="23">
        <f>EXP(-LN(2)/2)*DH55+(1-EXP(-LN(2)/2))/(LN(2)/2)*DB56*DE56*VLOOKUP('Données projet'!$B$13,Paramètres!$A$1:$I$88,3,0)*0.475*44/12</f>
        <v>0</v>
      </c>
      <c r="DI56" s="24">
        <f t="shared" si="15"/>
        <v>12.270857773777312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66.736784038587999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>
        <f>DO56*VLOOKUP('Données projet'!$B$14,Paramètres!$A$1:$I$88,3,0)*VLOOKUP('Données projet'!$B$14,Paramètres!$A$1:$I$88,5,0)</f>
        <v>0</v>
      </c>
      <c r="DQ56" s="14" t="e">
        <f t="shared" si="43"/>
        <v>#NUM!</v>
      </c>
      <c r="DR56" s="22" t="e">
        <f t="shared" si="16"/>
        <v>#NUM!</v>
      </c>
      <c r="DS56" s="62" t="e">
        <f t="shared" si="17"/>
        <v>#NUM!</v>
      </c>
      <c r="DT56" s="62">
        <f ca="1">AVERAGE(OFFSET($DS$3,0,0,'Données projet'!$E$14+1,1))-AVERAGE(OFFSET($H$3,0,0,'Données projet'!$E$14+1,1))</f>
        <v>91.201152634762423</v>
      </c>
      <c r="DU56" s="62">
        <f t="shared" si="44"/>
        <v>233.36981992862445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projet'!$B$14,Paramètres!$A$1:$I$88,3,0)*0.475*44/12</f>
        <v>26.289146325438907</v>
      </c>
      <c r="EB56" s="23">
        <f>EXP(-LN(2)/25)*EB55+(1-EXP(-LN(2)/25))/(LN(2)/25)*Calculateur!DW56*Calculateur!DY56*VLOOKUP('Données projet'!$B$14,Paramètres!$A$1:$I$88,3,0)*0.475*44/12</f>
        <v>0</v>
      </c>
      <c r="EC56" s="23">
        <f>EXP(-LN(2)/2)*EC55+(1-EXP(-LN(2)/2))/(LN(2)/2)*DW56*DZ56*VLOOKUP('Données projet'!$B$14,Paramètres!$A$1:$I$88,3,0)*0.475*44/12</f>
        <v>0</v>
      </c>
      <c r="ED56" s="24">
        <f t="shared" si="18"/>
        <v>26.289146325438907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66.736784038587999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projet'!$B$15,Paramètres!$A$1:$I$88,3,0)*0.475*44/12</f>
        <v>#N/A</v>
      </c>
      <c r="EW56" s="23" t="e">
        <f>EXP(-LN(2)/25)*EW55+(1-EXP(-LN(2)/25))/(LN(2)/25)*Calculateur!ER56*Calculateur!ET56*VLOOKUP('Données projet'!$B$15,Paramètres!$A$1:$I$88,3,0)*0.475*44/12</f>
        <v>#N/A</v>
      </c>
      <c r="EX56" s="23" t="e">
        <f>EXP(-LN(2)/2)*EX55+(1-EXP(-LN(2)/2))/(LN(2)/2)*ER56*EU56*VLOOKUP('Données projet'!$B$15,Paramètres!$A$1:$I$88,3,0)*0.475*44/12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66.736784038587999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projet'!$B$16,Paramètres!$A$1:$I$88,3,0)*0.475*44/12</f>
        <v>#N/A</v>
      </c>
      <c r="FR56" s="23" t="e">
        <f>EXP(-LN(2)/25)*FR55+(1-EXP(-LN(2)/25))/(LN(2)/25)*Calculateur!FM56*Calculateur!FO56*VLOOKUP('Données projet'!$B$16,Paramètres!$A$1:$I$88,3,0)*0.475*44/12</f>
        <v>#N/A</v>
      </c>
      <c r="FS56" s="23" t="e">
        <f>EXP(-LN(2)/2)*FS55+(1-EXP(-LN(2)/2))/(LN(2)/2)*FM56*FP56*VLOOKUP('Données projet'!$B$16,Paramètres!$A$1:$I$88,3,0)*0.475*44/12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66.736784038587999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projet'!$B$17,Paramètres!$A$1:$I$88,3,0)*0.475*44/12</f>
        <v>#N/A</v>
      </c>
      <c r="GM56" s="23" t="e">
        <f>EXP(-LN(2)/25)*GM55+(1-EXP(-LN(2)/25))/(LN(2)/25)*Calculateur!GH56*Calculateur!GJ56*VLOOKUP('Données projet'!$B$17,Paramètres!$A$1:$I$88,3,0)*0.475*44/12</f>
        <v>#N/A</v>
      </c>
      <c r="GN56" s="23" t="e">
        <f>EXP(-LN(2)/2)*GN55+(1-EXP(-LN(2)/2))/(LN(2)/2)*GH56*GK56*VLOOKUP('Données projet'!$B$17,Paramètres!$A$1:$I$88,3,0)*0.475*44/12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66.736784038587999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projet'!$B$18,Paramètres!$A$1:$I$88,3,0)*0.475*44/12</f>
        <v>#N/A</v>
      </c>
      <c r="HH56" s="23" t="e">
        <f>EXP(-LN(2)/25)*HH55+(1-EXP(-LN(2)/25))/(LN(2)/25)*Calculateur!HC56*Calculateur!HE56*VLOOKUP('Données projet'!$B$18,Paramètres!$A$1:$I$88,3,0)*0.475*44/12</f>
        <v>#N/A</v>
      </c>
      <c r="HI56" s="23" t="e">
        <f>EXP(-LN(2)/2)*HI55+(1-EXP(-LN(2)/2))/(LN(2)/2)*HC56*HF56*VLOOKUP('Données projet'!$B$18,Paramètres!$A$1:$I$88,3,0)*0.475*44/12</f>
        <v>#N/A</v>
      </c>
      <c r="HJ56" s="24" t="e">
        <f t="shared" si="30"/>
        <v>#N/A</v>
      </c>
    </row>
    <row r="57" spans="1:218" s="5" customFormat="1" x14ac:dyDescent="0.2">
      <c r="A57" s="11">
        <f t="shared" si="31"/>
        <v>54</v>
      </c>
      <c r="B57" s="77">
        <f>'Scénario référence'!$B$16*5+'Scénario référence'!$B$17*0+'Scénario référence'!$B$18*5</f>
        <v>1.6500000000000001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6.0500000000000007</v>
      </c>
      <c r="H57" s="70">
        <f t="shared" si="1"/>
        <v>232.4666666666667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66.793393540060549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projet'!$B$9,Paramètres!$A$1:$I$88,3,0)*VLOOKUP('Données projet'!$B$9,Paramètres!$A$1:$I$88,5,0)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281.5757763135573</v>
      </c>
      <c r="S57" s="62">
        <f ca="1">AVERAGE(OFFSET($R$3,0,0,'Données projet'!$E$9+1,1))-AVERAGE(OFFSET($H$3,0,0,'Données projet'!$E$9+1,1))</f>
        <v>354.71367224254021</v>
      </c>
      <c r="T57" s="62">
        <f t="shared" si="34"/>
        <v>490.074370133397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195.10134176960725</v>
      </c>
      <c r="AA57" s="23">
        <f>EXP(-LN(2)/25)*AA56+(1-EXP(-LN(2)/25))/(LN(2)/25)*Calculateur!V57*Calculateur!X57*VLOOKUP('Données projet'!$B$9,Paramètres!$A$1:$I$88,3,0)*0.475*44/12</f>
        <v>43.752337415306819</v>
      </c>
      <c r="AB57" s="23">
        <f>EXP(-LN(2)/2)*AB56+(1-EXP(-LN(2)/2))/(LN(2)/2)*V57*Y57*VLOOKUP('Données projet'!$B$9,Paramètres!$A$1:$I$88,3,0)*0.475*44/12</f>
        <v>4.5536923593106451</v>
      </c>
      <c r="AC57" s="24">
        <f t="shared" si="3"/>
        <v>243.4073715442247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66.793393540060549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2.2737367544323206E-13</v>
      </c>
      <c r="AJ57" s="14">
        <f>AI57*VLOOKUP('Données projet'!$B$10,Paramètres!$A$1:$I$88,3,0)*VLOOKUP('Données projet'!$B$10,Paramètres!$A$1:$I$88,5,0)</f>
        <v>1.3596945791505279E-13</v>
      </c>
      <c r="AK57" s="14">
        <f t="shared" si="35"/>
        <v>1.9708830566360721E-12</v>
      </c>
      <c r="AL57" s="22">
        <f t="shared" si="4"/>
        <v>3.669434796176543E-12</v>
      </c>
      <c r="AM57" s="62">
        <f t="shared" si="5"/>
        <v>281.575776313559</v>
      </c>
      <c r="AN57" s="62">
        <f ca="1">AVERAGE(OFFSET($AM$3,0,0,'Données projet'!$E$10+1,1))-AVERAGE(OFFSET($H$3,0,0,'Données projet'!$E$10+1,1))</f>
        <v>264.73276096087574</v>
      </c>
      <c r="AO57" s="62">
        <f t="shared" si="36"/>
        <v>381.84464918049662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projet'!$B$10,Paramètres!$A$1:$I$88,3,0)*0.475*44/12</f>
        <v>136.8258107150437</v>
      </c>
      <c r="AV57" s="23">
        <f>EXP(-LN(2)/25)*AV56+(1-EXP(-LN(2)/25))/(LN(2)/25)*Calculateur!AQ57*Calculateur!AS57*VLOOKUP('Données projet'!$B$10,Paramètres!$A$1:$I$88,3,0)*0.475*44/12</f>
        <v>30.737424309607533</v>
      </c>
      <c r="AW57" s="23">
        <f>EXP(-LN(2)/2)*AW56+(1-EXP(-LN(2)/2))/(LN(2)/2)*AQ57*AT57*VLOOKUP('Données projet'!$B$10,Paramètres!$A$1:$I$88,3,0)*0.475*44/12</f>
        <v>3.1885331214625223</v>
      </c>
      <c r="AX57" s="23">
        <f t="shared" si="6"/>
        <v>170.75176814611376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66.793393540060549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189</v>
      </c>
      <c r="BE57" s="14">
        <f>BD57*VLOOKUP('Données projet'!$B$11,Paramètres!$A$1:$I$88,3,0)*VLOOKUP('Données projet'!$B$11,Paramètres!$A$1:$I$88,5,0)</f>
        <v>215.23320000000001</v>
      </c>
      <c r="BF57" s="14">
        <f t="shared" si="37"/>
        <v>53.077528152156454</v>
      </c>
      <c r="BG57" s="22">
        <f t="shared" si="7"/>
        <v>467.30785153167244</v>
      </c>
      <c r="BH57" s="62">
        <f t="shared" si="8"/>
        <v>748.88362784522769</v>
      </c>
      <c r="BI57" s="62">
        <f ca="1">AVERAGE(OFFSET($BH$3,0,0,'Données projet'!$E$11+1,1))-AVERAGE(OFFSET($H$3,0,0,'Données projet'!$E$11+1,1))</f>
        <v>470.57532875732056</v>
      </c>
      <c r="BJ57" s="62">
        <f t="shared" si="38"/>
        <v>286.63787681165888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projet'!$B$11,Paramètres!$A$1:$I$88,3,0)*0.475*44/12</f>
        <v>5.7259050364680961</v>
      </c>
      <c r="BQ57" s="23">
        <f>EXP(-LN(2)/25)*BQ56+(1-EXP(-LN(2)/25))/(LN(2)/25)*Calculateur!BL57*Calculateur!BN57*VLOOKUP('Données projet'!$B$11,Paramètres!$A$1:$I$88,3,0)*0.475*44/12</f>
        <v>0</v>
      </c>
      <c r="BR57" s="23">
        <f>EXP(-LN(2)/2)*BR56+(1-EXP(-LN(2)/2))/(LN(2)/2)*BL57*BO57*VLOOKUP('Données projet'!$B$11,Paramètres!$A$1:$I$88,3,0)*0.475*44/12</f>
        <v>0</v>
      </c>
      <c r="BS57" s="24">
        <f t="shared" si="9"/>
        <v>5.7259050364680961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66.793393540060549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7.4</v>
      </c>
      <c r="BY57" s="13">
        <f>IF('Données projet'!$A$114&gt;35,BY56+BX57-CG56,IF(A57&lt;'Données projet'!$A$114,$BV$205^A57,IF(A57='Données projet'!$A$114,'Données projet'!$B$114,BY56+BX57-CG56)))</f>
        <v>271.59999999999997</v>
      </c>
      <c r="BZ57" s="14">
        <f>BY57*VLOOKUP('Données projet'!$B$12,Paramètres!$A$1:$I$88,3,0)*VLOOKUP('Données projet'!$B$12,Paramètres!$A$1:$I$88,5,0)</f>
        <v>177.95231999999999</v>
      </c>
      <c r="CA57" s="14">
        <f t="shared" si="39"/>
        <v>44.866312182234566</v>
      </c>
      <c r="CB57" s="22">
        <f t="shared" si="10"/>
        <v>388.07578438405852</v>
      </c>
      <c r="CC57" s="62">
        <f t="shared" si="11"/>
        <v>669.65156069761383</v>
      </c>
      <c r="CD57" s="62">
        <f ca="1">AVERAGE(OFFSET($CC$3,0,0,'Données projet'!$E$12+1,1))-AVERAGE(OFFSET($H$3,0,0,'Données projet'!$E$12+1,1))</f>
        <v>305.38855494899906</v>
      </c>
      <c r="CE57" s="62">
        <f t="shared" si="40"/>
        <v>298.48106301229177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projet'!$B$12,Paramètres!$A$1:$I$88,3,0)*0.475*44/12</f>
        <v>8.0379586125030897</v>
      </c>
      <c r="CL57" s="23">
        <f>EXP(-LN(2)/25)*CL56+(1-EXP(-LN(2)/25))/(LN(2)/25)*Calculateur!CG57*Calculateur!CI57*VLOOKUP('Données projet'!$B$12,Paramètres!$A$1:$I$88,3,0)*0.475*44/12</f>
        <v>0</v>
      </c>
      <c r="CM57" s="23">
        <f>EXP(-LN(2)/2)*CM56+(1-EXP(-LN(2)/2))/(LN(2)/2)*CG57*CJ57*VLOOKUP('Données projet'!$B$12,Paramètres!$A$1:$I$88,3,0)*0.475*44/12</f>
        <v>0</v>
      </c>
      <c r="CN57" s="24">
        <f t="shared" si="12"/>
        <v>8.0379586125030897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66.793393540060549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7.4</v>
      </c>
      <c r="CT57" s="13">
        <f>IF('Données projet'!$A$140&gt;35,CT56+CS57-DB56,IF(A57&lt;'Données projet'!$A$140,$CQ$205^A57,IF(A57='Données projet'!$A$140,'Données projet'!$B$140,CT56+CS57-DB56)))</f>
        <v>271.59999999999997</v>
      </c>
      <c r="CU57" s="18">
        <f>CT57*VLOOKUP('Données projet'!$B$13,Paramètres!$A$1:$I$88,3,0)*VLOOKUP('Données projet'!$B$13,Paramètres!$A$1:$I$88,5,0)</f>
        <v>216.08496</v>
      </c>
      <c r="CV57" s="14">
        <f t="shared" si="41"/>
        <v>53.26308393083157</v>
      </c>
      <c r="CW57" s="22">
        <f t="shared" si="13"/>
        <v>469.11450984619825</v>
      </c>
      <c r="CX57" s="62">
        <f t="shared" si="14"/>
        <v>750.69028615975355</v>
      </c>
      <c r="CY57" s="62">
        <f ca="1">AVERAGE(OFFSET($CX$3,0,0,'Données projet'!$E$13+1,1))-AVERAGE(OFFSET($H$3,0,0,'Données projet'!$E$13+1,1))</f>
        <v>361.30066984973894</v>
      </c>
      <c r="CZ57" s="62">
        <f t="shared" si="42"/>
        <v>351.78053157121622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projet'!$B$13,Paramètres!$A$1:$I$88,3,0)*0.475*44/12</f>
        <v>12.030233737317749</v>
      </c>
      <c r="DG57" s="23">
        <f>EXP(-LN(2)/25)*DG56+(1-EXP(-LN(2)/25))/(LN(2)/25)*Calculateur!DB57*Calculateur!DD57*VLOOKUP('Données projet'!$B$13,Paramètres!$A$1:$I$88,3,0)*0.475*44/12</f>
        <v>0</v>
      </c>
      <c r="DH57" s="23">
        <f>EXP(-LN(2)/2)*DH56+(1-EXP(-LN(2)/2))/(LN(2)/2)*DB57*DE57*VLOOKUP('Données projet'!$B$13,Paramètres!$A$1:$I$88,3,0)*0.475*44/12</f>
        <v>0</v>
      </c>
      <c r="DI57" s="24">
        <f t="shared" si="15"/>
        <v>12.030233737317749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66.793393540060549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>
        <f>DO57*VLOOKUP('Données projet'!$B$14,Paramètres!$A$1:$I$88,3,0)*VLOOKUP('Données projet'!$B$14,Paramètres!$A$1:$I$88,5,0)</f>
        <v>0</v>
      </c>
      <c r="DQ57" s="14" t="e">
        <f t="shared" si="43"/>
        <v>#NUM!</v>
      </c>
      <c r="DR57" s="22" t="e">
        <f t="shared" si="16"/>
        <v>#NUM!</v>
      </c>
      <c r="DS57" s="62" t="e">
        <f t="shared" si="17"/>
        <v>#NUM!</v>
      </c>
      <c r="DT57" s="62">
        <f ca="1">AVERAGE(OFFSET($DS$3,0,0,'Données projet'!$E$14+1,1))-AVERAGE(OFFSET($H$3,0,0,'Données projet'!$E$14+1,1))</f>
        <v>91.201152634762423</v>
      </c>
      <c r="DU57" s="62">
        <f t="shared" si="44"/>
        <v>233.36981992862445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projet'!$B$14,Paramètres!$A$1:$I$88,3,0)*0.475*44/12</f>
        <v>25.773632200793003</v>
      </c>
      <c r="EB57" s="23">
        <f>EXP(-LN(2)/25)*EB56+(1-EXP(-LN(2)/25))/(LN(2)/25)*Calculateur!DW57*Calculateur!DY57*VLOOKUP('Données projet'!$B$14,Paramètres!$A$1:$I$88,3,0)*0.475*44/12</f>
        <v>0</v>
      </c>
      <c r="EC57" s="23">
        <f>EXP(-LN(2)/2)*EC56+(1-EXP(-LN(2)/2))/(LN(2)/2)*DW57*DZ57*VLOOKUP('Données projet'!$B$14,Paramètres!$A$1:$I$88,3,0)*0.475*44/12</f>
        <v>0</v>
      </c>
      <c r="ED57" s="24">
        <f t="shared" si="18"/>
        <v>25.773632200793003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66.793393540060549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projet'!$B$15,Paramètres!$A$1:$I$88,3,0)*0.475*44/12</f>
        <v>#N/A</v>
      </c>
      <c r="EW57" s="23" t="e">
        <f>EXP(-LN(2)/25)*EW56+(1-EXP(-LN(2)/25))/(LN(2)/25)*Calculateur!ER57*Calculateur!ET57*VLOOKUP('Données projet'!$B$15,Paramètres!$A$1:$I$88,3,0)*0.475*44/12</f>
        <v>#N/A</v>
      </c>
      <c r="EX57" s="23" t="e">
        <f>EXP(-LN(2)/2)*EX56+(1-EXP(-LN(2)/2))/(LN(2)/2)*ER57*EU57*VLOOKUP('Données projet'!$B$15,Paramètres!$A$1:$I$88,3,0)*0.475*44/12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66.793393540060549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projet'!$B$16,Paramètres!$A$1:$I$88,3,0)*0.475*44/12</f>
        <v>#N/A</v>
      </c>
      <c r="FR57" s="23" t="e">
        <f>EXP(-LN(2)/25)*FR56+(1-EXP(-LN(2)/25))/(LN(2)/25)*Calculateur!FM57*Calculateur!FO57*VLOOKUP('Données projet'!$B$16,Paramètres!$A$1:$I$88,3,0)*0.475*44/12</f>
        <v>#N/A</v>
      </c>
      <c r="FS57" s="23" t="e">
        <f>EXP(-LN(2)/2)*FS56+(1-EXP(-LN(2)/2))/(LN(2)/2)*FM57*FP57*VLOOKUP('Données projet'!$B$16,Paramètres!$A$1:$I$88,3,0)*0.475*44/12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66.793393540060549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projet'!$B$17,Paramètres!$A$1:$I$88,3,0)*0.475*44/12</f>
        <v>#N/A</v>
      </c>
      <c r="GM57" s="23" t="e">
        <f>EXP(-LN(2)/25)*GM56+(1-EXP(-LN(2)/25))/(LN(2)/25)*Calculateur!GH57*Calculateur!GJ57*VLOOKUP('Données projet'!$B$17,Paramètres!$A$1:$I$88,3,0)*0.475*44/12</f>
        <v>#N/A</v>
      </c>
      <c r="GN57" s="23" t="e">
        <f>EXP(-LN(2)/2)*GN56+(1-EXP(-LN(2)/2))/(LN(2)/2)*GH57*GK57*VLOOKUP('Données projet'!$B$17,Paramètres!$A$1:$I$88,3,0)*0.475*44/12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66.793393540060549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projet'!$B$18,Paramètres!$A$1:$I$88,3,0)*0.475*44/12</f>
        <v>#N/A</v>
      </c>
      <c r="HH57" s="23" t="e">
        <f>EXP(-LN(2)/25)*HH56+(1-EXP(-LN(2)/25))/(LN(2)/25)*Calculateur!HC57*Calculateur!HE57*VLOOKUP('Données projet'!$B$18,Paramètres!$A$1:$I$88,3,0)*0.475*44/12</f>
        <v>#N/A</v>
      </c>
      <c r="HI57" s="23" t="e">
        <f>EXP(-LN(2)/2)*HI56+(1-EXP(-LN(2)/2))/(LN(2)/2)*HC57*HF57*VLOOKUP('Données projet'!$B$18,Paramètres!$A$1:$I$88,3,0)*0.475*44/12</f>
        <v>#N/A</v>
      </c>
      <c r="HJ57" s="24" t="e">
        <f t="shared" si="30"/>
        <v>#N/A</v>
      </c>
    </row>
    <row r="58" spans="1:218" s="5" customFormat="1" x14ac:dyDescent="0.2">
      <c r="A58" s="11">
        <f t="shared" si="31"/>
        <v>55</v>
      </c>
      <c r="B58" s="77">
        <f>'Scénario référence'!$B$16*5+'Scénario référence'!$B$17*0+'Scénario référence'!$B$18*5</f>
        <v>1.6500000000000001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6.0500000000000007</v>
      </c>
      <c r="H58" s="70">
        <f t="shared" si="1"/>
        <v>232.4666666666667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66.849020993242434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projet'!$B$9,Paramètres!$A$1:$I$88,3,0)*VLOOKUP('Données projet'!$B$9,Paramètres!$A$1:$I$88,5,0)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281.77974364189095</v>
      </c>
      <c r="S58" s="62">
        <f ca="1">AVERAGE(OFFSET($R$3,0,0,'Données projet'!$E$9+1,1))-AVERAGE(OFFSET($H$3,0,0,'Données projet'!$E$9+1,1))</f>
        <v>354.71367224254021</v>
      </c>
      <c r="T58" s="62">
        <f t="shared" si="34"/>
        <v>490.074370133397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191.27552345757346</v>
      </c>
      <c r="AA58" s="23">
        <f>EXP(-LN(2)/25)*AA57+(1-EXP(-LN(2)/25))/(LN(2)/25)*Calculateur!V58*Calculateur!X58*VLOOKUP('Données projet'!$B$9,Paramètres!$A$1:$I$88,3,0)*0.475*44/12</f>
        <v>42.555927447849825</v>
      </c>
      <c r="AB58" s="23">
        <f>EXP(-LN(2)/2)*AB57+(1-EXP(-LN(2)/2))/(LN(2)/2)*V58*Y58*VLOOKUP('Données projet'!$B$9,Paramètres!$A$1:$I$88,3,0)*0.475*44/12</f>
        <v>3.2199467467059257</v>
      </c>
      <c r="AC58" s="24">
        <f t="shared" si="3"/>
        <v>237.0513976521292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66.849020993242434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2.2737367544323206E-13</v>
      </c>
      <c r="AJ58" s="14">
        <f>AI58*VLOOKUP('Données projet'!$B$10,Paramètres!$A$1:$I$88,3,0)*VLOOKUP('Données projet'!$B$10,Paramètres!$A$1:$I$88,5,0)</f>
        <v>1.3596945791505279E-13</v>
      </c>
      <c r="AK58" s="14">
        <f t="shared" si="35"/>
        <v>1.9708830566360721E-12</v>
      </c>
      <c r="AL58" s="22">
        <f t="shared" si="4"/>
        <v>3.669434796176543E-12</v>
      </c>
      <c r="AM58" s="62">
        <f t="shared" si="5"/>
        <v>281.77974364189265</v>
      </c>
      <c r="AN58" s="62">
        <f ca="1">AVERAGE(OFFSET($AM$3,0,0,'Données projet'!$E$10+1,1))-AVERAGE(OFFSET($H$3,0,0,'Données projet'!$E$10+1,1))</f>
        <v>264.73276096087574</v>
      </c>
      <c r="AO58" s="62">
        <f t="shared" si="36"/>
        <v>381.84464918049662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projet'!$B$10,Paramètres!$A$1:$I$88,3,0)*0.475*44/12</f>
        <v>134.14274002242567</v>
      </c>
      <c r="AV58" s="23">
        <f>EXP(-LN(2)/25)*AV57+(1-EXP(-LN(2)/25))/(LN(2)/25)*Calculateur!AQ58*Calculateur!AS58*VLOOKUP('Données projet'!$B$10,Paramètres!$A$1:$I$88,3,0)*0.475*44/12</f>
        <v>29.896907825450423</v>
      </c>
      <c r="AW58" s="23">
        <f>EXP(-LN(2)/2)*AW57+(1-EXP(-LN(2)/2))/(LN(2)/2)*AQ58*AT58*VLOOKUP('Données projet'!$B$10,Paramètres!$A$1:$I$88,3,0)*0.475*44/12</f>
        <v>2.2546333922240591</v>
      </c>
      <c r="AX58" s="23">
        <f t="shared" si="6"/>
        <v>166.29428124010016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66.849020993242434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197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197</v>
      </c>
      <c r="BE58" s="14">
        <f>BD58*VLOOKUP('Données projet'!$B$11,Paramètres!$A$1:$I$88,3,0)*VLOOKUP('Données projet'!$B$11,Paramètres!$A$1:$I$88,5,0)</f>
        <v>224.34360000000001</v>
      </c>
      <c r="BF58" s="14">
        <f t="shared" si="37"/>
        <v>55.057868807655687</v>
      </c>
      <c r="BG58" s="22">
        <f t="shared" si="7"/>
        <v>486.62422484000035</v>
      </c>
      <c r="BH58" s="62">
        <f t="shared" si="8"/>
        <v>768.40396848188925</v>
      </c>
      <c r="BI58" s="62">
        <f ca="1">AVERAGE(OFFSET($BH$3,0,0,'Données projet'!$E$11+1,1))-AVERAGE(OFFSET($H$3,0,0,'Données projet'!$E$11+1,1))</f>
        <v>470.57532875732056</v>
      </c>
      <c r="BJ58" s="62">
        <f t="shared" si="38"/>
        <v>286.63787681165888</v>
      </c>
      <c r="BK58" s="16">
        <f>IF(ISNA(VLOOKUP(A58,'Données projet'!$A$87:$I$107,3,0)),0,VLOOKUP(A58,'Données projet'!$A$87:$I$107,3,0))</f>
        <v>8</v>
      </c>
      <c r="BL58" s="16">
        <f>IF(ISNA(VLOOKUP(A58,'Données projet'!$A$87:$I$107,4,0)),0,VLOOKUP(A58,'Données projet'!$A$87:$I$107,4,0))</f>
        <v>21</v>
      </c>
      <c r="BM58" s="17">
        <f>IF(ISNA(VLOOKUP(A58,'Données projet'!$A$87:$I$107,5,0)),0%,VLOOKUP(A58,'Données projet'!$A$87:$I$107,5,0)*VLOOKUP('Données projet'!$B$11,Paramètres!$A$1:$I$88,7,0))</f>
        <v>8.6000000000000007E-2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projet'!$B$11,Paramètres!$A$1:$I$88,3,0)*0.475*44/12</f>
        <v>7.8872143919512734</v>
      </c>
      <c r="BQ58" s="23">
        <f>EXP(-LN(2)/25)*BQ57+(1-EXP(-LN(2)/25))/(LN(2)/25)*Calculateur!BL58*Calculateur!BN58*VLOOKUP('Données projet'!$B$11,Paramètres!$A$1:$I$88,3,0)*0.475*44/12</f>
        <v>0</v>
      </c>
      <c r="BR58" s="23">
        <f>EXP(-LN(2)/2)*BR57+(1-EXP(-LN(2)/2))/(LN(2)/2)*BL58*BO58*VLOOKUP('Données projet'!$B$11,Paramètres!$A$1:$I$88,3,0)*0.475*44/12</f>
        <v>0</v>
      </c>
      <c r="BS58" s="24">
        <f t="shared" si="9"/>
        <v>7.8872143919512734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66.849020993242434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279</v>
      </c>
      <c r="BW58" s="13">
        <f>VLOOKUP(A58,'Données projet'!$A$113:$I$133,9,0)</f>
        <v>7.4</v>
      </c>
      <c r="BX58" s="13">
        <f t="array" ref="BX58">INDEX(BW:BW,MIN(IF(ISNUMBER(BW58:BW254),ROW(BW58:BW254),"")))</f>
        <v>7.4</v>
      </c>
      <c r="BY58" s="13">
        <f>IF('Données projet'!$A$114&gt;35,BY57+BX58-CG57,IF(A58&lt;'Données projet'!$A$114,$BV$205^A58,IF(A58='Données projet'!$A$114,'Données projet'!$B$114,BY57+BX58-CG57)))</f>
        <v>278.99999999999994</v>
      </c>
      <c r="BZ58" s="14">
        <f>BY58*VLOOKUP('Données projet'!$B$12,Paramètres!$A$1:$I$88,3,0)*VLOOKUP('Données projet'!$B$12,Paramètres!$A$1:$I$88,5,0)</f>
        <v>182.80079999999998</v>
      </c>
      <c r="CA58" s="14">
        <f t="shared" si="39"/>
        <v>45.944751507471658</v>
      </c>
      <c r="CB58" s="22">
        <f t="shared" si="10"/>
        <v>398.39850220884642</v>
      </c>
      <c r="CC58" s="62">
        <f t="shared" si="11"/>
        <v>680.17824585073538</v>
      </c>
      <c r="CD58" s="62">
        <f ca="1">AVERAGE(OFFSET($CC$3,0,0,'Données projet'!$E$12+1,1))-AVERAGE(OFFSET($H$3,0,0,'Données projet'!$E$12+1,1))</f>
        <v>305.38855494899906</v>
      </c>
      <c r="CE58" s="62">
        <f t="shared" si="40"/>
        <v>298.48106301229177</v>
      </c>
      <c r="CF58" s="16">
        <f>IF(ISNA(VLOOKUP(A58,'Données projet'!$A$113:$I$133,3,0)),0,VLOOKUP(A58,'Données projet'!$A$113:$I$133,3,0))</f>
        <v>10</v>
      </c>
      <c r="CG58" s="16">
        <f>IF(ISNA(VLOOKUP(A58,'Données projet'!$A$113:$I$133,4,0)),0,VLOOKUP(A58,'Données projet'!$A$113:$I$133,4,0))</f>
        <v>16</v>
      </c>
      <c r="CH58" s="17">
        <f>IF(ISNA(VLOOKUP(A58,'Données projet'!$A$113:$I$133,5,0)),0%,VLOOKUP(A58,'Données projet'!$A$113:$I$133,5,0)*VLOOKUP('Données projet'!$B$12,Paramètres!$A$1:$I$88,7,0))</f>
        <v>0.17200000000000001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projet'!$B$12,Paramètres!$A$1:$I$88,3,0)*0.475*44/12</f>
        <v>9.8736242850103686</v>
      </c>
      <c r="CL58" s="23">
        <f>EXP(-LN(2)/25)*CL57+(1-EXP(-LN(2)/25))/(LN(2)/25)*Calculateur!CG58*Calculateur!CI58*VLOOKUP('Données projet'!$B$12,Paramètres!$A$1:$I$88,3,0)*0.475*44/12</f>
        <v>0</v>
      </c>
      <c r="CM58" s="23">
        <f>EXP(-LN(2)/2)*CM57+(1-EXP(-LN(2)/2))/(LN(2)/2)*CG58*CJ58*VLOOKUP('Données projet'!$B$12,Paramètres!$A$1:$I$88,3,0)*0.475*44/12</f>
        <v>0</v>
      </c>
      <c r="CN58" s="24">
        <f t="shared" si="12"/>
        <v>9.8736242850103686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66.849020993242434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279</v>
      </c>
      <c r="CR58" s="13">
        <f>VLOOKUP(A58,'Données projet'!$A$139:$I$159,9,0)</f>
        <v>7.4</v>
      </c>
      <c r="CS58" s="13">
        <f t="array" ref="CS58">INDEX(CR:CR,MIN(IF(ISNUMBER(CR58:CR254),ROW(CR58:CR254),"")))</f>
        <v>7.4</v>
      </c>
      <c r="CT58" s="13">
        <f>IF('Données projet'!$A$140&gt;35,CT57+CS58-DB57,IF(A58&lt;'Données projet'!$A$140,$CQ$205^A58,IF(A58='Données projet'!$A$140,'Données projet'!$B$140,CT57+CS58-DB57)))</f>
        <v>278.99999999999994</v>
      </c>
      <c r="CU58" s="18">
        <f>CT58*VLOOKUP('Données projet'!$B$13,Paramètres!$A$1:$I$88,3,0)*VLOOKUP('Données projet'!$B$13,Paramètres!$A$1:$I$88,5,0)</f>
        <v>221.97239999999996</v>
      </c>
      <c r="CV58" s="14">
        <f t="shared" si="41"/>
        <v>54.543354171476821</v>
      </c>
      <c r="CW58" s="22">
        <f t="shared" si="13"/>
        <v>481.59827184865543</v>
      </c>
      <c r="CX58" s="62">
        <f t="shared" si="14"/>
        <v>763.37801549054439</v>
      </c>
      <c r="CY58" s="62">
        <f ca="1">AVERAGE(OFFSET($CX$3,0,0,'Données projet'!$E$13+1,1))-AVERAGE(OFFSET($H$3,0,0,'Données projet'!$E$13+1,1))</f>
        <v>361.30066984973894</v>
      </c>
      <c r="CZ58" s="62">
        <f t="shared" si="42"/>
        <v>351.78053157121622</v>
      </c>
      <c r="DA58" s="16">
        <f>IF(ISNA(VLOOKUP(A58,'Données projet'!$A$139:$I$159,3,0)),0,VLOOKUP(A58,'Données projet'!$A$139:$I$159,3,0))</f>
        <v>10</v>
      </c>
      <c r="DB58" s="16">
        <f>IF(ISNA(VLOOKUP(A58,'Données projet'!$A$139:$I$159,4,0)),0,VLOOKUP(A58,'Données projet'!$A$139:$I$159,4,0))</f>
        <v>16</v>
      </c>
      <c r="DC58" s="17">
        <f>IF(ISNA(VLOOKUP(A58,'Données projet'!$A$139:$I$159,5,0)),0%,VLOOKUP(A58,'Données projet'!$A$139:$I$159,5,0)*VLOOKUP('Données projet'!$B$13,Paramètres!$A$1:$I$88,7,0))</f>
        <v>0.21200000000000002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projet'!$B$13,Paramètres!$A$1:$I$88,3,0)*0.475*44/12</f>
        <v>14.777633689027148</v>
      </c>
      <c r="DG58" s="23">
        <f>EXP(-LN(2)/25)*DG57+(1-EXP(-LN(2)/25))/(LN(2)/25)*Calculateur!DB58*Calculateur!DD58*VLOOKUP('Données projet'!$B$13,Paramètres!$A$1:$I$88,3,0)*0.475*44/12</f>
        <v>0</v>
      </c>
      <c r="DH58" s="23">
        <f>EXP(-LN(2)/2)*DH57+(1-EXP(-LN(2)/2))/(LN(2)/2)*DB58*DE58*VLOOKUP('Données projet'!$B$13,Paramètres!$A$1:$I$88,3,0)*0.475*44/12</f>
        <v>0</v>
      </c>
      <c r="DI58" s="24">
        <f t="shared" si="15"/>
        <v>14.777633689027148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66.849020993242434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>
        <f>DO58*VLOOKUP('Données projet'!$B$14,Paramètres!$A$1:$I$88,3,0)*VLOOKUP('Données projet'!$B$14,Paramètres!$A$1:$I$88,5,0)</f>
        <v>0</v>
      </c>
      <c r="DQ58" s="14" t="e">
        <f t="shared" si="43"/>
        <v>#NUM!</v>
      </c>
      <c r="DR58" s="22" t="e">
        <f t="shared" si="16"/>
        <v>#NUM!</v>
      </c>
      <c r="DS58" s="62" t="e">
        <f t="shared" si="17"/>
        <v>#NUM!</v>
      </c>
      <c r="DT58" s="62">
        <f ca="1">AVERAGE(OFFSET($DS$3,0,0,'Données projet'!$E$14+1,1))-AVERAGE(OFFSET($H$3,0,0,'Données projet'!$E$14+1,1))</f>
        <v>91.201152634762423</v>
      </c>
      <c r="DU58" s="62">
        <f t="shared" si="44"/>
        <v>233.36981992862445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projet'!$B$14,Paramètres!$A$1:$I$88,3,0)*0.475*44/12</f>
        <v>25.268226993698839</v>
      </c>
      <c r="EB58" s="23">
        <f>EXP(-LN(2)/25)*EB57+(1-EXP(-LN(2)/25))/(LN(2)/25)*Calculateur!DW58*Calculateur!DY58*VLOOKUP('Données projet'!$B$14,Paramètres!$A$1:$I$88,3,0)*0.475*44/12</f>
        <v>0</v>
      </c>
      <c r="EC58" s="23">
        <f>EXP(-LN(2)/2)*EC57+(1-EXP(-LN(2)/2))/(LN(2)/2)*DW58*DZ58*VLOOKUP('Données projet'!$B$14,Paramètres!$A$1:$I$88,3,0)*0.475*44/12</f>
        <v>0</v>
      </c>
      <c r="ED58" s="24">
        <f t="shared" si="18"/>
        <v>25.268226993698839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66.849020993242434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projet'!$B$15,Paramètres!$A$1:$I$88,3,0)*0.475*44/12</f>
        <v>#N/A</v>
      </c>
      <c r="EW58" s="23" t="e">
        <f>EXP(-LN(2)/25)*EW57+(1-EXP(-LN(2)/25))/(LN(2)/25)*Calculateur!ER58*Calculateur!ET58*VLOOKUP('Données projet'!$B$15,Paramètres!$A$1:$I$88,3,0)*0.475*44/12</f>
        <v>#N/A</v>
      </c>
      <c r="EX58" s="23" t="e">
        <f>EXP(-LN(2)/2)*EX57+(1-EXP(-LN(2)/2))/(LN(2)/2)*ER58*EU58*VLOOKUP('Données projet'!$B$15,Paramètres!$A$1:$I$88,3,0)*0.475*44/12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66.849020993242434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projet'!$B$16,Paramètres!$A$1:$I$88,3,0)*0.475*44/12</f>
        <v>#N/A</v>
      </c>
      <c r="FR58" s="23" t="e">
        <f>EXP(-LN(2)/25)*FR57+(1-EXP(-LN(2)/25))/(LN(2)/25)*Calculateur!FM58*Calculateur!FO58*VLOOKUP('Données projet'!$B$16,Paramètres!$A$1:$I$88,3,0)*0.475*44/12</f>
        <v>#N/A</v>
      </c>
      <c r="FS58" s="23" t="e">
        <f>EXP(-LN(2)/2)*FS57+(1-EXP(-LN(2)/2))/(LN(2)/2)*FM58*FP58*VLOOKUP('Données projet'!$B$16,Paramètres!$A$1:$I$88,3,0)*0.475*44/12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66.849020993242434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projet'!$B$17,Paramètres!$A$1:$I$88,3,0)*0.475*44/12</f>
        <v>#N/A</v>
      </c>
      <c r="GM58" s="23" t="e">
        <f>EXP(-LN(2)/25)*GM57+(1-EXP(-LN(2)/25))/(LN(2)/25)*Calculateur!GH58*Calculateur!GJ58*VLOOKUP('Données projet'!$B$17,Paramètres!$A$1:$I$88,3,0)*0.475*44/12</f>
        <v>#N/A</v>
      </c>
      <c r="GN58" s="23" t="e">
        <f>EXP(-LN(2)/2)*GN57+(1-EXP(-LN(2)/2))/(LN(2)/2)*GH58*GK58*VLOOKUP('Données projet'!$B$17,Paramètres!$A$1:$I$88,3,0)*0.475*44/12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66.849020993242434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projet'!$B$18,Paramètres!$A$1:$I$88,3,0)*0.475*44/12</f>
        <v>#N/A</v>
      </c>
      <c r="HH58" s="23" t="e">
        <f>EXP(-LN(2)/25)*HH57+(1-EXP(-LN(2)/25))/(LN(2)/25)*Calculateur!HC58*Calculateur!HE58*VLOOKUP('Données projet'!$B$18,Paramètres!$A$1:$I$88,3,0)*0.475*44/12</f>
        <v>#N/A</v>
      </c>
      <c r="HI58" s="23" t="e">
        <f>EXP(-LN(2)/2)*HI57+(1-EXP(-LN(2)/2))/(LN(2)/2)*HC58*HF58*VLOOKUP('Données projet'!$B$18,Paramètres!$A$1:$I$88,3,0)*0.475*44/12</f>
        <v>#N/A</v>
      </c>
      <c r="HJ58" s="24" t="e">
        <f t="shared" si="30"/>
        <v>#N/A</v>
      </c>
    </row>
    <row r="59" spans="1:218" s="5" customFormat="1" x14ac:dyDescent="0.2">
      <c r="A59" s="11">
        <f t="shared" si="31"/>
        <v>56</v>
      </c>
      <c r="B59" s="77">
        <f>'Scénario référence'!$B$16*5+'Scénario référence'!$B$17*0+'Scénario référence'!$B$18*5</f>
        <v>1.6500000000000001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6.0500000000000007</v>
      </c>
      <c r="H59" s="70">
        <f t="shared" si="1"/>
        <v>232.4666666666667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66.903683434475965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projet'!$B$9,Paramètres!$A$1:$I$88,3,0)*VLOOKUP('Données projet'!$B$9,Paramètres!$A$1:$I$88,5,0)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281.98017259308051</v>
      </c>
      <c r="S59" s="62">
        <f ca="1">AVERAGE(OFFSET($R$3,0,0,'Données projet'!$E$9+1,1))-AVERAGE(OFFSET($H$3,0,0,'Données projet'!$E$9+1,1))</f>
        <v>354.71367224254021</v>
      </c>
      <c r="T59" s="62">
        <f t="shared" si="34"/>
        <v>490.074370133397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187.52472710911988</v>
      </c>
      <c r="AA59" s="23">
        <f>EXP(-LN(2)/25)*AA58+(1-EXP(-LN(2)/25))/(LN(2)/25)*Calculateur!V59*Calculateur!X59*VLOOKUP('Données projet'!$B$9,Paramètres!$A$1:$I$88,3,0)*0.475*44/12</f>
        <v>41.392233373869409</v>
      </c>
      <c r="AB59" s="23">
        <f>EXP(-LN(2)/2)*AB58+(1-EXP(-LN(2)/2))/(LN(2)/2)*V59*Y59*VLOOKUP('Données projet'!$B$9,Paramètres!$A$1:$I$88,3,0)*0.475*44/12</f>
        <v>2.2768461796553225</v>
      </c>
      <c r="AC59" s="24">
        <f t="shared" si="3"/>
        <v>231.19380666264459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66.903683434475965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2.2737367544323206E-13</v>
      </c>
      <c r="AJ59" s="14">
        <f>AI59*VLOOKUP('Données projet'!$B$10,Paramètres!$A$1:$I$88,3,0)*VLOOKUP('Données projet'!$B$10,Paramètres!$A$1:$I$88,5,0)</f>
        <v>1.3596945791505279E-13</v>
      </c>
      <c r="AK59" s="14">
        <f t="shared" si="35"/>
        <v>1.9708830566360721E-12</v>
      </c>
      <c r="AL59" s="22">
        <f t="shared" si="4"/>
        <v>3.669434796176543E-12</v>
      </c>
      <c r="AM59" s="62">
        <f t="shared" si="5"/>
        <v>281.98017259308222</v>
      </c>
      <c r="AN59" s="62">
        <f ca="1">AVERAGE(OFFSET($AM$3,0,0,'Données projet'!$E$10+1,1))-AVERAGE(OFFSET($H$3,0,0,'Données projet'!$E$10+1,1))</f>
        <v>264.73276096087574</v>
      </c>
      <c r="AO59" s="62">
        <f t="shared" si="36"/>
        <v>381.84464918049662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projet'!$B$10,Paramètres!$A$1:$I$88,3,0)*0.475*44/12</f>
        <v>131.51228270957836</v>
      </c>
      <c r="AV59" s="23">
        <f>EXP(-LN(2)/25)*AV58+(1-EXP(-LN(2)/25))/(LN(2)/25)*Calculateur!AQ59*Calculateur!AS59*VLOOKUP('Données projet'!$B$10,Paramètres!$A$1:$I$88,3,0)*0.475*44/12</f>
        <v>29.079375308753431</v>
      </c>
      <c r="AW59" s="23">
        <f>EXP(-LN(2)/2)*AW58+(1-EXP(-LN(2)/2))/(LN(2)/2)*AQ59*AT59*VLOOKUP('Données projet'!$B$10,Paramètres!$A$1:$I$88,3,0)*0.475*44/12</f>
        <v>1.5942665607312612</v>
      </c>
      <c r="AX59" s="23">
        <f t="shared" si="6"/>
        <v>162.18592457906306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66.903683434475965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7.6</v>
      </c>
      <c r="BD59" s="13">
        <f>IF('Données projet'!$A$88&gt;35,BD58+BC59-BL58,IF(A59&lt;'Données projet'!$A$88,$BA$205^A59,IF(A59='Données projet'!$A$88,'Données projet'!$B$88,BD58+BC59-BL58)))</f>
        <v>183.6</v>
      </c>
      <c r="BE59" s="14">
        <f>BD59*VLOOKUP('Données projet'!$B$11,Paramètres!$A$1:$I$88,3,0)*VLOOKUP('Données projet'!$B$11,Paramètres!$A$1:$I$88,5,0)</f>
        <v>209.08367999999999</v>
      </c>
      <c r="BF59" s="14">
        <f t="shared" si="37"/>
        <v>51.735295790267372</v>
      </c>
      <c r="BG59" s="22">
        <f t="shared" si="7"/>
        <v>454.25971616804895</v>
      </c>
      <c r="BH59" s="62">
        <f t="shared" si="8"/>
        <v>736.23988876112753</v>
      </c>
      <c r="BI59" s="62">
        <f ca="1">AVERAGE(OFFSET($BH$3,0,0,'Données projet'!$E$11+1,1))-AVERAGE(OFFSET($H$3,0,0,'Données projet'!$E$11+1,1))</f>
        <v>470.57532875732056</v>
      </c>
      <c r="BJ59" s="62">
        <f t="shared" si="38"/>
        <v>286.63787681165888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projet'!$B$11,Paramètres!$A$1:$I$88,3,0)*0.475*44/12</f>
        <v>7.732550928450868</v>
      </c>
      <c r="BQ59" s="23">
        <f>EXP(-LN(2)/25)*BQ58+(1-EXP(-LN(2)/25))/(LN(2)/25)*Calculateur!BL59*Calculateur!BN59*VLOOKUP('Données projet'!$B$11,Paramètres!$A$1:$I$88,3,0)*0.475*44/12</f>
        <v>0</v>
      </c>
      <c r="BR59" s="23">
        <f>EXP(-LN(2)/2)*BR58+(1-EXP(-LN(2)/2))/(LN(2)/2)*BL59*BO59*VLOOKUP('Données projet'!$B$11,Paramètres!$A$1:$I$88,3,0)*0.475*44/12</f>
        <v>0</v>
      </c>
      <c r="BS59" s="24">
        <f t="shared" si="9"/>
        <v>7.732550928450868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66.903683434475965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6.2</v>
      </c>
      <c r="BY59" s="13">
        <f>IF('Données projet'!$A$114&gt;35,BY58+BX59-CG58,IF(A59&lt;'Données projet'!$A$114,$BV$205^A59,IF(A59='Données projet'!$A$114,'Données projet'!$B$114,BY58+BX59-CG58)))</f>
        <v>269.19999999999993</v>
      </c>
      <c r="BZ59" s="14">
        <f>BY59*VLOOKUP('Données projet'!$B$12,Paramètres!$A$1:$I$88,3,0)*VLOOKUP('Données projet'!$B$12,Paramètres!$A$1:$I$88,5,0)</f>
        <v>176.37983999999994</v>
      </c>
      <c r="CA59" s="14">
        <f t="shared" si="39"/>
        <v>44.51581737444701</v>
      </c>
      <c r="CB59" s="22">
        <f t="shared" si="10"/>
        <v>384.7266032604951</v>
      </c>
      <c r="CC59" s="62">
        <f t="shared" si="11"/>
        <v>666.70677585357362</v>
      </c>
      <c r="CD59" s="62">
        <f ca="1">AVERAGE(OFFSET($CC$3,0,0,'Données projet'!$E$12+1,1))-AVERAGE(OFFSET($H$3,0,0,'Données projet'!$E$12+1,1))</f>
        <v>305.38855494899906</v>
      </c>
      <c r="CE59" s="62">
        <f t="shared" si="40"/>
        <v>298.48106301229177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projet'!$B$12,Paramètres!$A$1:$I$88,3,0)*0.475*44/12</f>
        <v>9.6800085350974747</v>
      </c>
      <c r="CL59" s="23">
        <f>EXP(-LN(2)/25)*CL58+(1-EXP(-LN(2)/25))/(LN(2)/25)*Calculateur!CG59*Calculateur!CI59*VLOOKUP('Données projet'!$B$12,Paramètres!$A$1:$I$88,3,0)*0.475*44/12</f>
        <v>0</v>
      </c>
      <c r="CM59" s="23">
        <f>EXP(-LN(2)/2)*CM58+(1-EXP(-LN(2)/2))/(LN(2)/2)*CG59*CJ59*VLOOKUP('Données projet'!$B$12,Paramètres!$A$1:$I$88,3,0)*0.475*44/12</f>
        <v>0</v>
      </c>
      <c r="CN59" s="24">
        <f t="shared" si="12"/>
        <v>9.6800085350974747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66.903683434475965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6.2</v>
      </c>
      <c r="CT59" s="13">
        <f>IF('Données projet'!$A$140&gt;35,CT58+CS59-DB58,IF(A59&lt;'Données projet'!$A$140,$CQ$205^A59,IF(A59='Données projet'!$A$140,'Données projet'!$B$140,CT58+CS59-DB58)))</f>
        <v>269.19999999999993</v>
      </c>
      <c r="CU59" s="18">
        <f>CT59*VLOOKUP('Données projet'!$B$13,Paramètres!$A$1:$I$88,3,0)*VLOOKUP('Données projet'!$B$13,Paramètres!$A$1:$I$88,5,0)</f>
        <v>214.17551999999998</v>
      </c>
      <c r="CV59" s="14">
        <f t="shared" si="41"/>
        <v>52.846993696165399</v>
      </c>
      <c r="CW59" s="22">
        <f t="shared" si="13"/>
        <v>465.06421135415468</v>
      </c>
      <c r="CX59" s="62">
        <f t="shared" si="14"/>
        <v>747.0443839472332</v>
      </c>
      <c r="CY59" s="62">
        <f ca="1">AVERAGE(OFFSET($CX$3,0,0,'Données projet'!$E$13+1,1))-AVERAGE(OFFSET($H$3,0,0,'Données projet'!$E$13+1,1))</f>
        <v>361.30066984973894</v>
      </c>
      <c r="CZ59" s="62">
        <f t="shared" si="42"/>
        <v>351.78053157121622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projet'!$B$13,Paramètres!$A$1:$I$88,3,0)*0.475*44/12</f>
        <v>14.487853305851869</v>
      </c>
      <c r="DG59" s="23">
        <f>EXP(-LN(2)/25)*DG58+(1-EXP(-LN(2)/25))/(LN(2)/25)*Calculateur!DB59*Calculateur!DD59*VLOOKUP('Données projet'!$B$13,Paramètres!$A$1:$I$88,3,0)*0.475*44/12</f>
        <v>0</v>
      </c>
      <c r="DH59" s="23">
        <f>EXP(-LN(2)/2)*DH58+(1-EXP(-LN(2)/2))/(LN(2)/2)*DB59*DE59*VLOOKUP('Données projet'!$B$13,Paramètres!$A$1:$I$88,3,0)*0.475*44/12</f>
        <v>0</v>
      </c>
      <c r="DI59" s="24">
        <f t="shared" si="15"/>
        <v>14.487853305851869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66.903683434475965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>
        <f>DO59*VLOOKUP('Données projet'!$B$14,Paramètres!$A$1:$I$88,3,0)*VLOOKUP('Données projet'!$B$14,Paramètres!$A$1:$I$88,5,0)</f>
        <v>0</v>
      </c>
      <c r="DQ59" s="14" t="e">
        <f t="shared" si="43"/>
        <v>#NUM!</v>
      </c>
      <c r="DR59" s="22" t="e">
        <f t="shared" si="16"/>
        <v>#NUM!</v>
      </c>
      <c r="DS59" s="62" t="e">
        <f t="shared" si="17"/>
        <v>#NUM!</v>
      </c>
      <c r="DT59" s="62">
        <f ca="1">AVERAGE(OFFSET($DS$3,0,0,'Données projet'!$E$14+1,1))-AVERAGE(OFFSET($H$3,0,0,'Données projet'!$E$14+1,1))</f>
        <v>91.201152634762423</v>
      </c>
      <c r="DU59" s="62">
        <f t="shared" si="44"/>
        <v>233.36981992862445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projet'!$B$14,Paramètres!$A$1:$I$88,3,0)*0.475*44/12</f>
        <v>24.772732474449054</v>
      </c>
      <c r="EB59" s="23">
        <f>EXP(-LN(2)/25)*EB58+(1-EXP(-LN(2)/25))/(LN(2)/25)*Calculateur!DW59*Calculateur!DY59*VLOOKUP('Données projet'!$B$14,Paramètres!$A$1:$I$88,3,0)*0.475*44/12</f>
        <v>0</v>
      </c>
      <c r="EC59" s="23">
        <f>EXP(-LN(2)/2)*EC58+(1-EXP(-LN(2)/2))/(LN(2)/2)*DW59*DZ59*VLOOKUP('Données projet'!$B$14,Paramètres!$A$1:$I$88,3,0)*0.475*44/12</f>
        <v>0</v>
      </c>
      <c r="ED59" s="24">
        <f t="shared" si="18"/>
        <v>24.772732474449054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66.903683434475965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projet'!$B$15,Paramètres!$A$1:$I$88,3,0)*0.475*44/12</f>
        <v>#N/A</v>
      </c>
      <c r="EW59" s="23" t="e">
        <f>EXP(-LN(2)/25)*EW58+(1-EXP(-LN(2)/25))/(LN(2)/25)*Calculateur!ER59*Calculateur!ET59*VLOOKUP('Données projet'!$B$15,Paramètres!$A$1:$I$88,3,0)*0.475*44/12</f>
        <v>#N/A</v>
      </c>
      <c r="EX59" s="23" t="e">
        <f>EXP(-LN(2)/2)*EX58+(1-EXP(-LN(2)/2))/(LN(2)/2)*ER59*EU59*VLOOKUP('Données projet'!$B$15,Paramètres!$A$1:$I$88,3,0)*0.475*44/12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66.903683434475965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projet'!$B$16,Paramètres!$A$1:$I$88,3,0)*0.475*44/12</f>
        <v>#N/A</v>
      </c>
      <c r="FR59" s="23" t="e">
        <f>EXP(-LN(2)/25)*FR58+(1-EXP(-LN(2)/25))/(LN(2)/25)*Calculateur!FM59*Calculateur!FO59*VLOOKUP('Données projet'!$B$16,Paramètres!$A$1:$I$88,3,0)*0.475*44/12</f>
        <v>#N/A</v>
      </c>
      <c r="FS59" s="23" t="e">
        <f>EXP(-LN(2)/2)*FS58+(1-EXP(-LN(2)/2))/(LN(2)/2)*FM59*FP59*VLOOKUP('Données projet'!$B$16,Paramètres!$A$1:$I$88,3,0)*0.475*44/12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66.903683434475965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projet'!$B$17,Paramètres!$A$1:$I$88,3,0)*0.475*44/12</f>
        <v>#N/A</v>
      </c>
      <c r="GM59" s="23" t="e">
        <f>EXP(-LN(2)/25)*GM58+(1-EXP(-LN(2)/25))/(LN(2)/25)*Calculateur!GH59*Calculateur!GJ59*VLOOKUP('Données projet'!$B$17,Paramètres!$A$1:$I$88,3,0)*0.475*44/12</f>
        <v>#N/A</v>
      </c>
      <c r="GN59" s="23" t="e">
        <f>EXP(-LN(2)/2)*GN58+(1-EXP(-LN(2)/2))/(LN(2)/2)*GH59*GK59*VLOOKUP('Données projet'!$B$17,Paramètres!$A$1:$I$88,3,0)*0.475*44/12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66.903683434475965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projet'!$B$18,Paramètres!$A$1:$I$88,3,0)*0.475*44/12</f>
        <v>#N/A</v>
      </c>
      <c r="HH59" s="23" t="e">
        <f>EXP(-LN(2)/25)*HH58+(1-EXP(-LN(2)/25))/(LN(2)/25)*Calculateur!HC59*Calculateur!HE59*VLOOKUP('Données projet'!$B$18,Paramètres!$A$1:$I$88,3,0)*0.475*44/12</f>
        <v>#N/A</v>
      </c>
      <c r="HI59" s="23" t="e">
        <f>EXP(-LN(2)/2)*HI58+(1-EXP(-LN(2)/2))/(LN(2)/2)*HC59*HF59*VLOOKUP('Données projet'!$B$18,Paramètres!$A$1:$I$88,3,0)*0.475*44/12</f>
        <v>#N/A</v>
      </c>
      <c r="HJ59" s="24" t="e">
        <f t="shared" si="30"/>
        <v>#N/A</v>
      </c>
    </row>
    <row r="60" spans="1:218" s="5" customFormat="1" x14ac:dyDescent="0.2">
      <c r="A60" s="11">
        <f t="shared" si="31"/>
        <v>57</v>
      </c>
      <c r="B60" s="77">
        <f>'Scénario référence'!$B$16*5+'Scénario référence'!$B$17*0+'Scénario référence'!$B$18*5</f>
        <v>1.6500000000000001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6.0500000000000007</v>
      </c>
      <c r="H60" s="70">
        <f t="shared" si="1"/>
        <v>232.4666666666667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66.957397604560995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projet'!$B$9,Paramètres!$A$1:$I$88,3,0)*VLOOKUP('Données projet'!$B$9,Paramètres!$A$1:$I$88,5,0)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282.17712455005898</v>
      </c>
      <c r="S60" s="62">
        <f ca="1">AVERAGE(OFFSET($R$3,0,0,'Données projet'!$E$9+1,1))-AVERAGE(OFFSET($H$3,0,0,'Données projet'!$E$9+1,1))</f>
        <v>354.71367224254021</v>
      </c>
      <c r="T60" s="62">
        <f t="shared" si="34"/>
        <v>490.074370133397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183.8474815892996</v>
      </c>
      <c r="AA60" s="23">
        <f>EXP(-LN(2)/25)*AA59+(1-EXP(-LN(2)/25))/(LN(2)/25)*Calculateur!V60*Calculateur!X60*VLOOKUP('Données projet'!$B$9,Paramètres!$A$1:$I$88,3,0)*0.475*44/12</f>
        <v>40.260360575538002</v>
      </c>
      <c r="AB60" s="23">
        <f>EXP(-LN(2)/2)*AB59+(1-EXP(-LN(2)/2))/(LN(2)/2)*V60*Y60*VLOOKUP('Données projet'!$B$9,Paramètres!$A$1:$I$88,3,0)*0.475*44/12</f>
        <v>1.6099733733529629</v>
      </c>
      <c r="AC60" s="24">
        <f t="shared" si="3"/>
        <v>225.71781553819059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66.957397604560995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2.2737367544323206E-13</v>
      </c>
      <c r="AJ60" s="14">
        <f>AI60*VLOOKUP('Données projet'!$B$10,Paramètres!$A$1:$I$88,3,0)*VLOOKUP('Données projet'!$B$10,Paramètres!$A$1:$I$88,5,0)</f>
        <v>1.3596945791505279E-13</v>
      </c>
      <c r="AK60" s="14">
        <f t="shared" si="35"/>
        <v>1.9708830566360721E-12</v>
      </c>
      <c r="AL60" s="22">
        <f t="shared" si="4"/>
        <v>3.669434796176543E-12</v>
      </c>
      <c r="AM60" s="62">
        <f t="shared" si="5"/>
        <v>282.17712455006068</v>
      </c>
      <c r="AN60" s="62">
        <f ca="1">AVERAGE(OFFSET($AM$3,0,0,'Données projet'!$E$10+1,1))-AVERAGE(OFFSET($H$3,0,0,'Données projet'!$E$10+1,1))</f>
        <v>264.73276096087574</v>
      </c>
      <c r="AO60" s="62">
        <f t="shared" si="36"/>
        <v>381.84464918049662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projet'!$B$10,Paramètres!$A$1:$I$88,3,0)*0.475*44/12</f>
        <v>128.93340706021544</v>
      </c>
      <c r="AV60" s="23">
        <f>EXP(-LN(2)/25)*AV59+(1-EXP(-LN(2)/25))/(LN(2)/25)*Calculateur!AQ60*Calculateur!AS60*VLOOKUP('Données projet'!$B$10,Paramètres!$A$1:$I$88,3,0)*0.475*44/12</f>
        <v>28.284198261717684</v>
      </c>
      <c r="AW60" s="23">
        <f>EXP(-LN(2)/2)*AW59+(1-EXP(-LN(2)/2))/(LN(2)/2)*AQ60*AT60*VLOOKUP('Données projet'!$B$10,Paramètres!$A$1:$I$88,3,0)*0.475*44/12</f>
        <v>1.1273166961120296</v>
      </c>
      <c r="AX60" s="23">
        <f t="shared" si="6"/>
        <v>158.34492201804514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66.957397604560995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7.6</v>
      </c>
      <c r="BD60" s="13">
        <f>IF('Données projet'!$A$88&gt;35,BD59+BC60-BL59,IF(A60&lt;'Données projet'!$A$88,$BA$205^A60,IF(A60='Données projet'!$A$88,'Données projet'!$B$88,BD59+BC60-BL59)))</f>
        <v>191.2</v>
      </c>
      <c r="BE60" s="14">
        <f>BD60*VLOOKUP('Données projet'!$B$11,Paramètres!$A$1:$I$88,3,0)*VLOOKUP('Données projet'!$B$11,Paramètres!$A$1:$I$88,5,0)</f>
        <v>217.73856000000001</v>
      </c>
      <c r="BF60" s="14">
        <f t="shared" si="37"/>
        <v>53.623077729615503</v>
      </c>
      <c r="BG60" s="22">
        <f t="shared" si="7"/>
        <v>472.62151904574694</v>
      </c>
      <c r="BH60" s="62">
        <f t="shared" si="8"/>
        <v>754.79864359580392</v>
      </c>
      <c r="BI60" s="62">
        <f ca="1">AVERAGE(OFFSET($BH$3,0,0,'Données projet'!$E$11+1,1))-AVERAGE(OFFSET($H$3,0,0,'Données projet'!$E$11+1,1))</f>
        <v>470.57532875732056</v>
      </c>
      <c r="BJ60" s="62">
        <f t="shared" si="38"/>
        <v>286.63787681165888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projet'!$B$11,Paramètres!$A$1:$I$88,3,0)*0.475*44/12</f>
        <v>7.5809203211343084</v>
      </c>
      <c r="BQ60" s="23">
        <f>EXP(-LN(2)/25)*BQ59+(1-EXP(-LN(2)/25))/(LN(2)/25)*Calculateur!BL60*Calculateur!BN60*VLOOKUP('Données projet'!$B$11,Paramètres!$A$1:$I$88,3,0)*0.475*44/12</f>
        <v>0</v>
      </c>
      <c r="BR60" s="23">
        <f>EXP(-LN(2)/2)*BR59+(1-EXP(-LN(2)/2))/(LN(2)/2)*BL60*BO60*VLOOKUP('Données projet'!$B$11,Paramètres!$A$1:$I$88,3,0)*0.475*44/12</f>
        <v>0</v>
      </c>
      <c r="BS60" s="24">
        <f t="shared" si="9"/>
        <v>7.5809203211343084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66.957397604560995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6.2</v>
      </c>
      <c r="BY60" s="13">
        <f>IF('Données projet'!$A$114&gt;35,BY59+BX60-CG59,IF(A60&lt;'Données projet'!$A$114,$BV$205^A60,IF(A60='Données projet'!$A$114,'Données projet'!$B$114,BY59+BX60-CG59)))</f>
        <v>275.39999999999992</v>
      </c>
      <c r="BZ60" s="14">
        <f>BY60*VLOOKUP('Données projet'!$B$12,Paramètres!$A$1:$I$88,3,0)*VLOOKUP('Données projet'!$B$12,Paramètres!$A$1:$I$88,5,0)</f>
        <v>180.44207999999995</v>
      </c>
      <c r="CA60" s="14">
        <f t="shared" si="39"/>
        <v>45.420526775820029</v>
      </c>
      <c r="CB60" s="22">
        <f t="shared" si="10"/>
        <v>393.37737346788646</v>
      </c>
      <c r="CC60" s="62">
        <f t="shared" si="11"/>
        <v>675.55449801794339</v>
      </c>
      <c r="CD60" s="62">
        <f ca="1">AVERAGE(OFFSET($CC$3,0,0,'Données projet'!$E$12+1,1))-AVERAGE(OFFSET($H$3,0,0,'Données projet'!$E$12+1,1))</f>
        <v>305.38855494899906</v>
      </c>
      <c r="CE60" s="62">
        <f t="shared" si="40"/>
        <v>298.48106301229177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projet'!$B$12,Paramètres!$A$1:$I$88,3,0)*0.475*44/12</f>
        <v>9.4901894719464259</v>
      </c>
      <c r="CL60" s="23">
        <f>EXP(-LN(2)/25)*CL59+(1-EXP(-LN(2)/25))/(LN(2)/25)*Calculateur!CG60*Calculateur!CI60*VLOOKUP('Données projet'!$B$12,Paramètres!$A$1:$I$88,3,0)*0.475*44/12</f>
        <v>0</v>
      </c>
      <c r="CM60" s="23">
        <f>EXP(-LN(2)/2)*CM59+(1-EXP(-LN(2)/2))/(LN(2)/2)*CG60*CJ60*VLOOKUP('Données projet'!$B$12,Paramètres!$A$1:$I$88,3,0)*0.475*44/12</f>
        <v>0</v>
      </c>
      <c r="CN60" s="24">
        <f t="shared" si="12"/>
        <v>9.4901894719464259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66.957397604560995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6.2</v>
      </c>
      <c r="CT60" s="13">
        <f>IF('Données projet'!$A$140&gt;35,CT59+CS60-DB59,IF(A60&lt;'Données projet'!$A$140,$CQ$205^A60,IF(A60='Données projet'!$A$140,'Données projet'!$B$140,CT59+CS60-DB59)))</f>
        <v>275.39999999999992</v>
      </c>
      <c r="CU60" s="18">
        <f>CT60*VLOOKUP('Données projet'!$B$13,Paramètres!$A$1:$I$88,3,0)*VLOOKUP('Données projet'!$B$13,Paramètres!$A$1:$I$88,5,0)</f>
        <v>219.10823999999994</v>
      </c>
      <c r="CV60" s="14">
        <f t="shared" si="41"/>
        <v>53.921020297295854</v>
      </c>
      <c r="CW60" s="22">
        <f t="shared" si="13"/>
        <v>475.52596168445672</v>
      </c>
      <c r="CX60" s="62">
        <f t="shared" si="14"/>
        <v>757.70308623451365</v>
      </c>
      <c r="CY60" s="62">
        <f ca="1">AVERAGE(OFFSET($CX$3,0,0,'Données projet'!$E$13+1,1))-AVERAGE(OFFSET($H$3,0,0,'Données projet'!$E$13+1,1))</f>
        <v>361.30066984973894</v>
      </c>
      <c r="CZ60" s="62">
        <f t="shared" si="42"/>
        <v>351.78053157121622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projet'!$B$13,Paramètres!$A$1:$I$88,3,0)*0.475*44/12</f>
        <v>14.203755339242077</v>
      </c>
      <c r="DG60" s="23">
        <f>EXP(-LN(2)/25)*DG59+(1-EXP(-LN(2)/25))/(LN(2)/25)*Calculateur!DB60*Calculateur!DD60*VLOOKUP('Données projet'!$B$13,Paramètres!$A$1:$I$88,3,0)*0.475*44/12</f>
        <v>0</v>
      </c>
      <c r="DH60" s="23">
        <f>EXP(-LN(2)/2)*DH59+(1-EXP(-LN(2)/2))/(LN(2)/2)*DB60*DE60*VLOOKUP('Données projet'!$B$13,Paramètres!$A$1:$I$88,3,0)*0.475*44/12</f>
        <v>0</v>
      </c>
      <c r="DI60" s="24">
        <f t="shared" si="15"/>
        <v>14.203755339242077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66.957397604560995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>
        <f>DO60*VLOOKUP('Données projet'!$B$14,Paramètres!$A$1:$I$88,3,0)*VLOOKUP('Données projet'!$B$14,Paramètres!$A$1:$I$88,5,0)</f>
        <v>0</v>
      </c>
      <c r="DQ60" s="14" t="e">
        <f t="shared" si="43"/>
        <v>#NUM!</v>
      </c>
      <c r="DR60" s="22" t="e">
        <f t="shared" si="16"/>
        <v>#NUM!</v>
      </c>
      <c r="DS60" s="62" t="e">
        <f t="shared" si="17"/>
        <v>#NUM!</v>
      </c>
      <c r="DT60" s="62">
        <f ca="1">AVERAGE(OFFSET($DS$3,0,0,'Données projet'!$E$14+1,1))-AVERAGE(OFFSET($H$3,0,0,'Données projet'!$E$14+1,1))</f>
        <v>91.201152634762423</v>
      </c>
      <c r="DU60" s="62">
        <f t="shared" si="44"/>
        <v>233.36981992862445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projet'!$B$14,Paramètres!$A$1:$I$88,3,0)*0.475*44/12</f>
        <v>24.286954300499939</v>
      </c>
      <c r="EB60" s="23">
        <f>EXP(-LN(2)/25)*EB59+(1-EXP(-LN(2)/25))/(LN(2)/25)*Calculateur!DW60*Calculateur!DY60*VLOOKUP('Données projet'!$B$14,Paramètres!$A$1:$I$88,3,0)*0.475*44/12</f>
        <v>0</v>
      </c>
      <c r="EC60" s="23">
        <f>EXP(-LN(2)/2)*EC59+(1-EXP(-LN(2)/2))/(LN(2)/2)*DW60*DZ60*VLOOKUP('Données projet'!$B$14,Paramètres!$A$1:$I$88,3,0)*0.475*44/12</f>
        <v>0</v>
      </c>
      <c r="ED60" s="24">
        <f t="shared" si="18"/>
        <v>24.286954300499939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66.957397604560995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projet'!$B$15,Paramètres!$A$1:$I$88,3,0)*0.475*44/12</f>
        <v>#N/A</v>
      </c>
      <c r="EW60" s="23" t="e">
        <f>EXP(-LN(2)/25)*EW59+(1-EXP(-LN(2)/25))/(LN(2)/25)*Calculateur!ER60*Calculateur!ET60*VLOOKUP('Données projet'!$B$15,Paramètres!$A$1:$I$88,3,0)*0.475*44/12</f>
        <v>#N/A</v>
      </c>
      <c r="EX60" s="23" t="e">
        <f>EXP(-LN(2)/2)*EX59+(1-EXP(-LN(2)/2))/(LN(2)/2)*ER60*EU60*VLOOKUP('Données projet'!$B$15,Paramètres!$A$1:$I$88,3,0)*0.475*44/12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66.957397604560995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projet'!$B$16,Paramètres!$A$1:$I$88,3,0)*0.475*44/12</f>
        <v>#N/A</v>
      </c>
      <c r="FR60" s="23" t="e">
        <f>EXP(-LN(2)/25)*FR59+(1-EXP(-LN(2)/25))/(LN(2)/25)*Calculateur!FM60*Calculateur!FO60*VLOOKUP('Données projet'!$B$16,Paramètres!$A$1:$I$88,3,0)*0.475*44/12</f>
        <v>#N/A</v>
      </c>
      <c r="FS60" s="23" t="e">
        <f>EXP(-LN(2)/2)*FS59+(1-EXP(-LN(2)/2))/(LN(2)/2)*FM60*FP60*VLOOKUP('Données projet'!$B$16,Paramètres!$A$1:$I$88,3,0)*0.475*44/12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66.957397604560995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projet'!$B$17,Paramètres!$A$1:$I$88,3,0)*0.475*44/12</f>
        <v>#N/A</v>
      </c>
      <c r="GM60" s="23" t="e">
        <f>EXP(-LN(2)/25)*GM59+(1-EXP(-LN(2)/25))/(LN(2)/25)*Calculateur!GH60*Calculateur!GJ60*VLOOKUP('Données projet'!$B$17,Paramètres!$A$1:$I$88,3,0)*0.475*44/12</f>
        <v>#N/A</v>
      </c>
      <c r="GN60" s="23" t="e">
        <f>EXP(-LN(2)/2)*GN59+(1-EXP(-LN(2)/2))/(LN(2)/2)*GH60*GK60*VLOOKUP('Données projet'!$B$17,Paramètres!$A$1:$I$88,3,0)*0.475*44/12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66.957397604560995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projet'!$B$18,Paramètres!$A$1:$I$88,3,0)*0.475*44/12</f>
        <v>#N/A</v>
      </c>
      <c r="HH60" s="23" t="e">
        <f>EXP(-LN(2)/25)*HH59+(1-EXP(-LN(2)/25))/(LN(2)/25)*Calculateur!HC60*Calculateur!HE60*VLOOKUP('Données projet'!$B$18,Paramètres!$A$1:$I$88,3,0)*0.475*44/12</f>
        <v>#N/A</v>
      </c>
      <c r="HI60" s="23" t="e">
        <f>EXP(-LN(2)/2)*HI59+(1-EXP(-LN(2)/2))/(LN(2)/2)*HC60*HF60*VLOOKUP('Données projet'!$B$18,Paramètres!$A$1:$I$88,3,0)*0.475*44/12</f>
        <v>#N/A</v>
      </c>
      <c r="HJ60" s="24" t="e">
        <f t="shared" si="30"/>
        <v>#N/A</v>
      </c>
    </row>
    <row r="61" spans="1:218" s="5" customFormat="1" x14ac:dyDescent="0.2">
      <c r="A61" s="11">
        <f t="shared" si="31"/>
        <v>58</v>
      </c>
      <c r="B61" s="77">
        <f>'Scénario référence'!$B$16*5+'Scénario référence'!$B$17*0+'Scénario référence'!$B$18*5</f>
        <v>1.6500000000000001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6.0500000000000007</v>
      </c>
      <c r="H61" s="70">
        <f t="shared" si="1"/>
        <v>232.4666666666667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67.010179953881959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projet'!$B$9,Paramètres!$A$1:$I$88,3,0)*VLOOKUP('Données projet'!$B$9,Paramètres!$A$1:$I$88,5,0)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282.37065983090247</v>
      </c>
      <c r="S61" s="62">
        <f ca="1">AVERAGE(OFFSET($R$3,0,0,'Données projet'!$E$9+1,1))-AVERAGE(OFFSET($H$3,0,0,'Données projet'!$E$9+1,1))</f>
        <v>354.71367224254021</v>
      </c>
      <c r="T61" s="62">
        <f t="shared" si="34"/>
        <v>490.074370133397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180.24234461122472</v>
      </c>
      <c r="AA61" s="23">
        <f>EXP(-LN(2)/25)*AA60+(1-EXP(-LN(2)/25))/(LN(2)/25)*Calculateur!V61*Calculateur!X61*VLOOKUP('Données projet'!$B$9,Paramètres!$A$1:$I$88,3,0)*0.475*44/12</f>
        <v>39.159438898399571</v>
      </c>
      <c r="AB61" s="23">
        <f>EXP(-LN(2)/2)*AB60+(1-EXP(-LN(2)/2))/(LN(2)/2)*V61*Y61*VLOOKUP('Données projet'!$B$9,Paramètres!$A$1:$I$88,3,0)*0.475*44/12</f>
        <v>1.1384230898276613</v>
      </c>
      <c r="AC61" s="24">
        <f t="shared" si="3"/>
        <v>220.54020659945195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67.010179953881959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2.2737367544323206E-13</v>
      </c>
      <c r="AJ61" s="14">
        <f>AI61*VLOOKUP('Données projet'!$B$10,Paramètres!$A$1:$I$88,3,0)*VLOOKUP('Données projet'!$B$10,Paramètres!$A$1:$I$88,5,0)</f>
        <v>1.3596945791505279E-13</v>
      </c>
      <c r="AK61" s="14">
        <f t="shared" si="35"/>
        <v>1.9708830566360721E-12</v>
      </c>
      <c r="AL61" s="22">
        <f t="shared" si="4"/>
        <v>3.669434796176543E-12</v>
      </c>
      <c r="AM61" s="62">
        <f t="shared" si="5"/>
        <v>282.37065983090417</v>
      </c>
      <c r="AN61" s="62">
        <f ca="1">AVERAGE(OFFSET($AM$3,0,0,'Données projet'!$E$10+1,1))-AVERAGE(OFFSET($H$3,0,0,'Données projet'!$E$10+1,1))</f>
        <v>264.73276096087574</v>
      </c>
      <c r="AO61" s="62">
        <f t="shared" si="36"/>
        <v>381.84464918049662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projet'!$B$10,Paramètres!$A$1:$I$88,3,0)*0.475*44/12</f>
        <v>126.40510158937771</v>
      </c>
      <c r="AV61" s="23">
        <f>EXP(-LN(2)/25)*AV60+(1-EXP(-LN(2)/25))/(LN(2)/25)*Calculateur!AQ61*Calculateur!AS61*VLOOKUP('Données projet'!$B$10,Paramètres!$A$1:$I$88,3,0)*0.475*44/12</f>
        <v>27.510765372849672</v>
      </c>
      <c r="AW61" s="23">
        <f>EXP(-LN(2)/2)*AW60+(1-EXP(-LN(2)/2))/(LN(2)/2)*AQ61*AT61*VLOOKUP('Données projet'!$B$10,Paramètres!$A$1:$I$88,3,0)*0.475*44/12</f>
        <v>0.79713328036563058</v>
      </c>
      <c r="AX61" s="23">
        <f t="shared" si="6"/>
        <v>154.71300024259301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67.010179953881959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7.6</v>
      </c>
      <c r="BD61" s="13">
        <f>IF('Données projet'!$A$88&gt;35,BD60+BC61-BL60,IF(A61&lt;'Données projet'!$A$88,$BA$205^A61,IF(A61='Données projet'!$A$88,'Données projet'!$B$88,BD60+BC61-BL60)))</f>
        <v>198.79999999999998</v>
      </c>
      <c r="BE61" s="14">
        <f>BD61*VLOOKUP('Données projet'!$B$11,Paramètres!$A$1:$I$88,3,0)*VLOOKUP('Données projet'!$B$11,Paramètres!$A$1:$I$88,5,0)</f>
        <v>226.39344</v>
      </c>
      <c r="BF61" s="14">
        <f t="shared" si="37"/>
        <v>55.502143071135905</v>
      </c>
      <c r="BG61" s="22">
        <f t="shared" si="7"/>
        <v>490.96814051556157</v>
      </c>
      <c r="BH61" s="62">
        <f t="shared" si="8"/>
        <v>773.33880034646199</v>
      </c>
      <c r="BI61" s="62">
        <f ca="1">AVERAGE(OFFSET($BH$3,0,0,'Données projet'!$E$11+1,1))-AVERAGE(OFFSET($H$3,0,0,'Données projet'!$E$11+1,1))</f>
        <v>470.57532875732056</v>
      </c>
      <c r="BJ61" s="62">
        <f t="shared" si="38"/>
        <v>286.63787681165888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projet'!$B$11,Paramètres!$A$1:$I$88,3,0)*0.475*44/12</f>
        <v>7.4322630975416875</v>
      </c>
      <c r="BQ61" s="23">
        <f>EXP(-LN(2)/25)*BQ60+(1-EXP(-LN(2)/25))/(LN(2)/25)*Calculateur!BL61*Calculateur!BN61*VLOOKUP('Données projet'!$B$11,Paramètres!$A$1:$I$88,3,0)*0.475*44/12</f>
        <v>0</v>
      </c>
      <c r="BR61" s="23">
        <f>EXP(-LN(2)/2)*BR60+(1-EXP(-LN(2)/2))/(LN(2)/2)*BL61*BO61*VLOOKUP('Données projet'!$B$11,Paramètres!$A$1:$I$88,3,0)*0.475*44/12</f>
        <v>0</v>
      </c>
      <c r="BS61" s="24">
        <f t="shared" si="9"/>
        <v>7.4322630975416875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67.010179953881959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6.2</v>
      </c>
      <c r="BY61" s="13">
        <f>IF('Données projet'!$A$114&gt;35,BY60+BX61-CG60,IF(A61&lt;'Données projet'!$A$114,$BV$205^A61,IF(A61='Données projet'!$A$114,'Données projet'!$B$114,BY60+BX61-CG60)))</f>
        <v>281.59999999999991</v>
      </c>
      <c r="BZ61" s="14">
        <f>BY61*VLOOKUP('Données projet'!$B$12,Paramètres!$A$1:$I$88,3,0)*VLOOKUP('Données projet'!$B$12,Paramètres!$A$1:$I$88,5,0)</f>
        <v>184.50431999999995</v>
      </c>
      <c r="CA61" s="14">
        <f t="shared" si="39"/>
        <v>46.32286829709458</v>
      </c>
      <c r="CB61" s="22">
        <f t="shared" si="10"/>
        <v>402.02401961743959</v>
      </c>
      <c r="CC61" s="62">
        <f t="shared" si="11"/>
        <v>684.39467944834007</v>
      </c>
      <c r="CD61" s="62">
        <f ca="1">AVERAGE(OFFSET($CC$3,0,0,'Données projet'!$E$12+1,1))-AVERAGE(OFFSET($H$3,0,0,'Données projet'!$E$12+1,1))</f>
        <v>305.38855494899906</v>
      </c>
      <c r="CE61" s="62">
        <f t="shared" si="40"/>
        <v>298.48106301229177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projet'!$B$12,Paramètres!$A$1:$I$88,3,0)*0.475*44/12</f>
        <v>9.3040926448455732</v>
      </c>
      <c r="CL61" s="23">
        <f>EXP(-LN(2)/25)*CL60+(1-EXP(-LN(2)/25))/(LN(2)/25)*Calculateur!CG61*Calculateur!CI61*VLOOKUP('Données projet'!$B$12,Paramètres!$A$1:$I$88,3,0)*0.475*44/12</f>
        <v>0</v>
      </c>
      <c r="CM61" s="23">
        <f>EXP(-LN(2)/2)*CM60+(1-EXP(-LN(2)/2))/(LN(2)/2)*CG61*CJ61*VLOOKUP('Données projet'!$B$12,Paramètres!$A$1:$I$88,3,0)*0.475*44/12</f>
        <v>0</v>
      </c>
      <c r="CN61" s="24">
        <f t="shared" si="12"/>
        <v>9.3040926448455732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67.010179953881959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6.2</v>
      </c>
      <c r="CT61" s="13">
        <f>IF('Données projet'!$A$140&gt;35,CT60+CS61-DB60,IF(A61&lt;'Données projet'!$A$140,$CQ$205^A61,IF(A61='Données projet'!$A$140,'Données projet'!$B$140,CT60+CS61-DB60)))</f>
        <v>281.59999999999991</v>
      </c>
      <c r="CU61" s="18">
        <f>CT61*VLOOKUP('Données projet'!$B$13,Paramètres!$A$1:$I$88,3,0)*VLOOKUP('Données projet'!$B$13,Paramètres!$A$1:$I$88,5,0)</f>
        <v>224.04095999999993</v>
      </c>
      <c r="CV61" s="14">
        <f t="shared" si="41"/>
        <v>54.992235867381233</v>
      </c>
      <c r="CW61" s="22">
        <f t="shared" si="13"/>
        <v>485.98281613568884</v>
      </c>
      <c r="CX61" s="62">
        <f t="shared" si="14"/>
        <v>768.35347596658926</v>
      </c>
      <c r="CY61" s="62">
        <f ca="1">AVERAGE(OFFSET($CX$3,0,0,'Données projet'!$E$13+1,1))-AVERAGE(OFFSET($H$3,0,0,'Données projet'!$E$13+1,1))</f>
        <v>361.30066984973894</v>
      </c>
      <c r="CZ61" s="62">
        <f t="shared" si="42"/>
        <v>351.78053157121622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projet'!$B$13,Paramètres!$A$1:$I$88,3,0)*0.475*44/12</f>
        <v>13.925228360474854</v>
      </c>
      <c r="DG61" s="23">
        <f>EXP(-LN(2)/25)*DG60+(1-EXP(-LN(2)/25))/(LN(2)/25)*Calculateur!DB61*Calculateur!DD61*VLOOKUP('Données projet'!$B$13,Paramètres!$A$1:$I$88,3,0)*0.475*44/12</f>
        <v>0</v>
      </c>
      <c r="DH61" s="23">
        <f>EXP(-LN(2)/2)*DH60+(1-EXP(-LN(2)/2))/(LN(2)/2)*DB61*DE61*VLOOKUP('Données projet'!$B$13,Paramètres!$A$1:$I$88,3,0)*0.475*44/12</f>
        <v>0</v>
      </c>
      <c r="DI61" s="24">
        <f t="shared" si="15"/>
        <v>13.925228360474854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67.010179953881959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>
        <f>DO61*VLOOKUP('Données projet'!$B$14,Paramètres!$A$1:$I$88,3,0)*VLOOKUP('Données projet'!$B$14,Paramètres!$A$1:$I$88,5,0)</f>
        <v>0</v>
      </c>
      <c r="DQ61" s="14" t="e">
        <f t="shared" si="43"/>
        <v>#NUM!</v>
      </c>
      <c r="DR61" s="22" t="e">
        <f t="shared" si="16"/>
        <v>#NUM!</v>
      </c>
      <c r="DS61" s="62" t="e">
        <f t="shared" si="17"/>
        <v>#NUM!</v>
      </c>
      <c r="DT61" s="62">
        <f ca="1">AVERAGE(OFFSET($DS$3,0,0,'Données projet'!$E$14+1,1))-AVERAGE(OFFSET($H$3,0,0,'Données projet'!$E$14+1,1))</f>
        <v>91.201152634762423</v>
      </c>
      <c r="DU61" s="62">
        <f t="shared" si="44"/>
        <v>233.36981992862445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projet'!$B$14,Paramètres!$A$1:$I$88,3,0)*0.475*44/12</f>
        <v>23.810701940246538</v>
      </c>
      <c r="EB61" s="23">
        <f>EXP(-LN(2)/25)*EB60+(1-EXP(-LN(2)/25))/(LN(2)/25)*Calculateur!DW61*Calculateur!DY61*VLOOKUP('Données projet'!$B$14,Paramètres!$A$1:$I$88,3,0)*0.475*44/12</f>
        <v>0</v>
      </c>
      <c r="EC61" s="23">
        <f>EXP(-LN(2)/2)*EC60+(1-EXP(-LN(2)/2))/(LN(2)/2)*DW61*DZ61*VLOOKUP('Données projet'!$B$14,Paramètres!$A$1:$I$88,3,0)*0.475*44/12</f>
        <v>0</v>
      </c>
      <c r="ED61" s="24">
        <f t="shared" si="18"/>
        <v>23.810701940246538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67.010179953881959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projet'!$B$15,Paramètres!$A$1:$I$88,3,0)*0.475*44/12</f>
        <v>#N/A</v>
      </c>
      <c r="EW61" s="23" t="e">
        <f>EXP(-LN(2)/25)*EW60+(1-EXP(-LN(2)/25))/(LN(2)/25)*Calculateur!ER61*Calculateur!ET61*VLOOKUP('Données projet'!$B$15,Paramètres!$A$1:$I$88,3,0)*0.475*44/12</f>
        <v>#N/A</v>
      </c>
      <c r="EX61" s="23" t="e">
        <f>EXP(-LN(2)/2)*EX60+(1-EXP(-LN(2)/2))/(LN(2)/2)*ER61*EU61*VLOOKUP('Données projet'!$B$15,Paramètres!$A$1:$I$88,3,0)*0.475*44/12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67.010179953881959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projet'!$B$16,Paramètres!$A$1:$I$88,3,0)*0.475*44/12</f>
        <v>#N/A</v>
      </c>
      <c r="FR61" s="23" t="e">
        <f>EXP(-LN(2)/25)*FR60+(1-EXP(-LN(2)/25))/(LN(2)/25)*Calculateur!FM61*Calculateur!FO61*VLOOKUP('Données projet'!$B$16,Paramètres!$A$1:$I$88,3,0)*0.475*44/12</f>
        <v>#N/A</v>
      </c>
      <c r="FS61" s="23" t="e">
        <f>EXP(-LN(2)/2)*FS60+(1-EXP(-LN(2)/2))/(LN(2)/2)*FM61*FP61*VLOOKUP('Données projet'!$B$16,Paramètres!$A$1:$I$88,3,0)*0.475*44/12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67.010179953881959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projet'!$B$17,Paramètres!$A$1:$I$88,3,0)*0.475*44/12</f>
        <v>#N/A</v>
      </c>
      <c r="GM61" s="23" t="e">
        <f>EXP(-LN(2)/25)*GM60+(1-EXP(-LN(2)/25))/(LN(2)/25)*Calculateur!GH61*Calculateur!GJ61*VLOOKUP('Données projet'!$B$17,Paramètres!$A$1:$I$88,3,0)*0.475*44/12</f>
        <v>#N/A</v>
      </c>
      <c r="GN61" s="23" t="e">
        <f>EXP(-LN(2)/2)*GN60+(1-EXP(-LN(2)/2))/(LN(2)/2)*GH61*GK61*VLOOKUP('Données projet'!$B$17,Paramètres!$A$1:$I$88,3,0)*0.475*44/12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67.010179953881959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projet'!$B$18,Paramètres!$A$1:$I$88,3,0)*0.475*44/12</f>
        <v>#N/A</v>
      </c>
      <c r="HH61" s="23" t="e">
        <f>EXP(-LN(2)/25)*HH60+(1-EXP(-LN(2)/25))/(LN(2)/25)*Calculateur!HC61*Calculateur!HE61*VLOOKUP('Données projet'!$B$18,Paramètres!$A$1:$I$88,3,0)*0.475*44/12</f>
        <v>#N/A</v>
      </c>
      <c r="HI61" s="23" t="e">
        <f>EXP(-LN(2)/2)*HI60+(1-EXP(-LN(2)/2))/(LN(2)/2)*HC61*HF61*VLOOKUP('Données projet'!$B$18,Paramètres!$A$1:$I$88,3,0)*0.475*44/12</f>
        <v>#N/A</v>
      </c>
      <c r="HJ61" s="24" t="e">
        <f t="shared" si="30"/>
        <v>#N/A</v>
      </c>
    </row>
    <row r="62" spans="1:218" s="5" customFormat="1" x14ac:dyDescent="0.2">
      <c r="A62" s="11">
        <f t="shared" si="31"/>
        <v>59</v>
      </c>
      <c r="B62" s="77">
        <f>'Scénario référence'!$B$16*5+'Scénario référence'!$B$17*0+'Scénario référence'!$B$18*5</f>
        <v>1.6500000000000001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6.0500000000000007</v>
      </c>
      <c r="H62" s="70">
        <f t="shared" si="1"/>
        <v>232.4666666666667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67.062046647445854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projet'!$B$9,Paramètres!$A$1:$I$88,3,0)*VLOOKUP('Données projet'!$B$9,Paramètres!$A$1:$I$88,5,0)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282.56083770730345</v>
      </c>
      <c r="S62" s="62">
        <f ca="1">AVERAGE(OFFSET($R$3,0,0,'Données projet'!$E$9+1,1))-AVERAGE(OFFSET($H$3,0,0,'Données projet'!$E$9+1,1))</f>
        <v>354.71367224254021</v>
      </c>
      <c r="T62" s="62">
        <f t="shared" si="34"/>
        <v>490.074370133397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176.70790217037344</v>
      </c>
      <c r="AA62" s="23">
        <f>EXP(-LN(2)/25)*AA61+(1-EXP(-LN(2)/25))/(LN(2)/25)*Calculateur!V62*Calculateur!X62*VLOOKUP('Données projet'!$B$9,Paramètres!$A$1:$I$88,3,0)*0.475*44/12</f>
        <v>38.088621982417443</v>
      </c>
      <c r="AB62" s="23">
        <f>EXP(-LN(2)/2)*AB61+(1-EXP(-LN(2)/2))/(LN(2)/2)*V62*Y62*VLOOKUP('Données projet'!$B$9,Paramètres!$A$1:$I$88,3,0)*0.475*44/12</f>
        <v>0.80498668667648143</v>
      </c>
      <c r="AC62" s="24">
        <f t="shared" si="3"/>
        <v>215.60151083946735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67.062046647445854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2.2737367544323206E-13</v>
      </c>
      <c r="AJ62" s="14">
        <f>AI62*VLOOKUP('Données projet'!$B$10,Paramètres!$A$1:$I$88,3,0)*VLOOKUP('Données projet'!$B$10,Paramètres!$A$1:$I$88,5,0)</f>
        <v>1.3596945791505279E-13</v>
      </c>
      <c r="AK62" s="14">
        <f t="shared" si="35"/>
        <v>1.9708830566360721E-12</v>
      </c>
      <c r="AL62" s="22">
        <f t="shared" si="4"/>
        <v>3.669434796176543E-12</v>
      </c>
      <c r="AM62" s="62">
        <f t="shared" si="5"/>
        <v>282.56083770730515</v>
      </c>
      <c r="AN62" s="62">
        <f ca="1">AVERAGE(OFFSET($AM$3,0,0,'Données projet'!$E$10+1,1))-AVERAGE(OFFSET($H$3,0,0,'Données projet'!$E$10+1,1))</f>
        <v>264.73276096087574</v>
      </c>
      <c r="AO62" s="62">
        <f t="shared" si="36"/>
        <v>381.84464918049662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projet'!$B$10,Paramètres!$A$1:$I$88,3,0)*0.475*44/12</f>
        <v>123.92637464670904</v>
      </c>
      <c r="AV62" s="23">
        <f>EXP(-LN(2)/25)*AV61+(1-EXP(-LN(2)/25))/(LN(2)/25)*Calculateur!AQ62*Calculateur!AS62*VLOOKUP('Données projet'!$B$10,Paramètres!$A$1:$I$88,3,0)*0.475*44/12</f>
        <v>26.758482047000825</v>
      </c>
      <c r="AW62" s="23">
        <f>EXP(-LN(2)/2)*AW61+(1-EXP(-LN(2)/2))/(LN(2)/2)*AQ62*AT62*VLOOKUP('Données projet'!$B$10,Paramètres!$A$1:$I$88,3,0)*0.475*44/12</f>
        <v>0.56365834805601478</v>
      </c>
      <c r="AX62" s="23">
        <f t="shared" si="6"/>
        <v>151.24851504176587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67.062046647445854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7.6</v>
      </c>
      <c r="BD62" s="13">
        <f>IF('Données projet'!$A$88&gt;35,BD61+BC62-BL61,IF(A62&lt;'Données projet'!$A$88,$BA$205^A62,IF(A62='Données projet'!$A$88,'Données projet'!$B$88,BD61+BC62-BL61)))</f>
        <v>206.39999999999998</v>
      </c>
      <c r="BE62" s="14">
        <f>BD62*VLOOKUP('Données projet'!$B$11,Paramètres!$A$1:$I$88,3,0)*VLOOKUP('Données projet'!$B$11,Paramètres!$A$1:$I$88,5,0)</f>
        <v>235.04831999999996</v>
      </c>
      <c r="BF62" s="14">
        <f t="shared" si="37"/>
        <v>57.372863190596689</v>
      </c>
      <c r="BG62" s="22">
        <f t="shared" si="7"/>
        <v>509.30022739028914</v>
      </c>
      <c r="BH62" s="62">
        <f t="shared" si="8"/>
        <v>791.86106509759065</v>
      </c>
      <c r="BI62" s="62">
        <f ca="1">AVERAGE(OFFSET($BH$3,0,0,'Données projet'!$E$11+1,1))-AVERAGE(OFFSET($H$3,0,0,'Données projet'!$E$11+1,1))</f>
        <v>470.57532875732056</v>
      </c>
      <c r="BJ62" s="62">
        <f t="shared" si="38"/>
        <v>286.63787681165888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projet'!$B$11,Paramètres!$A$1:$I$88,3,0)*0.475*44/12</f>
        <v>7.2865209514317648</v>
      </c>
      <c r="BQ62" s="23">
        <f>EXP(-LN(2)/25)*BQ61+(1-EXP(-LN(2)/25))/(LN(2)/25)*Calculateur!BL62*Calculateur!BN62*VLOOKUP('Données projet'!$B$11,Paramètres!$A$1:$I$88,3,0)*0.475*44/12</f>
        <v>0</v>
      </c>
      <c r="BR62" s="23">
        <f>EXP(-LN(2)/2)*BR61+(1-EXP(-LN(2)/2))/(LN(2)/2)*BL62*BO62*VLOOKUP('Données projet'!$B$11,Paramètres!$A$1:$I$88,3,0)*0.475*44/12</f>
        <v>0</v>
      </c>
      <c r="BS62" s="24">
        <f t="shared" si="9"/>
        <v>7.2865209514317648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67.062046647445854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6.2</v>
      </c>
      <c r="BY62" s="13">
        <f>IF('Données projet'!$A$114&gt;35,BY61+BX62-CG61,IF(A62&lt;'Données projet'!$A$114,$BV$205^A62,IF(A62='Données projet'!$A$114,'Données projet'!$B$114,BY61+BX62-CG61)))</f>
        <v>287.7999999999999</v>
      </c>
      <c r="BZ62" s="14">
        <f>BY62*VLOOKUP('Données projet'!$B$12,Paramètres!$A$1:$I$88,3,0)*VLOOKUP('Données projet'!$B$12,Paramètres!$A$1:$I$88,5,0)</f>
        <v>188.56655999999992</v>
      </c>
      <c r="CA62" s="14">
        <f t="shared" si="39"/>
        <v>47.222900075332575</v>
      </c>
      <c r="CB62" s="22">
        <f t="shared" si="10"/>
        <v>410.66664296453746</v>
      </c>
      <c r="CC62" s="62">
        <f t="shared" si="11"/>
        <v>693.22748067183898</v>
      </c>
      <c r="CD62" s="62">
        <f ca="1">AVERAGE(OFFSET($CC$3,0,0,'Données projet'!$E$12+1,1))-AVERAGE(OFFSET($H$3,0,0,'Données projet'!$E$12+1,1))</f>
        <v>305.38855494899906</v>
      </c>
      <c r="CE62" s="62">
        <f t="shared" si="40"/>
        <v>298.48106301229177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projet'!$B$12,Paramètres!$A$1:$I$88,3,0)*0.475*44/12</f>
        <v>9.1216450630163113</v>
      </c>
      <c r="CL62" s="23">
        <f>EXP(-LN(2)/25)*CL61+(1-EXP(-LN(2)/25))/(LN(2)/25)*Calculateur!CG62*Calculateur!CI62*VLOOKUP('Données projet'!$B$12,Paramètres!$A$1:$I$88,3,0)*0.475*44/12</f>
        <v>0</v>
      </c>
      <c r="CM62" s="23">
        <f>EXP(-LN(2)/2)*CM61+(1-EXP(-LN(2)/2))/(LN(2)/2)*CG62*CJ62*VLOOKUP('Données projet'!$B$12,Paramètres!$A$1:$I$88,3,0)*0.475*44/12</f>
        <v>0</v>
      </c>
      <c r="CN62" s="24">
        <f t="shared" si="12"/>
        <v>9.1216450630163113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67.062046647445854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6.2</v>
      </c>
      <c r="CT62" s="13">
        <f>IF('Données projet'!$A$140&gt;35,CT61+CS62-DB61,IF(A62&lt;'Données projet'!$A$140,$CQ$205^A62,IF(A62='Données projet'!$A$140,'Données projet'!$B$140,CT61+CS62-DB61)))</f>
        <v>287.7999999999999</v>
      </c>
      <c r="CU62" s="18">
        <f>CT62*VLOOKUP('Données projet'!$B$13,Paramètres!$A$1:$I$88,3,0)*VLOOKUP('Données projet'!$B$13,Paramètres!$A$1:$I$88,5,0)</f>
        <v>228.97367999999994</v>
      </c>
      <c r="CV62" s="14">
        <f t="shared" si="41"/>
        <v>56.060709423888284</v>
      </c>
      <c r="CW62" s="22">
        <f t="shared" si="13"/>
        <v>496.43489491327199</v>
      </c>
      <c r="CX62" s="62">
        <f t="shared" si="14"/>
        <v>778.99573262057345</v>
      </c>
      <c r="CY62" s="62">
        <f ca="1">AVERAGE(OFFSET($CX$3,0,0,'Données projet'!$E$13+1,1))-AVERAGE(OFFSET($H$3,0,0,'Données projet'!$E$13+1,1))</f>
        <v>361.30066984973894</v>
      </c>
      <c r="CZ62" s="62">
        <f t="shared" si="42"/>
        <v>351.78053157121622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projet'!$B$13,Paramètres!$A$1:$I$88,3,0)*0.475*44/12</f>
        <v>13.652163125876573</v>
      </c>
      <c r="DG62" s="23">
        <f>EXP(-LN(2)/25)*DG61+(1-EXP(-LN(2)/25))/(LN(2)/25)*Calculateur!DB62*Calculateur!DD62*VLOOKUP('Données projet'!$B$13,Paramètres!$A$1:$I$88,3,0)*0.475*44/12</f>
        <v>0</v>
      </c>
      <c r="DH62" s="23">
        <f>EXP(-LN(2)/2)*DH61+(1-EXP(-LN(2)/2))/(LN(2)/2)*DB62*DE62*VLOOKUP('Données projet'!$B$13,Paramètres!$A$1:$I$88,3,0)*0.475*44/12</f>
        <v>0</v>
      </c>
      <c r="DI62" s="24">
        <f t="shared" si="15"/>
        <v>13.652163125876573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67.062046647445854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>
        <f>DO62*VLOOKUP('Données projet'!$B$14,Paramètres!$A$1:$I$88,3,0)*VLOOKUP('Données projet'!$B$14,Paramètres!$A$1:$I$88,5,0)</f>
        <v>0</v>
      </c>
      <c r="DQ62" s="14" t="e">
        <f t="shared" si="43"/>
        <v>#NUM!</v>
      </c>
      <c r="DR62" s="22" t="e">
        <f t="shared" si="16"/>
        <v>#NUM!</v>
      </c>
      <c r="DS62" s="62" t="e">
        <f t="shared" si="17"/>
        <v>#NUM!</v>
      </c>
      <c r="DT62" s="62">
        <f ca="1">AVERAGE(OFFSET($DS$3,0,0,'Données projet'!$E$14+1,1))-AVERAGE(OFFSET($H$3,0,0,'Données projet'!$E$14+1,1))</f>
        <v>91.201152634762423</v>
      </c>
      <c r="DU62" s="62">
        <f t="shared" si="44"/>
        <v>233.36981992862445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projet'!$B$14,Paramètres!$A$1:$I$88,3,0)*0.475*44/12</f>
        <v>23.343788598292452</v>
      </c>
      <c r="EB62" s="23">
        <f>EXP(-LN(2)/25)*EB61+(1-EXP(-LN(2)/25))/(LN(2)/25)*Calculateur!DW62*Calculateur!DY62*VLOOKUP('Données projet'!$B$14,Paramètres!$A$1:$I$88,3,0)*0.475*44/12</f>
        <v>0</v>
      </c>
      <c r="EC62" s="23">
        <f>EXP(-LN(2)/2)*EC61+(1-EXP(-LN(2)/2))/(LN(2)/2)*DW62*DZ62*VLOOKUP('Données projet'!$B$14,Paramètres!$A$1:$I$88,3,0)*0.475*44/12</f>
        <v>0</v>
      </c>
      <c r="ED62" s="24">
        <f t="shared" si="18"/>
        <v>23.343788598292452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67.062046647445854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projet'!$B$15,Paramètres!$A$1:$I$88,3,0)*0.475*44/12</f>
        <v>#N/A</v>
      </c>
      <c r="EW62" s="23" t="e">
        <f>EXP(-LN(2)/25)*EW61+(1-EXP(-LN(2)/25))/(LN(2)/25)*Calculateur!ER62*Calculateur!ET62*VLOOKUP('Données projet'!$B$15,Paramètres!$A$1:$I$88,3,0)*0.475*44/12</f>
        <v>#N/A</v>
      </c>
      <c r="EX62" s="23" t="e">
        <f>EXP(-LN(2)/2)*EX61+(1-EXP(-LN(2)/2))/(LN(2)/2)*ER62*EU62*VLOOKUP('Données projet'!$B$15,Paramètres!$A$1:$I$88,3,0)*0.475*44/12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67.062046647445854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projet'!$B$16,Paramètres!$A$1:$I$88,3,0)*0.475*44/12</f>
        <v>#N/A</v>
      </c>
      <c r="FR62" s="23" t="e">
        <f>EXP(-LN(2)/25)*FR61+(1-EXP(-LN(2)/25))/(LN(2)/25)*Calculateur!FM62*Calculateur!FO62*VLOOKUP('Données projet'!$B$16,Paramètres!$A$1:$I$88,3,0)*0.475*44/12</f>
        <v>#N/A</v>
      </c>
      <c r="FS62" s="23" t="e">
        <f>EXP(-LN(2)/2)*FS61+(1-EXP(-LN(2)/2))/(LN(2)/2)*FM62*FP62*VLOOKUP('Données projet'!$B$16,Paramètres!$A$1:$I$88,3,0)*0.475*44/12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67.062046647445854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projet'!$B$17,Paramètres!$A$1:$I$88,3,0)*0.475*44/12</f>
        <v>#N/A</v>
      </c>
      <c r="GM62" s="23" t="e">
        <f>EXP(-LN(2)/25)*GM61+(1-EXP(-LN(2)/25))/(LN(2)/25)*Calculateur!GH62*Calculateur!GJ62*VLOOKUP('Données projet'!$B$17,Paramètres!$A$1:$I$88,3,0)*0.475*44/12</f>
        <v>#N/A</v>
      </c>
      <c r="GN62" s="23" t="e">
        <f>EXP(-LN(2)/2)*GN61+(1-EXP(-LN(2)/2))/(LN(2)/2)*GH62*GK62*VLOOKUP('Données projet'!$B$17,Paramètres!$A$1:$I$88,3,0)*0.475*44/12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67.062046647445854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projet'!$B$18,Paramètres!$A$1:$I$88,3,0)*0.475*44/12</f>
        <v>#N/A</v>
      </c>
      <c r="HH62" s="23" t="e">
        <f>EXP(-LN(2)/25)*HH61+(1-EXP(-LN(2)/25))/(LN(2)/25)*Calculateur!HC62*Calculateur!HE62*VLOOKUP('Données projet'!$B$18,Paramètres!$A$1:$I$88,3,0)*0.475*44/12</f>
        <v>#N/A</v>
      </c>
      <c r="HI62" s="23" t="e">
        <f>EXP(-LN(2)/2)*HI61+(1-EXP(-LN(2)/2))/(LN(2)/2)*HC62*HF62*VLOOKUP('Données projet'!$B$18,Paramètres!$A$1:$I$88,3,0)*0.475*44/12</f>
        <v>#N/A</v>
      </c>
      <c r="HJ62" s="24" t="e">
        <f t="shared" si="30"/>
        <v>#N/A</v>
      </c>
    </row>
    <row r="63" spans="1:218" s="5" customFormat="1" x14ac:dyDescent="0.2">
      <c r="A63" s="11">
        <f t="shared" si="31"/>
        <v>60</v>
      </c>
      <c r="B63" s="77">
        <f>'Scénario référence'!$B$16*5+'Scénario référence'!$B$17*0+'Scénario référence'!$B$18*5</f>
        <v>1.6500000000000001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6.0500000000000007</v>
      </c>
      <c r="H63" s="70">
        <f t="shared" si="1"/>
        <v>232.4666666666667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67.113013569832972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projet'!$B$9,Paramètres!$A$1:$I$88,3,0)*VLOOKUP('Données projet'!$B$9,Paramètres!$A$1:$I$88,5,0)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282.74771642272287</v>
      </c>
      <c r="S63" s="62">
        <f ca="1">AVERAGE(OFFSET($R$3,0,0,'Données projet'!$E$9+1,1))-AVERAGE(OFFSET($H$3,0,0,'Données projet'!$E$9+1,1))</f>
        <v>354.71367224254021</v>
      </c>
      <c r="T63" s="62">
        <f t="shared" si="34"/>
        <v>490.074370133397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173.24276798999023</v>
      </c>
      <c r="AA63" s="23">
        <f>EXP(-LN(2)/25)*AA62+(1-EXP(-LN(2)/25))/(LN(2)/25)*Calculateur!V63*Calculateur!X63*VLOOKUP('Données projet'!$B$9,Paramètres!$A$1:$I$88,3,0)*0.475*44/12</f>
        <v>37.047086611314661</v>
      </c>
      <c r="AB63" s="23">
        <f>EXP(-LN(2)/2)*AB62+(1-EXP(-LN(2)/2))/(LN(2)/2)*V63*Y63*VLOOKUP('Données projet'!$B$9,Paramètres!$A$1:$I$88,3,0)*0.475*44/12</f>
        <v>0.56921154491383064</v>
      </c>
      <c r="AC63" s="24">
        <f t="shared" si="3"/>
        <v>210.85906614621871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67.113013569832972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2.2737367544323206E-13</v>
      </c>
      <c r="AJ63" s="14">
        <f>AI63*VLOOKUP('Données projet'!$B$10,Paramètres!$A$1:$I$88,3,0)*VLOOKUP('Données projet'!$B$10,Paramètres!$A$1:$I$88,5,0)</f>
        <v>1.3596945791505279E-13</v>
      </c>
      <c r="AK63" s="14">
        <f t="shared" si="35"/>
        <v>1.9708830566360721E-12</v>
      </c>
      <c r="AL63" s="22">
        <f t="shared" si="4"/>
        <v>3.669434796176543E-12</v>
      </c>
      <c r="AM63" s="62">
        <f t="shared" si="5"/>
        <v>282.74771642272458</v>
      </c>
      <c r="AN63" s="62">
        <f ca="1">AVERAGE(OFFSET($AM$3,0,0,'Données projet'!$E$10+1,1))-AVERAGE(OFFSET($H$3,0,0,'Données projet'!$E$10+1,1))</f>
        <v>264.73276096087574</v>
      </c>
      <c r="AO63" s="62">
        <f t="shared" si="36"/>
        <v>381.84464918049662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projet'!$B$10,Paramètres!$A$1:$I$88,3,0)*0.475*44/12</f>
        <v>121.49625402751195</v>
      </c>
      <c r="AV63" s="23">
        <f>EXP(-LN(2)/25)*AV62+(1-EXP(-LN(2)/25))/(LN(2)/25)*Calculateur!AQ63*Calculateur!AS63*VLOOKUP('Données projet'!$B$10,Paramètres!$A$1:$I$88,3,0)*0.475*44/12</f>
        <v>26.026769948258174</v>
      </c>
      <c r="AW63" s="23">
        <f>EXP(-LN(2)/2)*AW62+(1-EXP(-LN(2)/2))/(LN(2)/2)*AQ63*AT63*VLOOKUP('Données projet'!$B$10,Paramètres!$A$1:$I$88,3,0)*0.475*44/12</f>
        <v>0.39856664018281529</v>
      </c>
      <c r="AX63" s="23">
        <f t="shared" si="6"/>
        <v>147.92159061595294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67.113013569832972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214</v>
      </c>
      <c r="BB63" s="13">
        <f>VLOOKUP(A63,'Données projet'!$A$87:$I$107,9,0)</f>
        <v>7.6</v>
      </c>
      <c r="BC63" s="13">
        <f t="array" ref="BC63">INDEX(BB:BB,MIN(IF(ISNUMBER(BB63:BB259),ROW(BB63:BB259),"")))</f>
        <v>7.6</v>
      </c>
      <c r="BD63" s="13">
        <f>IF('Données projet'!$A$88&gt;35,BD62+BC63-BL62,IF(A63&lt;'Données projet'!$A$88,$BA$205^A63,IF(A63='Données projet'!$A$88,'Données projet'!$B$88,BD62+BC63-BL62)))</f>
        <v>213.99999999999997</v>
      </c>
      <c r="BE63" s="14">
        <f>BD63*VLOOKUP('Données projet'!$B$11,Paramètres!$A$1:$I$88,3,0)*VLOOKUP('Données projet'!$B$11,Paramètres!$A$1:$I$88,5,0)</f>
        <v>243.70319999999995</v>
      </c>
      <c r="BF63" s="14">
        <f t="shared" si="37"/>
        <v>59.235580564655876</v>
      </c>
      <c r="BG63" s="22">
        <f t="shared" si="7"/>
        <v>527.61837615010893</v>
      </c>
      <c r="BH63" s="62">
        <f t="shared" si="8"/>
        <v>810.36609257282976</v>
      </c>
      <c r="BI63" s="62">
        <f ca="1">AVERAGE(OFFSET($BH$3,0,0,'Données projet'!$E$11+1,1))-AVERAGE(OFFSET($H$3,0,0,'Données projet'!$E$11+1,1))</f>
        <v>470.57532875732056</v>
      </c>
      <c r="BJ63" s="62">
        <f t="shared" si="38"/>
        <v>286.63787681165888</v>
      </c>
      <c r="BK63" s="16">
        <f>IF(ISNA(VLOOKUP(A63,'Données projet'!$A$87:$I$107,3,0)),0,VLOOKUP(A63,'Données projet'!$A$87:$I$107,3,0))</f>
        <v>9</v>
      </c>
      <c r="BL63" s="16">
        <f>IF(ISNA(VLOOKUP(A63,'Données projet'!$A$87:$I$107,4,0)),0,VLOOKUP(A63,'Données projet'!$A$87:$I$107,4,0))</f>
        <v>21</v>
      </c>
      <c r="BM63" s="17">
        <f>IF(ISNA(VLOOKUP(A63,'Données projet'!$A$87:$I$107,5,0)),0%,VLOOKUP(A63,'Données projet'!$A$87:$I$107,5,0)*VLOOKUP('Données projet'!$B$11,Paramètres!$A$1:$I$88,7,0))</f>
        <v>0.129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projet'!$B$11,Paramètres!$A$1:$I$88,3,0)*0.475*44/12</f>
        <v>10.554023011099769</v>
      </c>
      <c r="BQ63" s="23">
        <f>EXP(-LN(2)/25)*BQ62+(1-EXP(-LN(2)/25))/(LN(2)/25)*Calculateur!BL63*Calculateur!BN63*VLOOKUP('Données projet'!$B$11,Paramètres!$A$1:$I$88,3,0)*0.475*44/12</f>
        <v>0</v>
      </c>
      <c r="BR63" s="23">
        <f>EXP(-LN(2)/2)*BR62+(1-EXP(-LN(2)/2))/(LN(2)/2)*BL63*BO63*VLOOKUP('Données projet'!$B$11,Paramètres!$A$1:$I$88,3,0)*0.475*44/12</f>
        <v>0</v>
      </c>
      <c r="BS63" s="24">
        <f t="shared" si="9"/>
        <v>10.554023011099769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67.113013569832972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294</v>
      </c>
      <c r="BW63" s="13">
        <f>VLOOKUP(A63,'Données projet'!$A$113:$I$133,9,0)</f>
        <v>6.2</v>
      </c>
      <c r="BX63" s="13">
        <f t="array" ref="BX63">INDEX(BW:BW,MIN(IF(ISNUMBER(BW63:BW259),ROW(BW63:BW259),"")))</f>
        <v>6.2</v>
      </c>
      <c r="BY63" s="13">
        <f>IF('Données projet'!$A$114&gt;35,BY62+BX63-CG62,IF(A63&lt;'Données projet'!$A$114,$BV$205^A63,IF(A63='Données projet'!$A$114,'Données projet'!$B$114,BY62+BX63-CG62)))</f>
        <v>293.99999999999989</v>
      </c>
      <c r="BZ63" s="14">
        <f>BY63*VLOOKUP('Données projet'!$B$12,Paramètres!$A$1:$I$88,3,0)*VLOOKUP('Données projet'!$B$12,Paramètres!$A$1:$I$88,5,0)</f>
        <v>192.62879999999993</v>
      </c>
      <c r="CA63" s="14">
        <f t="shared" si="39"/>
        <v>48.120677599655174</v>
      </c>
      <c r="CB63" s="22">
        <f t="shared" si="10"/>
        <v>419.30534015273264</v>
      </c>
      <c r="CC63" s="62">
        <f t="shared" si="11"/>
        <v>702.05305657545352</v>
      </c>
      <c r="CD63" s="62">
        <f ca="1">AVERAGE(OFFSET($CC$3,0,0,'Données projet'!$E$12+1,1))-AVERAGE(OFFSET($H$3,0,0,'Données projet'!$E$12+1,1))</f>
        <v>305.38855494899906</v>
      </c>
      <c r="CE63" s="62">
        <f t="shared" si="40"/>
        <v>298.48106301229177</v>
      </c>
      <c r="CF63" s="16">
        <f>IF(ISNA(VLOOKUP(A63,'Données projet'!$A$113:$I$133,3,0)),0,VLOOKUP(A63,'Données projet'!$A$113:$I$133,3,0))</f>
        <v>11</v>
      </c>
      <c r="CG63" s="16">
        <f>IF(ISNA(VLOOKUP(A63,'Données projet'!$A$113:$I$133,4,0)),0,VLOOKUP(A63,'Données projet'!$A$113:$I$133,4,0))</f>
        <v>14</v>
      </c>
      <c r="CH63" s="17">
        <f>IF(ISNA(VLOOKUP(A63,'Données projet'!$A$113:$I$133,5,0)),0%,VLOOKUP(A63,'Données projet'!$A$113:$I$133,5,0)*VLOOKUP('Données projet'!$B$12,Paramètres!$A$1:$I$88,7,0))</f>
        <v>0.215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projet'!$B$12,Paramètres!$A$1:$I$88,3,0)*0.475*44/12</f>
        <v>11.122930786921351</v>
      </c>
      <c r="CL63" s="23">
        <f>EXP(-LN(2)/25)*CL62+(1-EXP(-LN(2)/25))/(LN(2)/25)*Calculateur!CG63*Calculateur!CI63*VLOOKUP('Données projet'!$B$12,Paramètres!$A$1:$I$88,3,0)*0.475*44/12</f>
        <v>0</v>
      </c>
      <c r="CM63" s="23">
        <f>EXP(-LN(2)/2)*CM62+(1-EXP(-LN(2)/2))/(LN(2)/2)*CG63*CJ63*VLOOKUP('Données projet'!$B$12,Paramètres!$A$1:$I$88,3,0)*0.475*44/12</f>
        <v>0</v>
      </c>
      <c r="CN63" s="24">
        <f t="shared" si="12"/>
        <v>11.122930786921351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67.113013569832972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294</v>
      </c>
      <c r="CR63" s="13">
        <f>VLOOKUP(A63,'Données projet'!$A$139:$I$159,9,0)</f>
        <v>6.2</v>
      </c>
      <c r="CS63" s="13">
        <f t="array" ref="CS63">INDEX(CR:CR,MIN(IF(ISNUMBER(CR63:CR259),ROW(CR63:CR259),"")))</f>
        <v>6.2</v>
      </c>
      <c r="CT63" s="13">
        <f>IF('Données projet'!$A$140&gt;35,CT62+CS63-DB62,IF(A63&lt;'Données projet'!$A$140,$CQ$205^A63,IF(A63='Données projet'!$A$140,'Données projet'!$B$140,CT62+CS63-DB62)))</f>
        <v>293.99999999999989</v>
      </c>
      <c r="CU63" s="18">
        <f>CT63*VLOOKUP('Données projet'!$B$13,Paramètres!$A$1:$I$88,3,0)*VLOOKUP('Données projet'!$B$13,Paramètres!$A$1:$I$88,5,0)</f>
        <v>233.90639999999991</v>
      </c>
      <c r="CV63" s="14">
        <f t="shared" si="41"/>
        <v>57.126506840778347</v>
      </c>
      <c r="CW63" s="22">
        <f t="shared" si="13"/>
        <v>506.88231274768879</v>
      </c>
      <c r="CX63" s="62">
        <f t="shared" si="14"/>
        <v>789.63002917040967</v>
      </c>
      <c r="CY63" s="62">
        <f ca="1">AVERAGE(OFFSET($CX$3,0,0,'Données projet'!$E$13+1,1))-AVERAGE(OFFSET($H$3,0,0,'Données projet'!$E$13+1,1))</f>
        <v>361.30066984973894</v>
      </c>
      <c r="CZ63" s="62">
        <f t="shared" si="42"/>
        <v>351.78053157121622</v>
      </c>
      <c r="DA63" s="16">
        <f>IF(ISNA(VLOOKUP(A63,'Données projet'!$A$139:$I$159,3,0)),0,VLOOKUP(A63,'Données projet'!$A$139:$I$159,3,0))</f>
        <v>11</v>
      </c>
      <c r="DB63" s="16">
        <f>IF(ISNA(VLOOKUP(A63,'Données projet'!$A$139:$I$159,4,0)),0,VLOOKUP(A63,'Données projet'!$A$139:$I$159,4,0))</f>
        <v>14</v>
      </c>
      <c r="DC63" s="17">
        <f>IF(ISNA(VLOOKUP(A63,'Données projet'!$A$139:$I$159,5,0)),0%,VLOOKUP(A63,'Données projet'!$A$139:$I$159,5,0)*VLOOKUP('Données projet'!$B$13,Paramètres!$A$1:$I$88,7,0))</f>
        <v>0.26500000000000001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projet'!$B$13,Paramètres!$A$1:$I$88,3,0)*0.475*44/12</f>
        <v>16.647442921953719</v>
      </c>
      <c r="DG63" s="23">
        <f>EXP(-LN(2)/25)*DG62+(1-EXP(-LN(2)/25))/(LN(2)/25)*Calculateur!DB63*Calculateur!DD63*VLOOKUP('Données projet'!$B$13,Paramètres!$A$1:$I$88,3,0)*0.475*44/12</f>
        <v>0</v>
      </c>
      <c r="DH63" s="23">
        <f>EXP(-LN(2)/2)*DH62+(1-EXP(-LN(2)/2))/(LN(2)/2)*DB63*DE63*VLOOKUP('Données projet'!$B$13,Paramètres!$A$1:$I$88,3,0)*0.475*44/12</f>
        <v>0</v>
      </c>
      <c r="DI63" s="24">
        <f t="shared" si="15"/>
        <v>16.647442921953719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67.113013569832972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>
        <f>DO63*VLOOKUP('Données projet'!$B$14,Paramètres!$A$1:$I$88,3,0)*VLOOKUP('Données projet'!$B$14,Paramètres!$A$1:$I$88,5,0)</f>
        <v>0</v>
      </c>
      <c r="DQ63" s="14" t="e">
        <f t="shared" si="43"/>
        <v>#NUM!</v>
      </c>
      <c r="DR63" s="22" t="e">
        <f t="shared" si="16"/>
        <v>#NUM!</v>
      </c>
      <c r="DS63" s="62" t="e">
        <f t="shared" si="17"/>
        <v>#NUM!</v>
      </c>
      <c r="DT63" s="62">
        <f ca="1">AVERAGE(OFFSET($DS$3,0,0,'Données projet'!$E$14+1,1))-AVERAGE(OFFSET($H$3,0,0,'Données projet'!$E$14+1,1))</f>
        <v>91.201152634762423</v>
      </c>
      <c r="DU63" s="62">
        <f t="shared" si="44"/>
        <v>233.36981992862445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projet'!$B$14,Paramètres!$A$1:$I$88,3,0)*0.475*44/12</f>
        <v>22.886031142185065</v>
      </c>
      <c r="EB63" s="23">
        <f>EXP(-LN(2)/25)*EB62+(1-EXP(-LN(2)/25))/(LN(2)/25)*Calculateur!DW63*Calculateur!DY63*VLOOKUP('Données projet'!$B$14,Paramètres!$A$1:$I$88,3,0)*0.475*44/12</f>
        <v>0</v>
      </c>
      <c r="EC63" s="23">
        <f>EXP(-LN(2)/2)*EC62+(1-EXP(-LN(2)/2))/(LN(2)/2)*DW63*DZ63*VLOOKUP('Données projet'!$B$14,Paramètres!$A$1:$I$88,3,0)*0.475*44/12</f>
        <v>0</v>
      </c>
      <c r="ED63" s="24">
        <f t="shared" si="18"/>
        <v>22.886031142185065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67.113013569832972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projet'!$B$15,Paramètres!$A$1:$I$88,3,0)*0.475*44/12</f>
        <v>#N/A</v>
      </c>
      <c r="EW63" s="23" t="e">
        <f>EXP(-LN(2)/25)*EW62+(1-EXP(-LN(2)/25))/(LN(2)/25)*Calculateur!ER63*Calculateur!ET63*VLOOKUP('Données projet'!$B$15,Paramètres!$A$1:$I$88,3,0)*0.475*44/12</f>
        <v>#N/A</v>
      </c>
      <c r="EX63" s="23" t="e">
        <f>EXP(-LN(2)/2)*EX62+(1-EXP(-LN(2)/2))/(LN(2)/2)*ER63*EU63*VLOOKUP('Données projet'!$B$15,Paramètres!$A$1:$I$88,3,0)*0.475*44/12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67.113013569832972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projet'!$B$16,Paramètres!$A$1:$I$88,3,0)*0.475*44/12</f>
        <v>#N/A</v>
      </c>
      <c r="FR63" s="23" t="e">
        <f>EXP(-LN(2)/25)*FR62+(1-EXP(-LN(2)/25))/(LN(2)/25)*Calculateur!FM63*Calculateur!FO63*VLOOKUP('Données projet'!$B$16,Paramètres!$A$1:$I$88,3,0)*0.475*44/12</f>
        <v>#N/A</v>
      </c>
      <c r="FS63" s="23" t="e">
        <f>EXP(-LN(2)/2)*FS62+(1-EXP(-LN(2)/2))/(LN(2)/2)*FM63*FP63*VLOOKUP('Données projet'!$B$16,Paramètres!$A$1:$I$88,3,0)*0.475*44/12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67.113013569832972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projet'!$B$17,Paramètres!$A$1:$I$88,3,0)*0.475*44/12</f>
        <v>#N/A</v>
      </c>
      <c r="GM63" s="23" t="e">
        <f>EXP(-LN(2)/25)*GM62+(1-EXP(-LN(2)/25))/(LN(2)/25)*Calculateur!GH63*Calculateur!GJ63*VLOOKUP('Données projet'!$B$17,Paramètres!$A$1:$I$88,3,0)*0.475*44/12</f>
        <v>#N/A</v>
      </c>
      <c r="GN63" s="23" t="e">
        <f>EXP(-LN(2)/2)*GN62+(1-EXP(-LN(2)/2))/(LN(2)/2)*GH63*GK63*VLOOKUP('Données projet'!$B$17,Paramètres!$A$1:$I$88,3,0)*0.475*44/12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67.113013569832972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projet'!$B$18,Paramètres!$A$1:$I$88,3,0)*0.475*44/12</f>
        <v>#N/A</v>
      </c>
      <c r="HH63" s="23" t="e">
        <f>EXP(-LN(2)/25)*HH62+(1-EXP(-LN(2)/25))/(LN(2)/25)*Calculateur!HC63*Calculateur!HE63*VLOOKUP('Données projet'!$B$18,Paramètres!$A$1:$I$88,3,0)*0.475*44/12</f>
        <v>#N/A</v>
      </c>
      <c r="HI63" s="23" t="e">
        <f>EXP(-LN(2)/2)*HI62+(1-EXP(-LN(2)/2))/(LN(2)/2)*HC63*HF63*VLOOKUP('Données projet'!$B$18,Paramètres!$A$1:$I$88,3,0)*0.475*44/12</f>
        <v>#N/A</v>
      </c>
      <c r="HJ63" s="24" t="e">
        <f t="shared" si="30"/>
        <v>#N/A</v>
      </c>
    </row>
    <row r="64" spans="1:218" s="5" customFormat="1" x14ac:dyDescent="0.2">
      <c r="A64" s="11">
        <f t="shared" si="31"/>
        <v>61</v>
      </c>
      <c r="B64" s="77">
        <f>'Scénario référence'!$B$16*5+'Scénario référence'!$B$17*0+'Scénario référence'!$B$18*5</f>
        <v>1.6500000000000001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6.0500000000000007</v>
      </c>
      <c r="H64" s="70">
        <f t="shared" si="1"/>
        <v>232.4666666666667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67.163096330061649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projet'!$B$9,Paramètres!$A$1:$I$88,3,0)*VLOOKUP('Données projet'!$B$9,Paramètres!$A$1:$I$88,5,0)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282.93135321022805</v>
      </c>
      <c r="S64" s="62">
        <f ca="1">AVERAGE(OFFSET($R$3,0,0,'Données projet'!$E$9+1,1))-AVERAGE(OFFSET($H$3,0,0,'Données projet'!$E$9+1,1))</f>
        <v>354.71367224254021</v>
      </c>
      <c r="T64" s="62">
        <f t="shared" si="34"/>
        <v>490.074370133397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169.84558297736118</v>
      </c>
      <c r="AA64" s="23">
        <f>EXP(-LN(2)/25)*AA63+(1-EXP(-LN(2)/25))/(LN(2)/25)*Calculateur!V64*Calculateur!X64*VLOOKUP('Données projet'!$B$9,Paramètres!$A$1:$I$88,3,0)*0.475*44/12</f>
        <v>36.034032079706648</v>
      </c>
      <c r="AB64" s="23">
        <f>EXP(-LN(2)/2)*AB63+(1-EXP(-LN(2)/2))/(LN(2)/2)*V64*Y64*VLOOKUP('Données projet'!$B$9,Paramètres!$A$1:$I$88,3,0)*0.475*44/12</f>
        <v>0.40249334333824072</v>
      </c>
      <c r="AC64" s="24">
        <f t="shared" si="3"/>
        <v>206.28210840040609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67.163096330061649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2.2737367544323206E-13</v>
      </c>
      <c r="AJ64" s="14">
        <f>AI64*VLOOKUP('Données projet'!$B$10,Paramètres!$A$1:$I$88,3,0)*VLOOKUP('Données projet'!$B$10,Paramètres!$A$1:$I$88,5,0)</f>
        <v>1.3596945791505279E-13</v>
      </c>
      <c r="AK64" s="14">
        <f t="shared" si="35"/>
        <v>1.9708830566360721E-12</v>
      </c>
      <c r="AL64" s="22">
        <f t="shared" si="4"/>
        <v>3.669434796176543E-12</v>
      </c>
      <c r="AM64" s="62">
        <f t="shared" si="5"/>
        <v>282.93135321022976</v>
      </c>
      <c r="AN64" s="62">
        <f ca="1">AVERAGE(OFFSET($AM$3,0,0,'Données projet'!$E$10+1,1))-AVERAGE(OFFSET($H$3,0,0,'Données projet'!$E$10+1,1))</f>
        <v>264.73276096087574</v>
      </c>
      <c r="AO64" s="62">
        <f t="shared" si="36"/>
        <v>381.84464918049662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projet'!$B$10,Paramètres!$A$1:$I$88,3,0)*0.475*44/12</f>
        <v>119.1137865914301</v>
      </c>
      <c r="AV64" s="23">
        <f>EXP(-LN(2)/25)*AV63+(1-EXP(-LN(2)/25))/(LN(2)/25)*Calculateur!AQ64*Calculateur!AS64*VLOOKUP('Données projet'!$B$10,Paramètres!$A$1:$I$88,3,0)*0.475*44/12</f>
        <v>25.315066555334706</v>
      </c>
      <c r="AW64" s="23">
        <f>EXP(-LN(2)/2)*AW63+(1-EXP(-LN(2)/2))/(LN(2)/2)*AQ64*AT64*VLOOKUP('Données projet'!$B$10,Paramètres!$A$1:$I$88,3,0)*0.475*44/12</f>
        <v>0.28182917402800739</v>
      </c>
      <c r="AX64" s="23">
        <f t="shared" si="6"/>
        <v>144.71068232079281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67.163096330061649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IF('Données projet'!$A$88&gt;35,BD63+BC64-BL63,IF(A64&lt;'Données projet'!$A$88,$BA$205^A64,IF(A64='Données projet'!$A$88,'Données projet'!$B$88,BD63+BC64-BL63)))</f>
        <v>200.19999999999996</v>
      </c>
      <c r="BE64" s="14">
        <f>BD64*VLOOKUP('Données projet'!$B$11,Paramètres!$A$1:$I$88,3,0)*VLOOKUP('Données projet'!$B$11,Paramètres!$A$1:$I$88,5,0)</f>
        <v>227.98775999999995</v>
      </c>
      <c r="BF64" s="14">
        <f t="shared" si="37"/>
        <v>55.847365929662935</v>
      </c>
      <c r="BG64" s="22">
        <f t="shared" si="7"/>
        <v>494.34617766082943</v>
      </c>
      <c r="BH64" s="62">
        <f t="shared" si="8"/>
        <v>777.27753087105543</v>
      </c>
      <c r="BI64" s="62">
        <f ca="1">AVERAGE(OFFSET($BH$3,0,0,'Données projet'!$E$11+1,1))-AVERAGE(OFFSET($H$3,0,0,'Données projet'!$E$11+1,1))</f>
        <v>470.57532875732056</v>
      </c>
      <c r="BJ64" s="62">
        <f t="shared" si="38"/>
        <v>286.63787681165888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projet'!$B$11,Paramètres!$A$1:$I$88,3,0)*0.475*44/12</f>
        <v>10.347065057170507</v>
      </c>
      <c r="BQ64" s="23">
        <f>EXP(-LN(2)/25)*BQ63+(1-EXP(-LN(2)/25))/(LN(2)/25)*Calculateur!BL64*Calculateur!BN64*VLOOKUP('Données projet'!$B$11,Paramètres!$A$1:$I$88,3,0)*0.475*44/12</f>
        <v>0</v>
      </c>
      <c r="BR64" s="23">
        <f>EXP(-LN(2)/2)*BR63+(1-EXP(-LN(2)/2))/(LN(2)/2)*BL64*BO64*VLOOKUP('Données projet'!$B$11,Paramètres!$A$1:$I$88,3,0)*0.475*44/12</f>
        <v>0</v>
      </c>
      <c r="BS64" s="24">
        <f t="shared" si="9"/>
        <v>10.347065057170507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67.163096330061649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5.2</v>
      </c>
      <c r="BY64" s="13">
        <f>IF('Données projet'!$A$114&gt;35,BY63+BX64-CG63,IF(A64&lt;'Données projet'!$A$114,$BV$205^A64,IF(A64='Données projet'!$A$114,'Données projet'!$B$114,BY63+BX64-CG63)))</f>
        <v>285.19999999999987</v>
      </c>
      <c r="BZ64" s="14">
        <f>BY64*VLOOKUP('Données projet'!$B$12,Paramètres!$A$1:$I$88,3,0)*VLOOKUP('Données projet'!$B$12,Paramètres!$A$1:$I$88,5,0)</f>
        <v>186.86303999999993</v>
      </c>
      <c r="CA64" s="14">
        <f t="shared" si="39"/>
        <v>46.845744983534466</v>
      </c>
      <c r="CB64" s="22">
        <f t="shared" si="10"/>
        <v>407.04280051298906</v>
      </c>
      <c r="CC64" s="62">
        <f t="shared" si="11"/>
        <v>689.97415372321507</v>
      </c>
      <c r="CD64" s="62">
        <f ca="1">AVERAGE(OFFSET($CC$3,0,0,'Données projet'!$E$12+1,1))-AVERAGE(OFFSET($H$3,0,0,'Données projet'!$E$12+1,1))</f>
        <v>305.38855494899906</v>
      </c>
      <c r="CE64" s="62">
        <f t="shared" si="40"/>
        <v>298.48106301229177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projet'!$B$12,Paramètres!$A$1:$I$88,3,0)*0.475*44/12</f>
        <v>10.904816898507708</v>
      </c>
      <c r="CL64" s="23">
        <f>EXP(-LN(2)/25)*CL63+(1-EXP(-LN(2)/25))/(LN(2)/25)*Calculateur!CG64*Calculateur!CI64*VLOOKUP('Données projet'!$B$12,Paramètres!$A$1:$I$88,3,0)*0.475*44/12</f>
        <v>0</v>
      </c>
      <c r="CM64" s="23">
        <f>EXP(-LN(2)/2)*CM63+(1-EXP(-LN(2)/2))/(LN(2)/2)*CG64*CJ64*VLOOKUP('Données projet'!$B$12,Paramètres!$A$1:$I$88,3,0)*0.475*44/12</f>
        <v>0</v>
      </c>
      <c r="CN64" s="24">
        <f t="shared" si="12"/>
        <v>10.904816898507708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67.163096330061649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5.2</v>
      </c>
      <c r="CT64" s="13">
        <f>IF('Données projet'!$A$140&gt;35,CT63+CS64-DB63,IF(A64&lt;'Données projet'!$A$140,$CQ$205^A64,IF(A64='Données projet'!$A$140,'Données projet'!$B$140,CT63+CS64-DB63)))</f>
        <v>285.19999999999987</v>
      </c>
      <c r="CU64" s="18">
        <f>CT64*VLOOKUP('Données projet'!$B$13,Paramètres!$A$1:$I$88,3,0)*VLOOKUP('Données projet'!$B$13,Paramètres!$A$1:$I$88,5,0)</f>
        <v>226.90511999999993</v>
      </c>
      <c r="CV64" s="14">
        <f t="shared" si="41"/>
        <v>55.612969408444364</v>
      </c>
      <c r="CW64" s="22">
        <f t="shared" si="13"/>
        <v>492.05233905304044</v>
      </c>
      <c r="CX64" s="62">
        <f t="shared" si="14"/>
        <v>774.98369226326645</v>
      </c>
      <c r="CY64" s="62">
        <f ca="1">AVERAGE(OFFSET($CX$3,0,0,'Données projet'!$E$13+1,1))-AVERAGE(OFFSET($H$3,0,0,'Données projet'!$E$13+1,1))</f>
        <v>361.30066984973894</v>
      </c>
      <c r="CZ64" s="62">
        <f t="shared" si="42"/>
        <v>351.78053157121622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projet'!$B$13,Paramètres!$A$1:$I$88,3,0)*0.475*44/12</f>
        <v>16.320996720191772</v>
      </c>
      <c r="DG64" s="23">
        <f>EXP(-LN(2)/25)*DG63+(1-EXP(-LN(2)/25))/(LN(2)/25)*Calculateur!DB64*Calculateur!DD64*VLOOKUP('Données projet'!$B$13,Paramètres!$A$1:$I$88,3,0)*0.475*44/12</f>
        <v>0</v>
      </c>
      <c r="DH64" s="23">
        <f>EXP(-LN(2)/2)*DH63+(1-EXP(-LN(2)/2))/(LN(2)/2)*DB64*DE64*VLOOKUP('Données projet'!$B$13,Paramètres!$A$1:$I$88,3,0)*0.475*44/12</f>
        <v>0</v>
      </c>
      <c r="DI64" s="24">
        <f t="shared" si="15"/>
        <v>16.320996720191772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67.163096330061649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>
        <f>DO64*VLOOKUP('Données projet'!$B$14,Paramètres!$A$1:$I$88,3,0)*VLOOKUP('Données projet'!$B$14,Paramètres!$A$1:$I$88,5,0)</f>
        <v>0</v>
      </c>
      <c r="DQ64" s="14" t="e">
        <f t="shared" si="43"/>
        <v>#NUM!</v>
      </c>
      <c r="DR64" s="22" t="e">
        <f t="shared" si="16"/>
        <v>#NUM!</v>
      </c>
      <c r="DS64" s="62" t="e">
        <f t="shared" si="17"/>
        <v>#NUM!</v>
      </c>
      <c r="DT64" s="62">
        <f ca="1">AVERAGE(OFFSET($DS$3,0,0,'Données projet'!$E$14+1,1))-AVERAGE(OFFSET($H$3,0,0,'Données projet'!$E$14+1,1))</f>
        <v>91.201152634762423</v>
      </c>
      <c r="DU64" s="62">
        <f t="shared" si="44"/>
        <v>233.36981992862445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projet'!$B$14,Paramètres!$A$1:$I$88,3,0)*0.475*44/12</f>
        <v>22.437250030587464</v>
      </c>
      <c r="EB64" s="23">
        <f>EXP(-LN(2)/25)*EB63+(1-EXP(-LN(2)/25))/(LN(2)/25)*Calculateur!DW64*Calculateur!DY64*VLOOKUP('Données projet'!$B$14,Paramètres!$A$1:$I$88,3,0)*0.475*44/12</f>
        <v>0</v>
      </c>
      <c r="EC64" s="23">
        <f>EXP(-LN(2)/2)*EC63+(1-EXP(-LN(2)/2))/(LN(2)/2)*DW64*DZ64*VLOOKUP('Données projet'!$B$14,Paramètres!$A$1:$I$88,3,0)*0.475*44/12</f>
        <v>0</v>
      </c>
      <c r="ED64" s="24">
        <f t="shared" si="18"/>
        <v>22.437250030587464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67.163096330061649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projet'!$B$15,Paramètres!$A$1:$I$88,3,0)*0.475*44/12</f>
        <v>#N/A</v>
      </c>
      <c r="EW64" s="23" t="e">
        <f>EXP(-LN(2)/25)*EW63+(1-EXP(-LN(2)/25))/(LN(2)/25)*Calculateur!ER64*Calculateur!ET64*VLOOKUP('Données projet'!$B$15,Paramètres!$A$1:$I$88,3,0)*0.475*44/12</f>
        <v>#N/A</v>
      </c>
      <c r="EX64" s="23" t="e">
        <f>EXP(-LN(2)/2)*EX63+(1-EXP(-LN(2)/2))/(LN(2)/2)*ER64*EU64*VLOOKUP('Données projet'!$B$15,Paramètres!$A$1:$I$88,3,0)*0.475*44/12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67.163096330061649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projet'!$B$16,Paramètres!$A$1:$I$88,3,0)*0.475*44/12</f>
        <v>#N/A</v>
      </c>
      <c r="FR64" s="23" t="e">
        <f>EXP(-LN(2)/25)*FR63+(1-EXP(-LN(2)/25))/(LN(2)/25)*Calculateur!FM64*Calculateur!FO64*VLOOKUP('Données projet'!$B$16,Paramètres!$A$1:$I$88,3,0)*0.475*44/12</f>
        <v>#N/A</v>
      </c>
      <c r="FS64" s="23" t="e">
        <f>EXP(-LN(2)/2)*FS63+(1-EXP(-LN(2)/2))/(LN(2)/2)*FM64*FP64*VLOOKUP('Données projet'!$B$16,Paramètres!$A$1:$I$88,3,0)*0.475*44/12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67.163096330061649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projet'!$B$17,Paramètres!$A$1:$I$88,3,0)*0.475*44/12</f>
        <v>#N/A</v>
      </c>
      <c r="GM64" s="23" t="e">
        <f>EXP(-LN(2)/25)*GM63+(1-EXP(-LN(2)/25))/(LN(2)/25)*Calculateur!GH64*Calculateur!GJ64*VLOOKUP('Données projet'!$B$17,Paramètres!$A$1:$I$88,3,0)*0.475*44/12</f>
        <v>#N/A</v>
      </c>
      <c r="GN64" s="23" t="e">
        <f>EXP(-LN(2)/2)*GN63+(1-EXP(-LN(2)/2))/(LN(2)/2)*GH64*GK64*VLOOKUP('Données projet'!$B$17,Paramètres!$A$1:$I$88,3,0)*0.475*44/12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67.163096330061649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projet'!$B$18,Paramètres!$A$1:$I$88,3,0)*0.475*44/12</f>
        <v>#N/A</v>
      </c>
      <c r="HH64" s="23" t="e">
        <f>EXP(-LN(2)/25)*HH63+(1-EXP(-LN(2)/25))/(LN(2)/25)*Calculateur!HC64*Calculateur!HE64*VLOOKUP('Données projet'!$B$18,Paramètres!$A$1:$I$88,3,0)*0.475*44/12</f>
        <v>#N/A</v>
      </c>
      <c r="HI64" s="23" t="e">
        <f>EXP(-LN(2)/2)*HI63+(1-EXP(-LN(2)/2))/(LN(2)/2)*HC64*HF64*VLOOKUP('Données projet'!$B$18,Paramètres!$A$1:$I$88,3,0)*0.475*44/12</f>
        <v>#N/A</v>
      </c>
      <c r="HJ64" s="24" t="e">
        <f t="shared" si="30"/>
        <v>#N/A</v>
      </c>
    </row>
    <row r="65" spans="1:218" s="5" customFormat="1" x14ac:dyDescent="0.2">
      <c r="A65" s="11">
        <f t="shared" si="31"/>
        <v>62</v>
      </c>
      <c r="B65" s="77">
        <f>'Scénario référence'!$B$16*5+'Scénario référence'!$B$17*0+'Scénario référence'!$B$18*5</f>
        <v>1.6500000000000001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6.0500000000000007</v>
      </c>
      <c r="H65" s="70">
        <f t="shared" si="1"/>
        <v>232.4666666666667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67.212310266368632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projet'!$B$9,Paramètres!$A$1:$I$88,3,0)*VLOOKUP('Données projet'!$B$9,Paramètres!$A$1:$I$88,5,0)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283.11180431002032</v>
      </c>
      <c r="S65" s="62">
        <f ca="1">AVERAGE(OFFSET($R$3,0,0,'Données projet'!$E$9+1,1))-AVERAGE(OFFSET($H$3,0,0,'Données projet'!$E$9+1,1))</f>
        <v>354.71367224254021</v>
      </c>
      <c r="T65" s="62">
        <f t="shared" si="34"/>
        <v>490.074370133397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166.51501469075151</v>
      </c>
      <c r="AA65" s="23">
        <f>EXP(-LN(2)/25)*AA64+(1-EXP(-LN(2)/25))/(LN(2)/25)*Calculateur!V65*Calculateur!X65*VLOOKUP('Données projet'!$B$9,Paramètres!$A$1:$I$88,3,0)*0.475*44/12</f>
        <v>35.04867957753968</v>
      </c>
      <c r="AB65" s="23">
        <f>EXP(-LN(2)/2)*AB64+(1-EXP(-LN(2)/2))/(LN(2)/2)*V65*Y65*VLOOKUP('Données projet'!$B$9,Paramètres!$A$1:$I$88,3,0)*0.475*44/12</f>
        <v>0.28460577245691532</v>
      </c>
      <c r="AC65" s="24">
        <f t="shared" si="3"/>
        <v>201.84830004074811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67.212310266368632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2.2737367544323206E-13</v>
      </c>
      <c r="AJ65" s="14">
        <f>AI65*VLOOKUP('Données projet'!$B$10,Paramètres!$A$1:$I$88,3,0)*VLOOKUP('Données projet'!$B$10,Paramètres!$A$1:$I$88,5,0)</f>
        <v>1.3596945791505279E-13</v>
      </c>
      <c r="AK65" s="14">
        <f t="shared" si="35"/>
        <v>1.9708830566360721E-12</v>
      </c>
      <c r="AL65" s="22">
        <f t="shared" si="4"/>
        <v>3.669434796176543E-12</v>
      </c>
      <c r="AM65" s="62">
        <f t="shared" si="5"/>
        <v>283.11180431002202</v>
      </c>
      <c r="AN65" s="62">
        <f ca="1">AVERAGE(OFFSET($AM$3,0,0,'Données projet'!$E$10+1,1))-AVERAGE(OFFSET($H$3,0,0,'Données projet'!$E$10+1,1))</f>
        <v>264.73276096087574</v>
      </c>
      <c r="AO65" s="62">
        <f t="shared" si="36"/>
        <v>381.84464918049662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projet'!$B$10,Paramètres!$A$1:$I$88,3,0)*0.475*44/12</f>
        <v>116.77803788860817</v>
      </c>
      <c r="AV65" s="23">
        <f>EXP(-LN(2)/25)*AV64+(1-EXP(-LN(2)/25))/(LN(2)/25)*Calculateur!AQ65*Calculateur!AS65*VLOOKUP('Données projet'!$B$10,Paramètres!$A$1:$I$88,3,0)*0.475*44/12</f>
        <v>24.622824729117585</v>
      </c>
      <c r="AW65" s="23">
        <f>EXP(-LN(2)/2)*AW64+(1-EXP(-LN(2)/2))/(LN(2)/2)*AQ65*AT65*VLOOKUP('Données projet'!$B$10,Paramètres!$A$1:$I$88,3,0)*0.475*44/12</f>
        <v>0.19928332009140765</v>
      </c>
      <c r="AX65" s="23">
        <f t="shared" si="6"/>
        <v>141.60014593781716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67.212310266368632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IF('Données projet'!$A$88&gt;35,BD64+BC65-BL64,IF(A65&lt;'Données projet'!$A$88,$BA$205^A65,IF(A65='Données projet'!$A$88,'Données projet'!$B$88,BD64+BC65-BL64)))</f>
        <v>207.39999999999995</v>
      </c>
      <c r="BE65" s="14">
        <f>BD65*VLOOKUP('Données projet'!$B$11,Paramètres!$A$1:$I$88,3,0)*VLOOKUP('Données projet'!$B$11,Paramètres!$A$1:$I$88,5,0)</f>
        <v>236.18711999999994</v>
      </c>
      <c r="BF65" s="14">
        <f t="shared" si="37"/>
        <v>57.61840772987285</v>
      </c>
      <c r="BG65" s="22">
        <f t="shared" si="7"/>
        <v>511.71129412952837</v>
      </c>
      <c r="BH65" s="62">
        <f t="shared" si="8"/>
        <v>794.8230984395467</v>
      </c>
      <c r="BI65" s="62">
        <f ca="1">AVERAGE(OFFSET($BH$3,0,0,'Données projet'!$E$11+1,1))-AVERAGE(OFFSET($H$3,0,0,'Données projet'!$E$11+1,1))</f>
        <v>470.57532875732056</v>
      </c>
      <c r="BJ65" s="62">
        <f t="shared" si="38"/>
        <v>286.63787681165888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projet'!$B$11,Paramètres!$A$1:$I$88,3,0)*0.475*44/12</f>
        <v>10.14416542248591</v>
      </c>
      <c r="BQ65" s="23">
        <f>EXP(-LN(2)/25)*BQ64+(1-EXP(-LN(2)/25))/(LN(2)/25)*Calculateur!BL65*Calculateur!BN65*VLOOKUP('Données projet'!$B$11,Paramètres!$A$1:$I$88,3,0)*0.475*44/12</f>
        <v>0</v>
      </c>
      <c r="BR65" s="23">
        <f>EXP(-LN(2)/2)*BR64+(1-EXP(-LN(2)/2))/(LN(2)/2)*BL65*BO65*VLOOKUP('Données projet'!$B$11,Paramètres!$A$1:$I$88,3,0)*0.475*44/12</f>
        <v>0</v>
      </c>
      <c r="BS65" s="24">
        <f t="shared" si="9"/>
        <v>10.14416542248591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67.212310266368632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5.2</v>
      </c>
      <c r="BY65" s="13">
        <f>IF('Données projet'!$A$114&gt;35,BY64+BX65-CG64,IF(A65&lt;'Données projet'!$A$114,$BV$205^A65,IF(A65='Données projet'!$A$114,'Données projet'!$B$114,BY64+BX65-CG64)))</f>
        <v>290.39999999999986</v>
      </c>
      <c r="BZ65" s="14">
        <f>BY65*VLOOKUP('Données projet'!$B$12,Paramètres!$A$1:$I$88,3,0)*VLOOKUP('Données projet'!$B$12,Paramètres!$A$1:$I$88,5,0)</f>
        <v>190.27007999999989</v>
      </c>
      <c r="CA65" s="14">
        <f t="shared" si="39"/>
        <v>47.599658767320413</v>
      </c>
      <c r="CB65" s="22">
        <f t="shared" si="10"/>
        <v>414.28979501974953</v>
      </c>
      <c r="CC65" s="62">
        <f t="shared" si="11"/>
        <v>697.40159932976781</v>
      </c>
      <c r="CD65" s="62">
        <f ca="1">AVERAGE(OFFSET($CC$3,0,0,'Données projet'!$E$12+1,1))-AVERAGE(OFFSET($H$3,0,0,'Données projet'!$E$12+1,1))</f>
        <v>305.38855494899906</v>
      </c>
      <c r="CE65" s="62">
        <f t="shared" si="40"/>
        <v>298.48106301229177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projet'!$B$12,Paramètres!$A$1:$I$88,3,0)*0.475*44/12</f>
        <v>10.69098009040952</v>
      </c>
      <c r="CL65" s="23">
        <f>EXP(-LN(2)/25)*CL64+(1-EXP(-LN(2)/25))/(LN(2)/25)*Calculateur!CG65*Calculateur!CI65*VLOOKUP('Données projet'!$B$12,Paramètres!$A$1:$I$88,3,0)*0.475*44/12</f>
        <v>0</v>
      </c>
      <c r="CM65" s="23">
        <f>EXP(-LN(2)/2)*CM64+(1-EXP(-LN(2)/2))/(LN(2)/2)*CG65*CJ65*VLOOKUP('Données projet'!$B$12,Paramètres!$A$1:$I$88,3,0)*0.475*44/12</f>
        <v>0</v>
      </c>
      <c r="CN65" s="24">
        <f t="shared" si="12"/>
        <v>10.69098009040952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67.212310266368632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5.2</v>
      </c>
      <c r="CT65" s="13">
        <f>IF('Données projet'!$A$140&gt;35,CT64+CS65-DB64,IF(A65&lt;'Données projet'!$A$140,$CQ$205^A65,IF(A65='Données projet'!$A$140,'Données projet'!$B$140,CT64+CS65-DB64)))</f>
        <v>290.39999999999986</v>
      </c>
      <c r="CU65" s="18">
        <f>CT65*VLOOKUP('Données projet'!$B$13,Paramètres!$A$1:$I$88,3,0)*VLOOKUP('Données projet'!$B$13,Paramètres!$A$1:$I$88,5,0)</f>
        <v>231.04223999999991</v>
      </c>
      <c r="CV65" s="14">
        <f t="shared" si="41"/>
        <v>56.507978852931409</v>
      </c>
      <c r="CW65" s="22">
        <f t="shared" si="13"/>
        <v>500.81663116885539</v>
      </c>
      <c r="CX65" s="62">
        <f t="shared" si="14"/>
        <v>783.92843547887378</v>
      </c>
      <c r="CY65" s="62">
        <f ca="1">AVERAGE(OFFSET($CX$3,0,0,'Données projet'!$E$13+1,1))-AVERAGE(OFFSET($H$3,0,0,'Données projet'!$E$13+1,1))</f>
        <v>361.30066984973894</v>
      </c>
      <c r="CZ65" s="62">
        <f t="shared" si="42"/>
        <v>351.78053157121622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projet'!$B$13,Paramètres!$A$1:$I$88,3,0)*0.475*44/12</f>
        <v>16.000951929333855</v>
      </c>
      <c r="DG65" s="23">
        <f>EXP(-LN(2)/25)*DG64+(1-EXP(-LN(2)/25))/(LN(2)/25)*Calculateur!DB65*Calculateur!DD65*VLOOKUP('Données projet'!$B$13,Paramètres!$A$1:$I$88,3,0)*0.475*44/12</f>
        <v>0</v>
      </c>
      <c r="DH65" s="23">
        <f>EXP(-LN(2)/2)*DH64+(1-EXP(-LN(2)/2))/(LN(2)/2)*DB65*DE65*VLOOKUP('Données projet'!$B$13,Paramètres!$A$1:$I$88,3,0)*0.475*44/12</f>
        <v>0</v>
      </c>
      <c r="DI65" s="24">
        <f t="shared" si="15"/>
        <v>16.000951929333855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67.212310266368632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>
        <f>DO65*VLOOKUP('Données projet'!$B$14,Paramètres!$A$1:$I$88,3,0)*VLOOKUP('Données projet'!$B$14,Paramètres!$A$1:$I$88,5,0)</f>
        <v>0</v>
      </c>
      <c r="DQ65" s="14" t="e">
        <f t="shared" si="43"/>
        <v>#NUM!</v>
      </c>
      <c r="DR65" s="22" t="e">
        <f t="shared" si="16"/>
        <v>#NUM!</v>
      </c>
      <c r="DS65" s="62" t="e">
        <f t="shared" si="17"/>
        <v>#NUM!</v>
      </c>
      <c r="DT65" s="62">
        <f ca="1">AVERAGE(OFFSET($DS$3,0,0,'Données projet'!$E$14+1,1))-AVERAGE(OFFSET($H$3,0,0,'Données projet'!$E$14+1,1))</f>
        <v>91.201152634762423</v>
      </c>
      <c r="DU65" s="62">
        <f t="shared" si="44"/>
        <v>233.36981992862445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projet'!$B$14,Paramètres!$A$1:$I$88,3,0)*0.475*44/12</f>
        <v>21.997269242858845</v>
      </c>
      <c r="EB65" s="23">
        <f>EXP(-LN(2)/25)*EB64+(1-EXP(-LN(2)/25))/(LN(2)/25)*Calculateur!DW65*Calculateur!DY65*VLOOKUP('Données projet'!$B$14,Paramètres!$A$1:$I$88,3,0)*0.475*44/12</f>
        <v>0</v>
      </c>
      <c r="EC65" s="23">
        <f>EXP(-LN(2)/2)*EC64+(1-EXP(-LN(2)/2))/(LN(2)/2)*DW65*DZ65*VLOOKUP('Données projet'!$B$14,Paramètres!$A$1:$I$88,3,0)*0.475*44/12</f>
        <v>0</v>
      </c>
      <c r="ED65" s="24">
        <f t="shared" si="18"/>
        <v>21.997269242858845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67.212310266368632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projet'!$B$15,Paramètres!$A$1:$I$88,3,0)*0.475*44/12</f>
        <v>#N/A</v>
      </c>
      <c r="EW65" s="23" t="e">
        <f>EXP(-LN(2)/25)*EW64+(1-EXP(-LN(2)/25))/(LN(2)/25)*Calculateur!ER65*Calculateur!ET65*VLOOKUP('Données projet'!$B$15,Paramètres!$A$1:$I$88,3,0)*0.475*44/12</f>
        <v>#N/A</v>
      </c>
      <c r="EX65" s="23" t="e">
        <f>EXP(-LN(2)/2)*EX64+(1-EXP(-LN(2)/2))/(LN(2)/2)*ER65*EU65*VLOOKUP('Données projet'!$B$15,Paramètres!$A$1:$I$88,3,0)*0.475*44/12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67.212310266368632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projet'!$B$16,Paramètres!$A$1:$I$88,3,0)*0.475*44/12</f>
        <v>#N/A</v>
      </c>
      <c r="FR65" s="23" t="e">
        <f>EXP(-LN(2)/25)*FR64+(1-EXP(-LN(2)/25))/(LN(2)/25)*Calculateur!FM65*Calculateur!FO65*VLOOKUP('Données projet'!$B$16,Paramètres!$A$1:$I$88,3,0)*0.475*44/12</f>
        <v>#N/A</v>
      </c>
      <c r="FS65" s="23" t="e">
        <f>EXP(-LN(2)/2)*FS64+(1-EXP(-LN(2)/2))/(LN(2)/2)*FM65*FP65*VLOOKUP('Données projet'!$B$16,Paramètres!$A$1:$I$88,3,0)*0.475*44/12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67.212310266368632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projet'!$B$17,Paramètres!$A$1:$I$88,3,0)*0.475*44/12</f>
        <v>#N/A</v>
      </c>
      <c r="GM65" s="23" t="e">
        <f>EXP(-LN(2)/25)*GM64+(1-EXP(-LN(2)/25))/(LN(2)/25)*Calculateur!GH65*Calculateur!GJ65*VLOOKUP('Données projet'!$B$17,Paramètres!$A$1:$I$88,3,0)*0.475*44/12</f>
        <v>#N/A</v>
      </c>
      <c r="GN65" s="23" t="e">
        <f>EXP(-LN(2)/2)*GN64+(1-EXP(-LN(2)/2))/(LN(2)/2)*GH65*GK65*VLOOKUP('Données projet'!$B$17,Paramètres!$A$1:$I$88,3,0)*0.475*44/12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67.212310266368632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projet'!$B$18,Paramètres!$A$1:$I$88,3,0)*0.475*44/12</f>
        <v>#N/A</v>
      </c>
      <c r="HH65" s="23" t="e">
        <f>EXP(-LN(2)/25)*HH64+(1-EXP(-LN(2)/25))/(LN(2)/25)*Calculateur!HC65*Calculateur!HE65*VLOOKUP('Données projet'!$B$18,Paramètres!$A$1:$I$88,3,0)*0.475*44/12</f>
        <v>#N/A</v>
      </c>
      <c r="HI65" s="23" t="e">
        <f>EXP(-LN(2)/2)*HI64+(1-EXP(-LN(2)/2))/(LN(2)/2)*HC65*HF65*VLOOKUP('Données projet'!$B$18,Paramètres!$A$1:$I$88,3,0)*0.475*44/12</f>
        <v>#N/A</v>
      </c>
      <c r="HJ65" s="24" t="e">
        <f t="shared" si="30"/>
        <v>#N/A</v>
      </c>
    </row>
    <row r="66" spans="1:218" s="5" customFormat="1" x14ac:dyDescent="0.2">
      <c r="A66" s="11">
        <f t="shared" si="31"/>
        <v>63</v>
      </c>
      <c r="B66" s="77">
        <f>'Scénario référence'!$B$16*5+'Scénario référence'!$B$17*0+'Scénario référence'!$B$18*5</f>
        <v>1.6500000000000001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6.0500000000000007</v>
      </c>
      <c r="H66" s="70">
        <f t="shared" si="1"/>
        <v>232.4666666666667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67.260670450906559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projet'!$B$9,Paramètres!$A$1:$I$88,3,0)*VLOOKUP('Données projet'!$B$9,Paramètres!$A$1:$I$88,5,0)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283.28912498665937</v>
      </c>
      <c r="S66" s="62">
        <f ca="1">AVERAGE(OFFSET($R$3,0,0,'Données projet'!$E$9+1,1))-AVERAGE(OFFSET($H$3,0,0,'Données projet'!$E$9+1,1))</f>
        <v>354.71367224254021</v>
      </c>
      <c r="T66" s="62">
        <f t="shared" si="34"/>
        <v>490.074370133397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163.24975681679621</v>
      </c>
      <c r="AA66" s="23">
        <f>EXP(-LN(2)/25)*AA65+(1-EXP(-LN(2)/25))/(LN(2)/25)*Calculateur!V66*Calculateur!X66*VLOOKUP('Données projet'!$B$9,Paramètres!$A$1:$I$88,3,0)*0.475*44/12</f>
        <v>34.090271591361905</v>
      </c>
      <c r="AB66" s="23">
        <f>EXP(-LN(2)/2)*AB65+(1-EXP(-LN(2)/2))/(LN(2)/2)*V66*Y66*VLOOKUP('Données projet'!$B$9,Paramètres!$A$1:$I$88,3,0)*0.475*44/12</f>
        <v>0.20124667166912036</v>
      </c>
      <c r="AC66" s="24">
        <f t="shared" si="3"/>
        <v>197.54127507982722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67.260670450906559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2.2737367544323206E-13</v>
      </c>
      <c r="AJ66" s="14">
        <f>AI66*VLOOKUP('Données projet'!$B$10,Paramètres!$A$1:$I$88,3,0)*VLOOKUP('Données projet'!$B$10,Paramètres!$A$1:$I$88,5,0)</f>
        <v>1.3596945791505279E-13</v>
      </c>
      <c r="AK66" s="14">
        <f t="shared" si="35"/>
        <v>1.9708830566360721E-12</v>
      </c>
      <c r="AL66" s="22">
        <f t="shared" si="4"/>
        <v>3.669434796176543E-12</v>
      </c>
      <c r="AM66" s="62">
        <f t="shared" si="5"/>
        <v>283.28912498666108</v>
      </c>
      <c r="AN66" s="62">
        <f ca="1">AVERAGE(OFFSET($AM$3,0,0,'Données projet'!$E$10+1,1))-AVERAGE(OFFSET($H$3,0,0,'Données projet'!$E$10+1,1))</f>
        <v>264.73276096087574</v>
      </c>
      <c r="AO66" s="62">
        <f t="shared" si="36"/>
        <v>381.84464918049662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projet'!$B$10,Paramètres!$A$1:$I$88,3,0)*0.475*44/12</f>
        <v>114.48809179318253</v>
      </c>
      <c r="AV66" s="23">
        <f>EXP(-LN(2)/25)*AV65+(1-EXP(-LN(2)/25))/(LN(2)/25)*Calculateur!AQ66*Calculateur!AS66*VLOOKUP('Données projet'!$B$10,Paramètres!$A$1:$I$88,3,0)*0.475*44/12</f>
        <v>23.949512292041788</v>
      </c>
      <c r="AW66" s="23">
        <f>EXP(-LN(2)/2)*AW65+(1-EXP(-LN(2)/2))/(LN(2)/2)*AQ66*AT66*VLOOKUP('Données projet'!$B$10,Paramètres!$A$1:$I$88,3,0)*0.475*44/12</f>
        <v>0.14091458701400369</v>
      </c>
      <c r="AX66" s="23">
        <f t="shared" si="6"/>
        <v>138.57851867223835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67.260670450906559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IF('Données projet'!$A$88&gt;35,BD65+BC66-BL65,IF(A66&lt;'Données projet'!$A$88,$BA$205^A66,IF(A66='Données projet'!$A$88,'Données projet'!$B$88,BD65+BC66-BL65)))</f>
        <v>214.59999999999994</v>
      </c>
      <c r="BE66" s="14">
        <f>BD66*VLOOKUP('Données projet'!$B$11,Paramètres!$A$1:$I$88,3,0)*VLOOKUP('Données projet'!$B$11,Paramètres!$A$1:$I$88,5,0)</f>
        <v>244.38647999999995</v>
      </c>
      <c r="BF66" s="14">
        <f t="shared" si="37"/>
        <v>59.382305874225068</v>
      </c>
      <c r="BG66" s="22">
        <f t="shared" si="7"/>
        <v>529.06396873094195</v>
      </c>
      <c r="BH66" s="62">
        <f t="shared" si="8"/>
        <v>812.35309371759934</v>
      </c>
      <c r="BI66" s="62">
        <f ca="1">AVERAGE(OFFSET($BH$3,0,0,'Données projet'!$E$11+1,1))-AVERAGE(OFFSET($H$3,0,0,'Données projet'!$E$11+1,1))</f>
        <v>470.57532875732056</v>
      </c>
      <c r="BJ66" s="62">
        <f t="shared" si="38"/>
        <v>286.63787681165888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projet'!$B$11,Paramètres!$A$1:$I$88,3,0)*0.475*44/12</f>
        <v>9.9452445258809217</v>
      </c>
      <c r="BQ66" s="23">
        <f>EXP(-LN(2)/25)*BQ65+(1-EXP(-LN(2)/25))/(LN(2)/25)*Calculateur!BL66*Calculateur!BN66*VLOOKUP('Données projet'!$B$11,Paramètres!$A$1:$I$88,3,0)*0.475*44/12</f>
        <v>0</v>
      </c>
      <c r="BR66" s="23">
        <f>EXP(-LN(2)/2)*BR65+(1-EXP(-LN(2)/2))/(LN(2)/2)*BL66*BO66*VLOOKUP('Données projet'!$B$11,Paramètres!$A$1:$I$88,3,0)*0.475*44/12</f>
        <v>0</v>
      </c>
      <c r="BS66" s="24">
        <f t="shared" si="9"/>
        <v>9.9452445258809217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67.260670450906559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5.2</v>
      </c>
      <c r="BY66" s="13">
        <f>IF('Données projet'!$A$114&gt;35,BY65+BX66-CG65,IF(A66&lt;'Données projet'!$A$114,$BV$205^A66,IF(A66='Données projet'!$A$114,'Données projet'!$B$114,BY65+BX66-CG65)))</f>
        <v>295.59999999999985</v>
      </c>
      <c r="BZ66" s="14">
        <f>BY66*VLOOKUP('Données projet'!$B$12,Paramètres!$A$1:$I$88,3,0)*VLOOKUP('Données projet'!$B$12,Paramètres!$A$1:$I$88,5,0)</f>
        <v>193.67711999999989</v>
      </c>
      <c r="CA66" s="14">
        <f t="shared" si="39"/>
        <v>48.352002718263378</v>
      </c>
      <c r="CB66" s="22">
        <f t="shared" si="10"/>
        <v>421.53405540097515</v>
      </c>
      <c r="CC66" s="62">
        <f t="shared" si="11"/>
        <v>704.82318038763253</v>
      </c>
      <c r="CD66" s="62">
        <f ca="1">AVERAGE(OFFSET($CC$3,0,0,'Données projet'!$E$12+1,1))-AVERAGE(OFFSET($H$3,0,0,'Données projet'!$E$12+1,1))</f>
        <v>305.38855494899906</v>
      </c>
      <c r="CE66" s="62">
        <f t="shared" si="40"/>
        <v>298.48106301229177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projet'!$B$12,Paramètres!$A$1:$I$88,3,0)*0.475*44/12</f>
        <v>10.481336491690563</v>
      </c>
      <c r="CL66" s="23">
        <f>EXP(-LN(2)/25)*CL65+(1-EXP(-LN(2)/25))/(LN(2)/25)*Calculateur!CG66*Calculateur!CI66*VLOOKUP('Données projet'!$B$12,Paramètres!$A$1:$I$88,3,0)*0.475*44/12</f>
        <v>0</v>
      </c>
      <c r="CM66" s="23">
        <f>EXP(-LN(2)/2)*CM65+(1-EXP(-LN(2)/2))/(LN(2)/2)*CG66*CJ66*VLOOKUP('Données projet'!$B$12,Paramètres!$A$1:$I$88,3,0)*0.475*44/12</f>
        <v>0</v>
      </c>
      <c r="CN66" s="24">
        <f t="shared" si="12"/>
        <v>10.481336491690563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67.260670450906559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5.2</v>
      </c>
      <c r="CT66" s="13">
        <f>IF('Données projet'!$A$140&gt;35,CT65+CS66-DB65,IF(A66&lt;'Données projet'!$A$140,$CQ$205^A66,IF(A66='Données projet'!$A$140,'Données projet'!$B$140,CT65+CS66-DB65)))</f>
        <v>295.59999999999985</v>
      </c>
      <c r="CU66" s="18">
        <f>CT66*VLOOKUP('Données projet'!$B$13,Paramètres!$A$1:$I$88,3,0)*VLOOKUP('Données projet'!$B$13,Paramètres!$A$1:$I$88,5,0)</f>
        <v>235.17935999999989</v>
      </c>
      <c r="CV66" s="14">
        <f t="shared" si="41"/>
        <v>57.401124668909425</v>
      </c>
      <c r="CW66" s="22">
        <f t="shared" si="13"/>
        <v>509.57767746501708</v>
      </c>
      <c r="CX66" s="62">
        <f t="shared" si="14"/>
        <v>792.8668024516744</v>
      </c>
      <c r="CY66" s="62">
        <f ca="1">AVERAGE(OFFSET($CX$3,0,0,'Données projet'!$E$13+1,1))-AVERAGE(OFFSET($H$3,0,0,'Données projet'!$E$13+1,1))</f>
        <v>361.30066984973894</v>
      </c>
      <c r="CZ66" s="62">
        <f t="shared" si="42"/>
        <v>351.78053157121622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projet'!$B$13,Paramètres!$A$1:$I$88,3,0)*0.475*44/12</f>
        <v>15.687183021616613</v>
      </c>
      <c r="DG66" s="23">
        <f>EXP(-LN(2)/25)*DG65+(1-EXP(-LN(2)/25))/(LN(2)/25)*Calculateur!DB66*Calculateur!DD66*VLOOKUP('Données projet'!$B$13,Paramètres!$A$1:$I$88,3,0)*0.475*44/12</f>
        <v>0</v>
      </c>
      <c r="DH66" s="23">
        <f>EXP(-LN(2)/2)*DH65+(1-EXP(-LN(2)/2))/(LN(2)/2)*DB66*DE66*VLOOKUP('Données projet'!$B$13,Paramètres!$A$1:$I$88,3,0)*0.475*44/12</f>
        <v>0</v>
      </c>
      <c r="DI66" s="24">
        <f t="shared" si="15"/>
        <v>15.687183021616613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67.260670450906559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>
        <f>DO66*VLOOKUP('Données projet'!$B$14,Paramètres!$A$1:$I$88,3,0)*VLOOKUP('Données projet'!$B$14,Paramètres!$A$1:$I$88,5,0)</f>
        <v>0</v>
      </c>
      <c r="DQ66" s="14" t="e">
        <f t="shared" si="43"/>
        <v>#NUM!</v>
      </c>
      <c r="DR66" s="22" t="e">
        <f t="shared" si="16"/>
        <v>#NUM!</v>
      </c>
      <c r="DS66" s="62" t="e">
        <f t="shared" si="17"/>
        <v>#NUM!</v>
      </c>
      <c r="DT66" s="62">
        <f ca="1">AVERAGE(OFFSET($DS$3,0,0,'Données projet'!$E$14+1,1))-AVERAGE(OFFSET($H$3,0,0,'Données projet'!$E$14+1,1))</f>
        <v>91.201152634762423</v>
      </c>
      <c r="DU66" s="62">
        <f t="shared" si="44"/>
        <v>233.36981992862445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projet'!$B$14,Paramètres!$A$1:$I$88,3,0)*0.475*44/12</f>
        <v>21.565916210015804</v>
      </c>
      <c r="EB66" s="23">
        <f>EXP(-LN(2)/25)*EB65+(1-EXP(-LN(2)/25))/(LN(2)/25)*Calculateur!DW66*Calculateur!DY66*VLOOKUP('Données projet'!$B$14,Paramètres!$A$1:$I$88,3,0)*0.475*44/12</f>
        <v>0</v>
      </c>
      <c r="EC66" s="23">
        <f>EXP(-LN(2)/2)*EC65+(1-EXP(-LN(2)/2))/(LN(2)/2)*DW66*DZ66*VLOOKUP('Données projet'!$B$14,Paramètres!$A$1:$I$88,3,0)*0.475*44/12</f>
        <v>0</v>
      </c>
      <c r="ED66" s="24">
        <f t="shared" si="18"/>
        <v>21.565916210015804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67.260670450906559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projet'!$B$15,Paramètres!$A$1:$I$88,3,0)*0.475*44/12</f>
        <v>#N/A</v>
      </c>
      <c r="EW66" s="23" t="e">
        <f>EXP(-LN(2)/25)*EW65+(1-EXP(-LN(2)/25))/(LN(2)/25)*Calculateur!ER66*Calculateur!ET66*VLOOKUP('Données projet'!$B$15,Paramètres!$A$1:$I$88,3,0)*0.475*44/12</f>
        <v>#N/A</v>
      </c>
      <c r="EX66" s="23" t="e">
        <f>EXP(-LN(2)/2)*EX65+(1-EXP(-LN(2)/2))/(LN(2)/2)*ER66*EU66*VLOOKUP('Données projet'!$B$15,Paramètres!$A$1:$I$88,3,0)*0.475*44/12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67.260670450906559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projet'!$B$16,Paramètres!$A$1:$I$88,3,0)*0.475*44/12</f>
        <v>#N/A</v>
      </c>
      <c r="FR66" s="23" t="e">
        <f>EXP(-LN(2)/25)*FR65+(1-EXP(-LN(2)/25))/(LN(2)/25)*Calculateur!FM66*Calculateur!FO66*VLOOKUP('Données projet'!$B$16,Paramètres!$A$1:$I$88,3,0)*0.475*44/12</f>
        <v>#N/A</v>
      </c>
      <c r="FS66" s="23" t="e">
        <f>EXP(-LN(2)/2)*FS65+(1-EXP(-LN(2)/2))/(LN(2)/2)*FM66*FP66*VLOOKUP('Données projet'!$B$16,Paramètres!$A$1:$I$88,3,0)*0.475*44/12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67.260670450906559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projet'!$B$17,Paramètres!$A$1:$I$88,3,0)*0.475*44/12</f>
        <v>#N/A</v>
      </c>
      <c r="GM66" s="23" t="e">
        <f>EXP(-LN(2)/25)*GM65+(1-EXP(-LN(2)/25))/(LN(2)/25)*Calculateur!GH66*Calculateur!GJ66*VLOOKUP('Données projet'!$B$17,Paramètres!$A$1:$I$88,3,0)*0.475*44/12</f>
        <v>#N/A</v>
      </c>
      <c r="GN66" s="23" t="e">
        <f>EXP(-LN(2)/2)*GN65+(1-EXP(-LN(2)/2))/(LN(2)/2)*GH66*GK66*VLOOKUP('Données projet'!$B$17,Paramètres!$A$1:$I$88,3,0)*0.475*44/12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67.260670450906559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projet'!$B$18,Paramètres!$A$1:$I$88,3,0)*0.475*44/12</f>
        <v>#N/A</v>
      </c>
      <c r="HH66" s="23" t="e">
        <f>EXP(-LN(2)/25)*HH65+(1-EXP(-LN(2)/25))/(LN(2)/25)*Calculateur!HC66*Calculateur!HE66*VLOOKUP('Données projet'!$B$18,Paramètres!$A$1:$I$88,3,0)*0.475*44/12</f>
        <v>#N/A</v>
      </c>
      <c r="HI66" s="23" t="e">
        <f>EXP(-LN(2)/2)*HI65+(1-EXP(-LN(2)/2))/(LN(2)/2)*HC66*HF66*VLOOKUP('Données projet'!$B$18,Paramètres!$A$1:$I$88,3,0)*0.475*44/12</f>
        <v>#N/A</v>
      </c>
      <c r="HJ66" s="24" t="e">
        <f t="shared" si="30"/>
        <v>#N/A</v>
      </c>
    </row>
    <row r="67" spans="1:218" s="5" customFormat="1" x14ac:dyDescent="0.2">
      <c r="A67" s="11">
        <f t="shared" si="31"/>
        <v>64</v>
      </c>
      <c r="B67" s="77">
        <f>'Scénario référence'!$B$16*5+'Scénario référence'!$B$17*0+'Scénario référence'!$B$18*5</f>
        <v>1.6500000000000001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6.0500000000000007</v>
      </c>
      <c r="H67" s="70">
        <f t="shared" si="1"/>
        <v>232.4666666666667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67.308191694359934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projet'!$B$9,Paramètres!$A$1:$I$88,3,0)*VLOOKUP('Données projet'!$B$9,Paramètres!$A$1:$I$88,5,0)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283.46336954598843</v>
      </c>
      <c r="S67" s="62">
        <f ca="1">AVERAGE(OFFSET($R$3,0,0,'Données projet'!$E$9+1,1))-AVERAGE(OFFSET($H$3,0,0,'Données projet'!$E$9+1,1))</f>
        <v>354.71367224254021</v>
      </c>
      <c r="T67" s="62">
        <f t="shared" si="34"/>
        <v>490.074370133397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160.04852865813851</v>
      </c>
      <c r="AA67" s="23">
        <f>EXP(-LN(2)/25)*AA66+(1-EXP(-LN(2)/25))/(LN(2)/25)*Calculateur!V67*Calculateur!X67*VLOOKUP('Données projet'!$B$9,Paramètres!$A$1:$I$88,3,0)*0.475*44/12</f>
        <v>33.158071321966645</v>
      </c>
      <c r="AB67" s="23">
        <f>EXP(-LN(2)/2)*AB66+(1-EXP(-LN(2)/2))/(LN(2)/2)*V67*Y67*VLOOKUP('Données projet'!$B$9,Paramètres!$A$1:$I$88,3,0)*0.475*44/12</f>
        <v>0.14230288622845766</v>
      </c>
      <c r="AC67" s="24">
        <f t="shared" si="3"/>
        <v>193.34890286633362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67.308191694359934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2.2737367544323206E-13</v>
      </c>
      <c r="AJ67" s="14">
        <f>AI67*VLOOKUP('Données projet'!$B$10,Paramètres!$A$1:$I$88,3,0)*VLOOKUP('Données projet'!$B$10,Paramètres!$A$1:$I$88,5,0)</f>
        <v>1.3596945791505279E-13</v>
      </c>
      <c r="AK67" s="14">
        <f t="shared" si="35"/>
        <v>1.9708830566360721E-12</v>
      </c>
      <c r="AL67" s="22">
        <f t="shared" si="4"/>
        <v>3.669434796176543E-12</v>
      </c>
      <c r="AM67" s="62">
        <f t="shared" si="5"/>
        <v>283.46336954599013</v>
      </c>
      <c r="AN67" s="62">
        <f ca="1">AVERAGE(OFFSET($AM$3,0,0,'Données projet'!$E$10+1,1))-AVERAGE(OFFSET($H$3,0,0,'Données projet'!$E$10+1,1))</f>
        <v>264.73276096087574</v>
      </c>
      <c r="AO67" s="62">
        <f t="shared" si="36"/>
        <v>381.84464918049662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projet'!$B$10,Paramètres!$A$1:$I$88,3,0)*0.475*44/12</f>
        <v>112.243050143959</v>
      </c>
      <c r="AV67" s="23">
        <f>EXP(-LN(2)/25)*AV66+(1-EXP(-LN(2)/25))/(LN(2)/25)*Calculateur!AQ67*Calculateur!AS67*VLOOKUP('Données projet'!$B$10,Paramètres!$A$1:$I$88,3,0)*0.475*44/12</f>
        <v>23.294611618965792</v>
      </c>
      <c r="AW67" s="23">
        <f>EXP(-LN(2)/2)*AW66+(1-EXP(-LN(2)/2))/(LN(2)/2)*AQ67*AT67*VLOOKUP('Données projet'!$B$10,Paramètres!$A$1:$I$88,3,0)*0.475*44/12</f>
        <v>9.9641660045703823E-2</v>
      </c>
      <c r="AX67" s="23">
        <f t="shared" si="6"/>
        <v>135.63730342297049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67.308191694359934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IF('Données projet'!$A$88&gt;35,BD66+BC67-BL66,IF(A67&lt;'Données projet'!$A$88,$BA$205^A67,IF(A67='Données projet'!$A$88,'Données projet'!$B$88,BD66+BC67-BL66)))</f>
        <v>221.79999999999993</v>
      </c>
      <c r="BE67" s="14">
        <f>BD67*VLOOKUP('Données projet'!$B$11,Paramètres!$A$1:$I$88,3,0)*VLOOKUP('Données projet'!$B$11,Paramètres!$A$1:$I$88,5,0)</f>
        <v>252.58583999999991</v>
      </c>
      <c r="BF67" s="14">
        <f t="shared" si="37"/>
        <v>61.139327516253012</v>
      </c>
      <c r="BG67" s="22">
        <f t="shared" si="7"/>
        <v>546.40466675747382</v>
      </c>
      <c r="BH67" s="62">
        <f t="shared" si="8"/>
        <v>829.86803630346026</v>
      </c>
      <c r="BI67" s="62">
        <f ca="1">AVERAGE(OFFSET($BH$3,0,0,'Données projet'!$E$11+1,1))-AVERAGE(OFFSET($H$3,0,0,'Données projet'!$E$11+1,1))</f>
        <v>470.57532875732056</v>
      </c>
      <c r="BJ67" s="62">
        <f t="shared" si="38"/>
        <v>286.63787681165888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projet'!$B$11,Paramètres!$A$1:$I$88,3,0)*0.475*44/12</f>
        <v>9.7502243467285901</v>
      </c>
      <c r="BQ67" s="23">
        <f>EXP(-LN(2)/25)*BQ66+(1-EXP(-LN(2)/25))/(LN(2)/25)*Calculateur!BL67*Calculateur!BN67*VLOOKUP('Données projet'!$B$11,Paramètres!$A$1:$I$88,3,0)*0.475*44/12</f>
        <v>0</v>
      </c>
      <c r="BR67" s="23">
        <f>EXP(-LN(2)/2)*BR66+(1-EXP(-LN(2)/2))/(LN(2)/2)*BL67*BO67*VLOOKUP('Données projet'!$B$11,Paramètres!$A$1:$I$88,3,0)*0.475*44/12</f>
        <v>0</v>
      </c>
      <c r="BS67" s="24">
        <f t="shared" si="9"/>
        <v>9.7502243467285901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67.308191694359934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5.2</v>
      </c>
      <c r="BY67" s="13">
        <f>IF('Données projet'!$A$114&gt;35,BY66+BX67-CG66,IF(A67&lt;'Données projet'!$A$114,$BV$205^A67,IF(A67='Données projet'!$A$114,'Données projet'!$B$114,BY66+BX67-CG66)))</f>
        <v>300.79999999999984</v>
      </c>
      <c r="BZ67" s="14">
        <f>BY67*VLOOKUP('Données projet'!$B$12,Paramètres!$A$1:$I$88,3,0)*VLOOKUP('Données projet'!$B$12,Paramètres!$A$1:$I$88,5,0)</f>
        <v>197.08415999999988</v>
      </c>
      <c r="CA67" s="14">
        <f t="shared" si="39"/>
        <v>49.102807637925835</v>
      </c>
      <c r="CB67" s="22">
        <f t="shared" si="10"/>
        <v>428.77563530272056</v>
      </c>
      <c r="CC67" s="62">
        <f t="shared" si="11"/>
        <v>712.23900484870705</v>
      </c>
      <c r="CD67" s="62">
        <f ca="1">AVERAGE(OFFSET($CC$3,0,0,'Données projet'!$E$12+1,1))-AVERAGE(OFFSET($H$3,0,0,'Données projet'!$E$12+1,1))</f>
        <v>305.38855494899906</v>
      </c>
      <c r="CE67" s="62">
        <f t="shared" si="40"/>
        <v>298.48106301229177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projet'!$B$12,Paramètres!$A$1:$I$88,3,0)*0.475*44/12</f>
        <v>10.275803876072516</v>
      </c>
      <c r="CL67" s="23">
        <f>EXP(-LN(2)/25)*CL66+(1-EXP(-LN(2)/25))/(LN(2)/25)*Calculateur!CG67*Calculateur!CI67*VLOOKUP('Données projet'!$B$12,Paramètres!$A$1:$I$88,3,0)*0.475*44/12</f>
        <v>0</v>
      </c>
      <c r="CM67" s="23">
        <f>EXP(-LN(2)/2)*CM66+(1-EXP(-LN(2)/2))/(LN(2)/2)*CG67*CJ67*VLOOKUP('Données projet'!$B$12,Paramètres!$A$1:$I$88,3,0)*0.475*44/12</f>
        <v>0</v>
      </c>
      <c r="CN67" s="24">
        <f t="shared" si="12"/>
        <v>10.275803876072516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67.308191694359934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5.2</v>
      </c>
      <c r="CT67" s="13">
        <f>IF('Données projet'!$A$140&gt;35,CT66+CS67-DB66,IF(A67&lt;'Données projet'!$A$140,$CQ$205^A67,IF(A67='Données projet'!$A$140,'Données projet'!$B$140,CT66+CS67-DB66)))</f>
        <v>300.79999999999984</v>
      </c>
      <c r="CU67" s="18">
        <f>CT67*VLOOKUP('Données projet'!$B$13,Paramètres!$A$1:$I$88,3,0)*VLOOKUP('Données projet'!$B$13,Paramètres!$A$1:$I$88,5,0)</f>
        <v>239.3164799999999</v>
      </c>
      <c r="CV67" s="14">
        <f t="shared" si="41"/>
        <v>58.292443422481945</v>
      </c>
      <c r="CW67" s="22">
        <f t="shared" si="13"/>
        <v>518.33554162748919</v>
      </c>
      <c r="CX67" s="62">
        <f t="shared" si="14"/>
        <v>801.79891117347563</v>
      </c>
      <c r="CY67" s="62">
        <f ca="1">AVERAGE(OFFSET($CX$3,0,0,'Données projet'!$E$13+1,1))-AVERAGE(OFFSET($H$3,0,0,'Données projet'!$E$13+1,1))</f>
        <v>361.30066984973894</v>
      </c>
      <c r="CZ67" s="62">
        <f t="shared" si="42"/>
        <v>351.78053157121622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projet'!$B$13,Paramètres!$A$1:$I$88,3,0)*0.475*44/12</f>
        <v>15.379566930799569</v>
      </c>
      <c r="DG67" s="23">
        <f>EXP(-LN(2)/25)*DG66+(1-EXP(-LN(2)/25))/(LN(2)/25)*Calculateur!DB67*Calculateur!DD67*VLOOKUP('Données projet'!$B$13,Paramètres!$A$1:$I$88,3,0)*0.475*44/12</f>
        <v>0</v>
      </c>
      <c r="DH67" s="23">
        <f>EXP(-LN(2)/2)*DH66+(1-EXP(-LN(2)/2))/(LN(2)/2)*DB67*DE67*VLOOKUP('Données projet'!$B$13,Paramètres!$A$1:$I$88,3,0)*0.475*44/12</f>
        <v>0</v>
      </c>
      <c r="DI67" s="24">
        <f t="shared" si="15"/>
        <v>15.379566930799569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67.308191694359934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>
        <f>DO67*VLOOKUP('Données projet'!$B$14,Paramètres!$A$1:$I$88,3,0)*VLOOKUP('Données projet'!$B$14,Paramètres!$A$1:$I$88,5,0)</f>
        <v>0</v>
      </c>
      <c r="DQ67" s="14" t="e">
        <f t="shared" si="43"/>
        <v>#NUM!</v>
      </c>
      <c r="DR67" s="22" t="e">
        <f t="shared" si="16"/>
        <v>#NUM!</v>
      </c>
      <c r="DS67" s="62" t="e">
        <f t="shared" si="17"/>
        <v>#NUM!</v>
      </c>
      <c r="DT67" s="62">
        <f ca="1">AVERAGE(OFFSET($DS$3,0,0,'Données projet'!$E$14+1,1))-AVERAGE(OFFSET($H$3,0,0,'Données projet'!$E$14+1,1))</f>
        <v>91.201152634762423</v>
      </c>
      <c r="DU67" s="62">
        <f t="shared" si="44"/>
        <v>233.36981992862445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projet'!$B$14,Paramètres!$A$1:$I$88,3,0)*0.475*44/12</f>
        <v>21.143021747047442</v>
      </c>
      <c r="EB67" s="23">
        <f>EXP(-LN(2)/25)*EB66+(1-EXP(-LN(2)/25))/(LN(2)/25)*Calculateur!DW67*Calculateur!DY67*VLOOKUP('Données projet'!$B$14,Paramètres!$A$1:$I$88,3,0)*0.475*44/12</f>
        <v>0</v>
      </c>
      <c r="EC67" s="23">
        <f>EXP(-LN(2)/2)*EC66+(1-EXP(-LN(2)/2))/(LN(2)/2)*DW67*DZ67*VLOOKUP('Données projet'!$B$14,Paramètres!$A$1:$I$88,3,0)*0.475*44/12</f>
        <v>0</v>
      </c>
      <c r="ED67" s="24">
        <f t="shared" si="18"/>
        <v>21.143021747047442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67.308191694359934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projet'!$B$15,Paramètres!$A$1:$I$88,3,0)*0.475*44/12</f>
        <v>#N/A</v>
      </c>
      <c r="EW67" s="23" t="e">
        <f>EXP(-LN(2)/25)*EW66+(1-EXP(-LN(2)/25))/(LN(2)/25)*Calculateur!ER67*Calculateur!ET67*VLOOKUP('Données projet'!$B$15,Paramètres!$A$1:$I$88,3,0)*0.475*44/12</f>
        <v>#N/A</v>
      </c>
      <c r="EX67" s="23" t="e">
        <f>EXP(-LN(2)/2)*EX66+(1-EXP(-LN(2)/2))/(LN(2)/2)*ER67*EU67*VLOOKUP('Données projet'!$B$15,Paramètres!$A$1:$I$88,3,0)*0.475*44/12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67.308191694359934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projet'!$B$16,Paramètres!$A$1:$I$88,3,0)*0.475*44/12</f>
        <v>#N/A</v>
      </c>
      <c r="FR67" s="23" t="e">
        <f>EXP(-LN(2)/25)*FR66+(1-EXP(-LN(2)/25))/(LN(2)/25)*Calculateur!FM67*Calculateur!FO67*VLOOKUP('Données projet'!$B$16,Paramètres!$A$1:$I$88,3,0)*0.475*44/12</f>
        <v>#N/A</v>
      </c>
      <c r="FS67" s="23" t="e">
        <f>EXP(-LN(2)/2)*FS66+(1-EXP(-LN(2)/2))/(LN(2)/2)*FM67*FP67*VLOOKUP('Données projet'!$B$16,Paramètres!$A$1:$I$88,3,0)*0.475*44/12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67.308191694359934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projet'!$B$17,Paramètres!$A$1:$I$88,3,0)*0.475*44/12</f>
        <v>#N/A</v>
      </c>
      <c r="GM67" s="23" t="e">
        <f>EXP(-LN(2)/25)*GM66+(1-EXP(-LN(2)/25))/(LN(2)/25)*Calculateur!GH67*Calculateur!GJ67*VLOOKUP('Données projet'!$B$17,Paramètres!$A$1:$I$88,3,0)*0.475*44/12</f>
        <v>#N/A</v>
      </c>
      <c r="GN67" s="23" t="e">
        <f>EXP(-LN(2)/2)*GN66+(1-EXP(-LN(2)/2))/(LN(2)/2)*GH67*GK67*VLOOKUP('Données projet'!$B$17,Paramètres!$A$1:$I$88,3,0)*0.475*44/12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67.308191694359934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projet'!$B$18,Paramètres!$A$1:$I$88,3,0)*0.475*44/12</f>
        <v>#N/A</v>
      </c>
      <c r="HH67" s="23" t="e">
        <f>EXP(-LN(2)/25)*HH66+(1-EXP(-LN(2)/25))/(LN(2)/25)*Calculateur!HC67*Calculateur!HE67*VLOOKUP('Données projet'!$B$18,Paramètres!$A$1:$I$88,3,0)*0.475*44/12</f>
        <v>#N/A</v>
      </c>
      <c r="HI67" s="23" t="e">
        <f>EXP(-LN(2)/2)*HI66+(1-EXP(-LN(2)/2))/(LN(2)/2)*HC67*HF67*VLOOKUP('Données projet'!$B$18,Paramètres!$A$1:$I$88,3,0)*0.475*44/12</f>
        <v>#N/A</v>
      </c>
      <c r="HJ67" s="24" t="e">
        <f t="shared" si="30"/>
        <v>#N/A</v>
      </c>
    </row>
    <row r="68" spans="1:218" s="5" customFormat="1" x14ac:dyDescent="0.2">
      <c r="A68" s="11">
        <f t="shared" si="31"/>
        <v>65</v>
      </c>
      <c r="B68" s="77">
        <f>'Scénario référence'!$B$16*5+'Scénario référence'!$B$17*0+'Scénario référence'!$B$18*5</f>
        <v>1.6500000000000001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6.0500000000000007</v>
      </c>
      <c r="H68" s="70">
        <f t="shared" ref="H68:H131" si="56">(B68+E68+F68)*44/12+(C68+D68)*0.475*44/12</f>
        <v>232.4666666666667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67.354888550480979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projet'!$B$9,Paramètres!$A$1:$I$88,3,0)*VLOOKUP('Données projet'!$B$9,Paramètres!$A$1:$I$88,5,0)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283.63459135176561</v>
      </c>
      <c r="S68" s="62">
        <f ca="1">AVERAGE(OFFSET($R$3,0,0,'Données projet'!$E$9+1,1))-AVERAGE(OFFSET($H$3,0,0,'Données projet'!$E$9+1,1))</f>
        <v>354.71367224254021</v>
      </c>
      <c r="T68" s="62">
        <f t="shared" si="34"/>
        <v>490.074370133397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156.91007463111572</v>
      </c>
      <c r="AA68" s="23">
        <f>EXP(-LN(2)/25)*AA67+(1-EXP(-LN(2)/25))/(LN(2)/25)*Calculateur!V68*Calculateur!X68*VLOOKUP('Données projet'!$B$9,Paramètres!$A$1:$I$88,3,0)*0.475*44/12</f>
        <v>32.251362117960277</v>
      </c>
      <c r="AB68" s="23">
        <f>EXP(-LN(2)/2)*AB67+(1-EXP(-LN(2)/2))/(LN(2)/2)*V68*Y68*VLOOKUP('Données projet'!$B$9,Paramètres!$A$1:$I$88,3,0)*0.475*44/12</f>
        <v>0.10062333583456018</v>
      </c>
      <c r="AC68" s="24">
        <f t="shared" ref="AC68:AC131" si="57">SUM(Z68:AB68)</f>
        <v>189.26206008491056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67.354888550480979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2.2737367544323206E-13</v>
      </c>
      <c r="AJ68" s="14">
        <f>AI68*VLOOKUP('Données projet'!$B$10,Paramètres!$A$1:$I$88,3,0)*VLOOKUP('Données projet'!$B$10,Paramètres!$A$1:$I$88,5,0)</f>
        <v>1.3596945791505279E-13</v>
      </c>
      <c r="AK68" s="14">
        <f t="shared" si="35"/>
        <v>1.9708830566360721E-12</v>
      </c>
      <c r="AL68" s="22">
        <f t="shared" ref="AL68:AL131" si="58">(AJ68+AK68)*0.475*44/12</f>
        <v>3.669434796176543E-12</v>
      </c>
      <c r="AM68" s="62">
        <f t="shared" ref="AM68:AM131" si="59">AL68+(AD68+AE68)*44/12</f>
        <v>283.63459135176731</v>
      </c>
      <c r="AN68" s="62">
        <f ca="1">AVERAGE(OFFSET($AM$3,0,0,'Données projet'!$E$10+1,1))-AVERAGE(OFFSET($H$3,0,0,'Données projet'!$E$10+1,1))</f>
        <v>264.73276096087574</v>
      </c>
      <c r="AO68" s="62">
        <f t="shared" si="36"/>
        <v>381.84464918049662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projet'!$B$10,Paramètres!$A$1:$I$88,3,0)*0.475*44/12</f>
        <v>110.04203239213653</v>
      </c>
      <c r="AV68" s="23">
        <f>EXP(-LN(2)/25)*AV67+(1-EXP(-LN(2)/25))/(LN(2)/25)*Calculateur!AQ68*Calculateur!AS68*VLOOKUP('Données projet'!$B$10,Paramètres!$A$1:$I$88,3,0)*0.475*44/12</f>
        <v>22.657619239234787</v>
      </c>
      <c r="AW68" s="23">
        <f>EXP(-LN(2)/2)*AW67+(1-EXP(-LN(2)/2))/(LN(2)/2)*AQ68*AT68*VLOOKUP('Données projet'!$B$10,Paramètres!$A$1:$I$88,3,0)*0.475*44/12</f>
        <v>7.0457293507001847E-2</v>
      </c>
      <c r="AX68" s="23">
        <f t="shared" ref="AX68:AX131" si="60">SUM(AU68:AW68)</f>
        <v>132.77010892487831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67.354888550480979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229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IF('Données projet'!$A$88&gt;35,BD67+BC68-BL67,IF(A68&lt;'Données projet'!$A$88,$BA$205^A68,IF(A68='Données projet'!$A$88,'Données projet'!$B$88,BD67+BC68-BL67)))</f>
        <v>228.99999999999991</v>
      </c>
      <c r="BE68" s="14">
        <f>BD68*VLOOKUP('Données projet'!$B$11,Paramètres!$A$1:$I$88,3,0)*VLOOKUP('Données projet'!$B$11,Paramètres!$A$1:$I$88,5,0)</f>
        <v>260.78519999999992</v>
      </c>
      <c r="BF68" s="14">
        <f t="shared" si="37"/>
        <v>62.889721480388644</v>
      </c>
      <c r="BG68" s="22">
        <f t="shared" ref="BG68:BG131" si="61">(BE68+BF68)*0.475*44/12</f>
        <v>563.7338215783434</v>
      </c>
      <c r="BH68" s="62">
        <f t="shared" ref="BH68:BH131" si="62">BG68+(AY68+AZ68)*44/12</f>
        <v>847.36841293010707</v>
      </c>
      <c r="BI68" s="62">
        <f ca="1">AVERAGE(OFFSET($BH$3,0,0,'Données projet'!$E$11+1,1))-AVERAGE(OFFSET($H$3,0,0,'Données projet'!$E$11+1,1))</f>
        <v>470.57532875732056</v>
      </c>
      <c r="BJ68" s="62">
        <f t="shared" si="38"/>
        <v>286.63787681165888</v>
      </c>
      <c r="BK68" s="16">
        <f>IF(ISNA(VLOOKUP(A68,'Données projet'!$A$87:$I$107,3,0)),0,VLOOKUP(A68,'Données projet'!$A$87:$I$107,3,0))</f>
        <v>10</v>
      </c>
      <c r="BL68" s="16">
        <f>IF(ISNA(VLOOKUP(A68,'Données projet'!$A$87:$I$107,4,0)),0,VLOOKUP(A68,'Données projet'!$A$87:$I$107,4,0))</f>
        <v>21</v>
      </c>
      <c r="BM68" s="17">
        <f>IF(ISNA(VLOOKUP(A68,'Données projet'!$A$87:$I$107,5,0)),0%,VLOOKUP(A68,'Données projet'!$A$87:$I$107,5,0)*VLOOKUP('Données projet'!$B$11,Paramètres!$A$1:$I$88,7,0))</f>
        <v>0.129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projet'!$B$11,Paramètres!$A$1:$I$88,3,0)*0.475*44/12</f>
        <v>12.969414685525516</v>
      </c>
      <c r="BQ68" s="23">
        <f>EXP(-LN(2)/25)*BQ67+(1-EXP(-LN(2)/25))/(LN(2)/25)*Calculateur!BL68*Calculateur!BN68*VLOOKUP('Données projet'!$B$11,Paramètres!$A$1:$I$88,3,0)*0.475*44/12</f>
        <v>0</v>
      </c>
      <c r="BR68" s="23">
        <f>EXP(-LN(2)/2)*BR67+(1-EXP(-LN(2)/2))/(LN(2)/2)*BL68*BO68*VLOOKUP('Données projet'!$B$11,Paramètres!$A$1:$I$88,3,0)*0.475*44/12</f>
        <v>0</v>
      </c>
      <c r="BS68" s="24">
        <f t="shared" ref="BS68:BS131" si="63">SUM(BP68:BR68)</f>
        <v>12.969414685525516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67.354888550480979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306</v>
      </c>
      <c r="BW68" s="13">
        <f>VLOOKUP(A68,'Données projet'!$A$113:$I$133,9,0)</f>
        <v>5.2</v>
      </c>
      <c r="BX68" s="13">
        <f t="array" ref="BX68">INDEX(BW:BW,MIN(IF(ISNUMBER(BW68:BW264),ROW(BW68:BW264),"")))</f>
        <v>5.2</v>
      </c>
      <c r="BY68" s="13">
        <f>IF('Données projet'!$A$114&gt;35,BY67+BX68-CG67,IF(A68&lt;'Données projet'!$A$114,$BV$205^A68,IF(A68='Données projet'!$A$114,'Données projet'!$B$114,BY67+BX68-CG67)))</f>
        <v>305.99999999999983</v>
      </c>
      <c r="BZ68" s="14">
        <f>BY68*VLOOKUP('Données projet'!$B$12,Paramètres!$A$1:$I$88,3,0)*VLOOKUP('Données projet'!$B$12,Paramètres!$A$1:$I$88,5,0)</f>
        <v>200.49119999999988</v>
      </c>
      <c r="CA68" s="14">
        <f t="shared" si="39"/>
        <v>49.85210320190825</v>
      </c>
      <c r="CB68" s="22">
        <f t="shared" ref="CB68:CB131" si="64">(BZ68+CA68)*0.475*44/12</f>
        <v>436.01458640998993</v>
      </c>
      <c r="CC68" s="62">
        <f t="shared" ref="CC68:CC131" si="65">CB68+(BT68+BU68)*44/12</f>
        <v>719.64917776175355</v>
      </c>
      <c r="CD68" s="62">
        <f ca="1">AVERAGE(OFFSET($CC$3,0,0,'Données projet'!$E$12+1,1))-AVERAGE(OFFSET($H$3,0,0,'Données projet'!$E$12+1,1))</f>
        <v>305.38855494899906</v>
      </c>
      <c r="CE68" s="62">
        <f t="shared" si="40"/>
        <v>298.48106301229177</v>
      </c>
      <c r="CF68" s="16">
        <f>IF(ISNA(VLOOKUP(A68,'Données projet'!$A$113:$I$133,3,0)),0,VLOOKUP(A68,'Données projet'!$A$113:$I$133,3,0))</f>
        <v>12</v>
      </c>
      <c r="CG68" s="16">
        <f>IF(ISNA(VLOOKUP(A68,'Données projet'!$A$113:$I$133,4,0)),0,VLOOKUP(A68,'Données projet'!$A$113:$I$133,4,0))</f>
        <v>13</v>
      </c>
      <c r="CH68" s="17">
        <f>IF(ISNA(VLOOKUP(A68,'Données projet'!$A$113:$I$133,5,0)),0%,VLOOKUP(A68,'Données projet'!$A$113:$I$133,5,0)*VLOOKUP('Données projet'!$B$12,Paramètres!$A$1:$I$88,7,0))</f>
        <v>0.215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projet'!$B$12,Paramètres!$A$1:$I$88,3,0)*0.475*44/12</f>
        <v>12.098731848196842</v>
      </c>
      <c r="CL68" s="23">
        <f>EXP(-LN(2)/25)*CL67+(1-EXP(-LN(2)/25))/(LN(2)/25)*Calculateur!CG68*Calculateur!CI68*VLOOKUP('Données projet'!$B$12,Paramètres!$A$1:$I$88,3,0)*0.475*44/12</f>
        <v>0</v>
      </c>
      <c r="CM68" s="23">
        <f>EXP(-LN(2)/2)*CM67+(1-EXP(-LN(2)/2))/(LN(2)/2)*CG68*CJ68*VLOOKUP('Données projet'!$B$12,Paramètres!$A$1:$I$88,3,0)*0.475*44/12</f>
        <v>0</v>
      </c>
      <c r="CN68" s="24">
        <f t="shared" ref="CN68:CN131" si="66">SUM(CK68:CM68)</f>
        <v>12.098731848196842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67.354888550480979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306</v>
      </c>
      <c r="CR68" s="13">
        <f>VLOOKUP(A68,'Données projet'!$A$139:$I$159,9,0)</f>
        <v>5.2</v>
      </c>
      <c r="CS68" s="13">
        <f t="array" ref="CS68">INDEX(CR:CR,MIN(IF(ISNUMBER(CR68:CR264),ROW(CR68:CR264),"")))</f>
        <v>5.2</v>
      </c>
      <c r="CT68" s="13">
        <f>IF('Données projet'!$A$140&gt;35,CT67+CS68-DB67,IF(A68&lt;'Données projet'!$A$140,$CQ$205^A68,IF(A68='Données projet'!$A$140,'Données projet'!$B$140,CT67+CS68-DB67)))</f>
        <v>305.99999999999983</v>
      </c>
      <c r="CU68" s="18">
        <f>CT68*VLOOKUP('Données projet'!$B$13,Paramètres!$A$1:$I$88,3,0)*VLOOKUP('Données projet'!$B$13,Paramètres!$A$1:$I$88,5,0)</f>
        <v>243.45359999999988</v>
      </c>
      <c r="CV68" s="14">
        <f t="shared" si="41"/>
        <v>59.181970343065267</v>
      </c>
      <c r="CW68" s="22">
        <f t="shared" ref="CW68:CW131" si="67">(CU68+CV68)*0.475*44/12</f>
        <v>527.09028501417163</v>
      </c>
      <c r="CX68" s="62">
        <f t="shared" ref="CX68:CX131" si="68">CW68+(CO68+CP68)*44/12</f>
        <v>810.72487636593519</v>
      </c>
      <c r="CY68" s="62">
        <f ca="1">AVERAGE(OFFSET($CX$3,0,0,'Données projet'!$E$13+1,1))-AVERAGE(OFFSET($H$3,0,0,'Données projet'!$E$13+1,1))</f>
        <v>361.30066984973894</v>
      </c>
      <c r="CZ68" s="62">
        <f t="shared" si="42"/>
        <v>351.78053157121622</v>
      </c>
      <c r="DA68" s="16">
        <f>IF(ISNA(VLOOKUP(A68,'Données projet'!$A$139:$I$159,3,0)),0,VLOOKUP(A68,'Données projet'!$A$139:$I$159,3,0))</f>
        <v>12</v>
      </c>
      <c r="DB68" s="16">
        <f>IF(ISNA(VLOOKUP(A68,'Données projet'!$A$139:$I$159,4,0)),0,VLOOKUP(A68,'Données projet'!$A$139:$I$159,4,0))</f>
        <v>13</v>
      </c>
      <c r="DC68" s="17">
        <f>IF(ISNA(VLOOKUP(A68,'Données projet'!$A$139:$I$159,5,0)),0%,VLOOKUP(A68,'Données projet'!$A$139:$I$159,5,0)*VLOOKUP('Données projet'!$B$13,Paramètres!$A$1:$I$88,7,0))</f>
        <v>0.26500000000000001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projet'!$B$13,Paramètres!$A$1:$I$88,3,0)*0.475*44/12</f>
        <v>18.10790264987601</v>
      </c>
      <c r="DG68" s="23">
        <f>EXP(-LN(2)/25)*DG67+(1-EXP(-LN(2)/25))/(LN(2)/25)*Calculateur!DB68*Calculateur!DD68*VLOOKUP('Données projet'!$B$13,Paramètres!$A$1:$I$88,3,0)*0.475*44/12</f>
        <v>0</v>
      </c>
      <c r="DH68" s="23">
        <f>EXP(-LN(2)/2)*DH67+(1-EXP(-LN(2)/2))/(LN(2)/2)*DB68*DE68*VLOOKUP('Données projet'!$B$13,Paramètres!$A$1:$I$88,3,0)*0.475*44/12</f>
        <v>0</v>
      </c>
      <c r="DI68" s="24">
        <f t="shared" ref="DI68:DI131" si="69">SUM(DF68:DH68)</f>
        <v>18.10790264987601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67.354888550480979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>
        <f>DO68*VLOOKUP('Données projet'!$B$14,Paramètres!$A$1:$I$88,3,0)*VLOOKUP('Données projet'!$B$14,Paramètres!$A$1:$I$88,5,0)</f>
        <v>0</v>
      </c>
      <c r="DQ68" s="14" t="e">
        <f t="shared" si="43"/>
        <v>#NUM!</v>
      </c>
      <c r="DR68" s="22" t="e">
        <f t="shared" ref="DR68:DR131" si="70">(DP68+DQ68)*0.475*44/12</f>
        <v>#NUM!</v>
      </c>
      <c r="DS68" s="62" t="e">
        <f t="shared" ref="DS68:DS131" si="71">DR68+(DJ68+DK68)*44/12</f>
        <v>#NUM!</v>
      </c>
      <c r="DT68" s="62">
        <f ca="1">AVERAGE(OFFSET($DS$3,0,0,'Données projet'!$E$14+1,1))-AVERAGE(OFFSET($H$3,0,0,'Données projet'!$E$14+1,1))</f>
        <v>91.201152634762423</v>
      </c>
      <c r="DU68" s="62">
        <f t="shared" si="44"/>
        <v>233.36981992862445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projet'!$B$14,Paramètres!$A$1:$I$88,3,0)*0.475*44/12</f>
        <v>20.728419986557736</v>
      </c>
      <c r="EB68" s="23">
        <f>EXP(-LN(2)/25)*EB67+(1-EXP(-LN(2)/25))/(LN(2)/25)*Calculateur!DW68*Calculateur!DY68*VLOOKUP('Données projet'!$B$14,Paramètres!$A$1:$I$88,3,0)*0.475*44/12</f>
        <v>0</v>
      </c>
      <c r="EC68" s="23">
        <f>EXP(-LN(2)/2)*EC67+(1-EXP(-LN(2)/2))/(LN(2)/2)*DW68*DZ68*VLOOKUP('Données projet'!$B$14,Paramètres!$A$1:$I$88,3,0)*0.475*44/12</f>
        <v>0</v>
      </c>
      <c r="ED68" s="24">
        <f t="shared" ref="ED68:ED131" si="72">SUM(EA68:EC68)</f>
        <v>20.728419986557736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67.354888550480979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projet'!$B$15,Paramètres!$A$1:$I$88,3,0)*0.475*44/12</f>
        <v>#N/A</v>
      </c>
      <c r="EW68" s="23" t="e">
        <f>EXP(-LN(2)/25)*EW67+(1-EXP(-LN(2)/25))/(LN(2)/25)*Calculateur!ER68*Calculateur!ET68*VLOOKUP('Données projet'!$B$15,Paramètres!$A$1:$I$88,3,0)*0.475*44/12</f>
        <v>#N/A</v>
      </c>
      <c r="EX68" s="23" t="e">
        <f>EXP(-LN(2)/2)*EX67+(1-EXP(-LN(2)/2))/(LN(2)/2)*ER68*EU68*VLOOKUP('Données projet'!$B$15,Paramètres!$A$1:$I$88,3,0)*0.475*44/12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67.354888550480979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projet'!$B$16,Paramètres!$A$1:$I$88,3,0)*0.475*44/12</f>
        <v>#N/A</v>
      </c>
      <c r="FR68" s="23" t="e">
        <f>EXP(-LN(2)/25)*FR67+(1-EXP(-LN(2)/25))/(LN(2)/25)*Calculateur!FM68*Calculateur!FO68*VLOOKUP('Données projet'!$B$16,Paramètres!$A$1:$I$88,3,0)*0.475*44/12</f>
        <v>#N/A</v>
      </c>
      <c r="FS68" s="23" t="e">
        <f>EXP(-LN(2)/2)*FS67+(1-EXP(-LN(2)/2))/(LN(2)/2)*FM68*FP68*VLOOKUP('Données projet'!$B$16,Paramètres!$A$1:$I$88,3,0)*0.475*44/12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67.354888550480979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projet'!$B$17,Paramètres!$A$1:$I$88,3,0)*0.475*44/12</f>
        <v>#N/A</v>
      </c>
      <c r="GM68" s="23" t="e">
        <f>EXP(-LN(2)/25)*GM67+(1-EXP(-LN(2)/25))/(LN(2)/25)*Calculateur!GH68*Calculateur!GJ68*VLOOKUP('Données projet'!$B$17,Paramètres!$A$1:$I$88,3,0)*0.475*44/12</f>
        <v>#N/A</v>
      </c>
      <c r="GN68" s="23" t="e">
        <f>EXP(-LN(2)/2)*GN67+(1-EXP(-LN(2)/2))/(LN(2)/2)*GH68*GK68*VLOOKUP('Données projet'!$B$17,Paramètres!$A$1:$I$88,3,0)*0.475*44/12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67.354888550480979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projet'!$B$18,Paramètres!$A$1:$I$88,3,0)*0.475*44/12</f>
        <v>#N/A</v>
      </c>
      <c r="HH68" s="23" t="e">
        <f>EXP(-LN(2)/25)*HH67+(1-EXP(-LN(2)/25))/(LN(2)/25)*Calculateur!HC68*Calculateur!HE68*VLOOKUP('Données projet'!$B$18,Paramètres!$A$1:$I$88,3,0)*0.475*44/12</f>
        <v>#N/A</v>
      </c>
      <c r="HI68" s="23" t="e">
        <f>EXP(-LN(2)/2)*HI67+(1-EXP(-LN(2)/2))/(LN(2)/2)*HC68*HF68*VLOOKUP('Données projet'!$B$18,Paramètres!$A$1:$I$88,3,0)*0.475*44/12</f>
        <v>#N/A</v>
      </c>
      <c r="HJ68" s="24" t="e">
        <f t="shared" ref="HJ68:HJ131" si="84">SUM(HG68:HI68)</f>
        <v>#N/A</v>
      </c>
    </row>
    <row r="69" spans="1:218" s="5" customFormat="1" x14ac:dyDescent="0.2">
      <c r="A69" s="11">
        <f t="shared" ref="A69:A132" si="85">A68+1</f>
        <v>66</v>
      </c>
      <c r="B69" s="77">
        <f>'Scénario référence'!$B$16*5+'Scénario référence'!$B$17*0+'Scénario référence'!$B$18*5</f>
        <v>1.6500000000000001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6.0500000000000007</v>
      </c>
      <c r="H69" s="70">
        <f t="shared" si="56"/>
        <v>232.4666666666667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67.400775320546842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projet'!$B$9,Paramètres!$A$1:$I$88,3,0)*VLOOKUP('Données projet'!$B$9,Paramètres!$A$1:$I$88,5,0)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283.80284284200707</v>
      </c>
      <c r="S69" s="62">
        <f ca="1">AVERAGE(OFFSET($R$3,0,0,'Données projet'!$E$9+1,1))-AVERAGE(OFFSET($H$3,0,0,'Données projet'!$E$9+1,1))</f>
        <v>354.71367224254021</v>
      </c>
      <c r="T69" s="62">
        <f t="shared" ref="T69:T132" si="88">$T$3</f>
        <v>490.074370133397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153.8331637732949</v>
      </c>
      <c r="AA69" s="23">
        <f>EXP(-LN(2)/25)*AA68+(1-EXP(-LN(2)/25))/(LN(2)/25)*Calculateur!V69*Calculateur!X69*VLOOKUP('Données projet'!$B$9,Paramètres!$A$1:$I$88,3,0)*0.475*44/12</f>
        <v>31.369446924819229</v>
      </c>
      <c r="AB69" s="23">
        <f>EXP(-LN(2)/2)*AB68+(1-EXP(-LN(2)/2))/(LN(2)/2)*V69*Y69*VLOOKUP('Données projet'!$B$9,Paramètres!$A$1:$I$88,3,0)*0.475*44/12</f>
        <v>7.115144311422883E-2</v>
      </c>
      <c r="AC69" s="24">
        <f t="shared" si="57"/>
        <v>185.27376214122836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67.400775320546842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2.2737367544323206E-13</v>
      </c>
      <c r="AJ69" s="14">
        <f>AI69*VLOOKUP('Données projet'!$B$10,Paramètres!$A$1:$I$88,3,0)*VLOOKUP('Données projet'!$B$10,Paramètres!$A$1:$I$88,5,0)</f>
        <v>1.3596945791505279E-13</v>
      </c>
      <c r="AK69" s="14">
        <f t="shared" ref="AK69:AK132" si="89">EXP(-1.0587+0.8836*LN(AJ69)+0.284)</f>
        <v>1.9708830566360721E-12</v>
      </c>
      <c r="AL69" s="22">
        <f t="shared" si="58"/>
        <v>3.669434796176543E-12</v>
      </c>
      <c r="AM69" s="62">
        <f t="shared" si="59"/>
        <v>283.80284284200877</v>
      </c>
      <c r="AN69" s="62">
        <f ca="1">AVERAGE(OFFSET($AM$3,0,0,'Données projet'!$E$10+1,1))-AVERAGE(OFFSET($H$3,0,0,'Données projet'!$E$10+1,1))</f>
        <v>264.73276096087574</v>
      </c>
      <c r="AO69" s="62">
        <f t="shared" ref="AO69:AO132" si="90">$AO$3</f>
        <v>381.84464918049662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projet'!$B$10,Paramètres!$A$1:$I$88,3,0)*0.475*44/12</f>
        <v>107.88417525593904</v>
      </c>
      <c r="AV69" s="23">
        <f>EXP(-LN(2)/25)*AV68+(1-EXP(-LN(2)/25))/(LN(2)/25)*Calculateur!AQ69*Calculateur!AS69*VLOOKUP('Données projet'!$B$10,Paramètres!$A$1:$I$88,3,0)*0.475*44/12</f>
        <v>22.0380454496255</v>
      </c>
      <c r="AW69" s="23">
        <f>EXP(-LN(2)/2)*AW68+(1-EXP(-LN(2)/2))/(LN(2)/2)*AQ69*AT69*VLOOKUP('Données projet'!$B$10,Paramètres!$A$1:$I$88,3,0)*0.475*44/12</f>
        <v>4.9820830022851911E-2</v>
      </c>
      <c r="AX69" s="23">
        <f t="shared" si="60"/>
        <v>129.97204153558738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67.400775320546842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214.79999999999993</v>
      </c>
      <c r="BE69" s="14">
        <f>BD69*VLOOKUP('Données projet'!$B$11,Paramètres!$A$1:$I$88,3,0)*VLOOKUP('Données projet'!$B$11,Paramètres!$A$1:$I$88,5,0)</f>
        <v>244.61423999999991</v>
      </c>
      <c r="BF69" s="14">
        <f t="shared" ref="BF69:BF132" si="91">EXP(-1.0587+0.8836*LN(BE69)+0.284)</f>
        <v>59.431203693842598</v>
      </c>
      <c r="BG69" s="22">
        <f t="shared" si="61"/>
        <v>529.54581443344239</v>
      </c>
      <c r="BH69" s="62">
        <f t="shared" si="62"/>
        <v>813.34865727544752</v>
      </c>
      <c r="BI69" s="62">
        <f ca="1">AVERAGE(OFFSET($BH$3,0,0,'Données projet'!$E$11+1,1))-AVERAGE(OFFSET($H$3,0,0,'Données projet'!$E$11+1,1))</f>
        <v>470.57532875732056</v>
      </c>
      <c r="BJ69" s="62">
        <f t="shared" ref="BJ69:BJ132" si="92">$BJ$3</f>
        <v>286.63787681165888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projet'!$B$11,Paramètres!$A$1:$I$88,3,0)*0.475*44/12</f>
        <v>12.715092374104216</v>
      </c>
      <c r="BQ69" s="23">
        <f>EXP(-LN(2)/25)*BQ68+(1-EXP(-LN(2)/25))/(LN(2)/25)*Calculateur!BL69*Calculateur!BN69*VLOOKUP('Données projet'!$B$11,Paramètres!$A$1:$I$88,3,0)*0.475*44/12</f>
        <v>0</v>
      </c>
      <c r="BR69" s="23">
        <f>EXP(-LN(2)/2)*BR68+(1-EXP(-LN(2)/2))/(LN(2)/2)*BL69*BO69*VLOOKUP('Données projet'!$B$11,Paramètres!$A$1:$I$88,3,0)*0.475*44/12</f>
        <v>0</v>
      </c>
      <c r="BS69" s="24">
        <f t="shared" si="63"/>
        <v>12.715092374104216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67.400775320546842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4.5999999999999996</v>
      </c>
      <c r="BY69" s="13">
        <f>IF('Données projet'!$A$114&gt;35,BY68+BX69-CG68,IF(A69&lt;'Données projet'!$A$114,$BV$205^A69,IF(A69='Données projet'!$A$114,'Données projet'!$B$114,BY68+BX69-CG68)))</f>
        <v>297.59999999999985</v>
      </c>
      <c r="BZ69" s="14">
        <f>BY69*VLOOKUP('Données projet'!$B$12,Paramètres!$A$1:$I$88,3,0)*VLOOKUP('Données projet'!$B$12,Paramètres!$A$1:$I$88,5,0)</f>
        <v>194.9875199999999</v>
      </c>
      <c r="CA69" s="14">
        <f t="shared" ref="CA69:CA132" si="93">EXP(-1.0587+0.8836*LN(BZ69)+0.284)</f>
        <v>48.640954330020342</v>
      </c>
      <c r="CB69" s="22">
        <f t="shared" si="64"/>
        <v>424.3195927914519</v>
      </c>
      <c r="CC69" s="62">
        <f t="shared" si="65"/>
        <v>708.12243563345692</v>
      </c>
      <c r="CD69" s="62">
        <f ca="1">AVERAGE(OFFSET($CC$3,0,0,'Données projet'!$E$12+1,1))-AVERAGE(OFFSET($H$3,0,0,'Données projet'!$E$12+1,1))</f>
        <v>305.38855494899906</v>
      </c>
      <c r="CE69" s="62">
        <f t="shared" ref="CE69:CE132" si="94">$CE$3</f>
        <v>298.48106301229177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projet'!$B$12,Paramètres!$A$1:$I$88,3,0)*0.475*44/12</f>
        <v>11.861483096151463</v>
      </c>
      <c r="CL69" s="23">
        <f>EXP(-LN(2)/25)*CL68+(1-EXP(-LN(2)/25))/(LN(2)/25)*Calculateur!CG69*Calculateur!CI69*VLOOKUP('Données projet'!$B$12,Paramètres!$A$1:$I$88,3,0)*0.475*44/12</f>
        <v>0</v>
      </c>
      <c r="CM69" s="23">
        <f>EXP(-LN(2)/2)*CM68+(1-EXP(-LN(2)/2))/(LN(2)/2)*CG69*CJ69*VLOOKUP('Données projet'!$B$12,Paramètres!$A$1:$I$88,3,0)*0.475*44/12</f>
        <v>0</v>
      </c>
      <c r="CN69" s="24">
        <f t="shared" si="66"/>
        <v>11.861483096151463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67.400775320546842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4.5999999999999996</v>
      </c>
      <c r="CT69" s="13">
        <f>IF('Données projet'!$A$140&gt;35,CT68+CS69-DB68,IF(A69&lt;'Données projet'!$A$140,$CQ$205^A69,IF(A69='Données projet'!$A$140,'Données projet'!$B$140,CT68+CS69-DB68)))</f>
        <v>297.59999999999985</v>
      </c>
      <c r="CU69" s="18">
        <f>CT69*VLOOKUP('Données projet'!$B$13,Paramètres!$A$1:$I$88,3,0)*VLOOKUP('Données projet'!$B$13,Paramètres!$A$1:$I$88,5,0)</f>
        <v>236.7705599999999</v>
      </c>
      <c r="CV69" s="14">
        <f t="shared" ref="CV69:CV132" si="95">EXP(-1.0587+0.8836*LN(CU69)+0.284)</f>
        <v>57.744153841586879</v>
      </c>
      <c r="CW69" s="22">
        <f t="shared" si="67"/>
        <v>512.9464599407637</v>
      </c>
      <c r="CX69" s="62">
        <f t="shared" si="68"/>
        <v>796.74930278276884</v>
      </c>
      <c r="CY69" s="62">
        <f ca="1">AVERAGE(OFFSET($CX$3,0,0,'Données projet'!$E$13+1,1))-AVERAGE(OFFSET($H$3,0,0,'Données projet'!$E$13+1,1))</f>
        <v>361.30066984973894</v>
      </c>
      <c r="CZ69" s="62">
        <f t="shared" ref="CZ69:CZ132" si="96">$CZ$3</f>
        <v>351.78053157121622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projet'!$B$13,Paramètres!$A$1:$I$88,3,0)*0.475*44/12</f>
        <v>17.752817723641982</v>
      </c>
      <c r="DG69" s="23">
        <f>EXP(-LN(2)/25)*DG68+(1-EXP(-LN(2)/25))/(LN(2)/25)*Calculateur!DB69*Calculateur!DD69*VLOOKUP('Données projet'!$B$13,Paramètres!$A$1:$I$88,3,0)*0.475*44/12</f>
        <v>0</v>
      </c>
      <c r="DH69" s="23">
        <f>EXP(-LN(2)/2)*DH68+(1-EXP(-LN(2)/2))/(LN(2)/2)*DB69*DE69*VLOOKUP('Données projet'!$B$13,Paramètres!$A$1:$I$88,3,0)*0.475*44/12</f>
        <v>0</v>
      </c>
      <c r="DI69" s="24">
        <f t="shared" si="69"/>
        <v>17.752817723641982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67.400775320546842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>
        <f>DO69*VLOOKUP('Données projet'!$B$14,Paramètres!$A$1:$I$88,3,0)*VLOOKUP('Données projet'!$B$14,Paramètres!$A$1:$I$88,5,0)</f>
        <v>0</v>
      </c>
      <c r="DQ69" s="14" t="e">
        <f t="shared" ref="DQ69:DQ132" si="97">EXP(-1.0587+0.8836*LN(DP69)+0.284)</f>
        <v>#NUM!</v>
      </c>
      <c r="DR69" s="22" t="e">
        <f t="shared" si="70"/>
        <v>#NUM!</v>
      </c>
      <c r="DS69" s="62" t="e">
        <f t="shared" si="71"/>
        <v>#NUM!</v>
      </c>
      <c r="DT69" s="62">
        <f ca="1">AVERAGE(OFFSET($DS$3,0,0,'Données projet'!$E$14+1,1))-AVERAGE(OFFSET($H$3,0,0,'Données projet'!$E$14+1,1))</f>
        <v>91.201152634762423</v>
      </c>
      <c r="DU69" s="62">
        <f t="shared" ref="DU69:DU132" si="98">$DU$3</f>
        <v>233.36981992862445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projet'!$B$14,Paramètres!$A$1:$I$88,3,0)*0.475*44/12</f>
        <v>20.321948313709129</v>
      </c>
      <c r="EB69" s="23">
        <f>EXP(-LN(2)/25)*EB68+(1-EXP(-LN(2)/25))/(LN(2)/25)*Calculateur!DW69*Calculateur!DY69*VLOOKUP('Données projet'!$B$14,Paramètres!$A$1:$I$88,3,0)*0.475*44/12</f>
        <v>0</v>
      </c>
      <c r="EC69" s="23">
        <f>EXP(-LN(2)/2)*EC68+(1-EXP(-LN(2)/2))/(LN(2)/2)*DW69*DZ69*VLOOKUP('Données projet'!$B$14,Paramètres!$A$1:$I$88,3,0)*0.475*44/12</f>
        <v>0</v>
      </c>
      <c r="ED69" s="24">
        <f t="shared" si="72"/>
        <v>20.321948313709129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67.400775320546842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projet'!$B$15,Paramètres!$A$1:$I$88,3,0)*0.475*44/12</f>
        <v>#N/A</v>
      </c>
      <c r="EW69" s="23" t="e">
        <f>EXP(-LN(2)/25)*EW68+(1-EXP(-LN(2)/25))/(LN(2)/25)*Calculateur!ER69*Calculateur!ET69*VLOOKUP('Données projet'!$B$15,Paramètres!$A$1:$I$88,3,0)*0.475*44/12</f>
        <v>#N/A</v>
      </c>
      <c r="EX69" s="23" t="e">
        <f>EXP(-LN(2)/2)*EX68+(1-EXP(-LN(2)/2))/(LN(2)/2)*ER69*EU69*VLOOKUP('Données projet'!$B$15,Paramètres!$A$1:$I$88,3,0)*0.475*44/12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67.400775320546842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projet'!$B$16,Paramètres!$A$1:$I$88,3,0)*0.475*44/12</f>
        <v>#N/A</v>
      </c>
      <c r="FR69" s="23" t="e">
        <f>EXP(-LN(2)/25)*FR68+(1-EXP(-LN(2)/25))/(LN(2)/25)*Calculateur!FM69*Calculateur!FO69*VLOOKUP('Données projet'!$B$16,Paramètres!$A$1:$I$88,3,0)*0.475*44/12</f>
        <v>#N/A</v>
      </c>
      <c r="FS69" s="23" t="e">
        <f>EXP(-LN(2)/2)*FS68+(1-EXP(-LN(2)/2))/(LN(2)/2)*FM69*FP69*VLOOKUP('Données projet'!$B$16,Paramètres!$A$1:$I$88,3,0)*0.475*44/12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67.400775320546842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projet'!$B$17,Paramètres!$A$1:$I$88,3,0)*0.475*44/12</f>
        <v>#N/A</v>
      </c>
      <c r="GM69" s="23" t="e">
        <f>EXP(-LN(2)/25)*GM68+(1-EXP(-LN(2)/25))/(LN(2)/25)*Calculateur!GH69*Calculateur!GJ69*VLOOKUP('Données projet'!$B$17,Paramètres!$A$1:$I$88,3,0)*0.475*44/12</f>
        <v>#N/A</v>
      </c>
      <c r="GN69" s="23" t="e">
        <f>EXP(-LN(2)/2)*GN68+(1-EXP(-LN(2)/2))/(LN(2)/2)*GH69*GK69*VLOOKUP('Données projet'!$B$17,Paramètres!$A$1:$I$88,3,0)*0.475*44/12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67.400775320546842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projet'!$B$18,Paramètres!$A$1:$I$88,3,0)*0.475*44/12</f>
        <v>#N/A</v>
      </c>
      <c r="HH69" s="23" t="e">
        <f>EXP(-LN(2)/25)*HH68+(1-EXP(-LN(2)/25))/(LN(2)/25)*Calculateur!HC69*Calculateur!HE69*VLOOKUP('Données projet'!$B$18,Paramètres!$A$1:$I$88,3,0)*0.475*44/12</f>
        <v>#N/A</v>
      </c>
      <c r="HI69" s="23" t="e">
        <f>EXP(-LN(2)/2)*HI68+(1-EXP(-LN(2)/2))/(LN(2)/2)*HC69*HF69*VLOOKUP('Données projet'!$B$18,Paramètres!$A$1:$I$88,3,0)*0.475*44/12</f>
        <v>#N/A</v>
      </c>
      <c r="HJ69" s="24" t="e">
        <f t="shared" si="84"/>
        <v>#N/A</v>
      </c>
    </row>
    <row r="70" spans="1:218" s="5" customFormat="1" x14ac:dyDescent="0.2">
      <c r="A70" s="11">
        <f t="shared" si="85"/>
        <v>67</v>
      </c>
      <c r="B70" s="77">
        <f>'Scénario référence'!$B$16*5+'Scénario référence'!$B$17*0+'Scénario référence'!$B$18*5</f>
        <v>1.6500000000000001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6.0500000000000007</v>
      </c>
      <c r="H70" s="70">
        <f t="shared" si="56"/>
        <v>232.4666666666667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67.445866057739522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projet'!$B$9,Paramètres!$A$1:$I$88,3,0)*VLOOKUP('Données projet'!$B$9,Paramètres!$A$1:$I$88,5,0)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283.9681755450469</v>
      </c>
      <c r="S70" s="62">
        <f ca="1">AVERAGE(OFFSET($R$3,0,0,'Données projet'!$E$9+1,1))-AVERAGE(OFFSET($H$3,0,0,'Données projet'!$E$9+1,1))</f>
        <v>354.71367224254021</v>
      </c>
      <c r="T70" s="62">
        <f t="shared" si="88"/>
        <v>490.074370133397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150.81658926066564</v>
      </c>
      <c r="AA70" s="23">
        <f>EXP(-LN(2)/25)*AA69+(1-EXP(-LN(2)/25))/(LN(2)/25)*Calculateur!V70*Calculateur!X70*VLOOKUP('Données projet'!$B$9,Paramètres!$A$1:$I$88,3,0)*0.475*44/12</f>
        <v>30.511647749012528</v>
      </c>
      <c r="AB70" s="23">
        <f>EXP(-LN(2)/2)*AB69+(1-EXP(-LN(2)/2))/(LN(2)/2)*V70*Y70*VLOOKUP('Données projet'!$B$9,Paramètres!$A$1:$I$88,3,0)*0.475*44/12</f>
        <v>5.031166791728009E-2</v>
      </c>
      <c r="AC70" s="24">
        <f t="shared" si="57"/>
        <v>181.37854867759543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67.445866057739522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2.2737367544323206E-13</v>
      </c>
      <c r="AJ70" s="14">
        <f>AI70*VLOOKUP('Données projet'!$B$10,Paramètres!$A$1:$I$88,3,0)*VLOOKUP('Données projet'!$B$10,Paramètres!$A$1:$I$88,5,0)</f>
        <v>1.3596945791505279E-13</v>
      </c>
      <c r="AK70" s="14">
        <f t="shared" si="89"/>
        <v>1.9708830566360721E-12</v>
      </c>
      <c r="AL70" s="22">
        <f t="shared" si="58"/>
        <v>3.669434796176543E-12</v>
      </c>
      <c r="AM70" s="62">
        <f t="shared" si="59"/>
        <v>283.96817554504861</v>
      </c>
      <c r="AN70" s="62">
        <f ca="1">AVERAGE(OFFSET($AM$3,0,0,'Données projet'!$E$10+1,1))-AVERAGE(OFFSET($H$3,0,0,'Données projet'!$E$10+1,1))</f>
        <v>264.73276096087574</v>
      </c>
      <c r="AO70" s="62">
        <f t="shared" si="90"/>
        <v>381.84464918049662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projet'!$B$10,Paramètres!$A$1:$I$88,3,0)*0.475*44/12</f>
        <v>105.76863238201949</v>
      </c>
      <c r="AV70" s="23">
        <f>EXP(-LN(2)/25)*AV69+(1-EXP(-LN(2)/25))/(LN(2)/25)*Calculateur!AQ70*Calculateur!AS70*VLOOKUP('Données projet'!$B$10,Paramètres!$A$1:$I$88,3,0)*0.475*44/12</f>
        <v>21.435413937875047</v>
      </c>
      <c r="AW70" s="23">
        <f>EXP(-LN(2)/2)*AW69+(1-EXP(-LN(2)/2))/(LN(2)/2)*AQ70*AT70*VLOOKUP('Données projet'!$B$10,Paramètres!$A$1:$I$88,3,0)*0.475*44/12</f>
        <v>3.5228646753500924E-2</v>
      </c>
      <c r="AX70" s="23">
        <f t="shared" si="60"/>
        <v>127.23927496664803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67.445866057739522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221.59999999999994</v>
      </c>
      <c r="BE70" s="14">
        <f>BD70*VLOOKUP('Données projet'!$B$11,Paramètres!$A$1:$I$88,3,0)*VLOOKUP('Données projet'!$B$11,Paramètres!$A$1:$I$88,5,0)</f>
        <v>252.35807999999992</v>
      </c>
      <c r="BF70" s="14">
        <f t="shared" si="91"/>
        <v>61.09061196544927</v>
      </c>
      <c r="BG70" s="22">
        <f t="shared" si="61"/>
        <v>545.92313850649077</v>
      </c>
      <c r="BH70" s="62">
        <f t="shared" si="62"/>
        <v>829.89131405153569</v>
      </c>
      <c r="BI70" s="62">
        <f ca="1">AVERAGE(OFFSET($BH$3,0,0,'Données projet'!$E$11+1,1))-AVERAGE(OFFSET($H$3,0,0,'Données projet'!$E$11+1,1))</f>
        <v>470.57532875732056</v>
      </c>
      <c r="BJ70" s="62">
        <f t="shared" si="92"/>
        <v>286.63787681165888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projet'!$B$11,Paramètres!$A$1:$I$88,3,0)*0.475*44/12</f>
        <v>12.465757168088595</v>
      </c>
      <c r="BQ70" s="23">
        <f>EXP(-LN(2)/25)*BQ69+(1-EXP(-LN(2)/25))/(LN(2)/25)*Calculateur!BL70*Calculateur!BN70*VLOOKUP('Données projet'!$B$11,Paramètres!$A$1:$I$88,3,0)*0.475*44/12</f>
        <v>0</v>
      </c>
      <c r="BR70" s="23">
        <f>EXP(-LN(2)/2)*BR69+(1-EXP(-LN(2)/2))/(LN(2)/2)*BL70*BO70*VLOOKUP('Données projet'!$B$11,Paramètres!$A$1:$I$88,3,0)*0.475*44/12</f>
        <v>0</v>
      </c>
      <c r="BS70" s="24">
        <f t="shared" si="63"/>
        <v>12.465757168088595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67.445866057739522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4.5999999999999996</v>
      </c>
      <c r="BY70" s="13">
        <f>IF('Données projet'!$A$114&gt;35,BY69+BX70-CG69,IF(A70&lt;'Données projet'!$A$114,$BV$205^A70,IF(A70='Données projet'!$A$114,'Données projet'!$B$114,BY69+BX70-CG69)))</f>
        <v>302.19999999999987</v>
      </c>
      <c r="BZ70" s="14">
        <f>BY70*VLOOKUP('Données projet'!$B$12,Paramètres!$A$1:$I$88,3,0)*VLOOKUP('Données projet'!$B$12,Paramètres!$A$1:$I$88,5,0)</f>
        <v>198.00143999999992</v>
      </c>
      <c r="CA70" s="14">
        <f t="shared" si="93"/>
        <v>49.304688329083952</v>
      </c>
      <c r="CB70" s="22">
        <f t="shared" si="64"/>
        <v>430.72484017315429</v>
      </c>
      <c r="CC70" s="62">
        <f t="shared" si="65"/>
        <v>714.69301571819915</v>
      </c>
      <c r="CD70" s="62">
        <f ca="1">AVERAGE(OFFSET($CC$3,0,0,'Données projet'!$E$12+1,1))-AVERAGE(OFFSET($H$3,0,0,'Données projet'!$E$12+1,1))</f>
        <v>305.38855494899906</v>
      </c>
      <c r="CE70" s="62">
        <f t="shared" si="94"/>
        <v>298.48106301229177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projet'!$B$12,Paramètres!$A$1:$I$88,3,0)*0.475*44/12</f>
        <v>11.628886647426246</v>
      </c>
      <c r="CL70" s="23">
        <f>EXP(-LN(2)/25)*CL69+(1-EXP(-LN(2)/25))/(LN(2)/25)*Calculateur!CG70*Calculateur!CI70*VLOOKUP('Données projet'!$B$12,Paramètres!$A$1:$I$88,3,0)*0.475*44/12</f>
        <v>0</v>
      </c>
      <c r="CM70" s="23">
        <f>EXP(-LN(2)/2)*CM69+(1-EXP(-LN(2)/2))/(LN(2)/2)*CG70*CJ70*VLOOKUP('Données projet'!$B$12,Paramètres!$A$1:$I$88,3,0)*0.475*44/12</f>
        <v>0</v>
      </c>
      <c r="CN70" s="24">
        <f t="shared" si="66"/>
        <v>11.628886647426246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67.445866057739522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4.5999999999999996</v>
      </c>
      <c r="CT70" s="13">
        <f>IF('Données projet'!$A$140&gt;35,CT69+CS70-DB69,IF(A70&lt;'Données projet'!$A$140,$CQ$205^A70,IF(A70='Données projet'!$A$140,'Données projet'!$B$140,CT69+CS70-DB69)))</f>
        <v>302.19999999999987</v>
      </c>
      <c r="CU70" s="18">
        <f>CT70*VLOOKUP('Données projet'!$B$13,Paramètres!$A$1:$I$88,3,0)*VLOOKUP('Données projet'!$B$13,Paramètres!$A$1:$I$88,5,0)</f>
        <v>240.43031999999991</v>
      </c>
      <c r="CV70" s="14">
        <f t="shared" si="95"/>
        <v>58.532106271380506</v>
      </c>
      <c r="CW70" s="22">
        <f t="shared" si="67"/>
        <v>520.69289242265415</v>
      </c>
      <c r="CX70" s="62">
        <f t="shared" si="68"/>
        <v>804.66106796769907</v>
      </c>
      <c r="CY70" s="62">
        <f ca="1">AVERAGE(OFFSET($CX$3,0,0,'Données projet'!$E$13+1,1))-AVERAGE(OFFSET($H$3,0,0,'Données projet'!$E$13+1,1))</f>
        <v>361.30066984973894</v>
      </c>
      <c r="CZ70" s="62">
        <f t="shared" si="96"/>
        <v>351.78053157121622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projet'!$B$13,Paramètres!$A$1:$I$88,3,0)*0.475*44/12</f>
        <v>17.404695796230982</v>
      </c>
      <c r="DG70" s="23">
        <f>EXP(-LN(2)/25)*DG69+(1-EXP(-LN(2)/25))/(LN(2)/25)*Calculateur!DB70*Calculateur!DD70*VLOOKUP('Données projet'!$B$13,Paramètres!$A$1:$I$88,3,0)*0.475*44/12</f>
        <v>0</v>
      </c>
      <c r="DH70" s="23">
        <f>EXP(-LN(2)/2)*DH69+(1-EXP(-LN(2)/2))/(LN(2)/2)*DB70*DE70*VLOOKUP('Données projet'!$B$13,Paramètres!$A$1:$I$88,3,0)*0.475*44/12</f>
        <v>0</v>
      </c>
      <c r="DI70" s="24">
        <f t="shared" si="69"/>
        <v>17.404695796230982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67.445866057739522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>
        <f>DO70*VLOOKUP('Données projet'!$B$14,Paramètres!$A$1:$I$88,3,0)*VLOOKUP('Données projet'!$B$14,Paramètres!$A$1:$I$88,5,0)</f>
        <v>0</v>
      </c>
      <c r="DQ70" s="14" t="e">
        <f t="shared" si="97"/>
        <v>#NUM!</v>
      </c>
      <c r="DR70" s="22" t="e">
        <f t="shared" si="70"/>
        <v>#NUM!</v>
      </c>
      <c r="DS70" s="62" t="e">
        <f t="shared" si="71"/>
        <v>#NUM!</v>
      </c>
      <c r="DT70" s="62">
        <f ca="1">AVERAGE(OFFSET($DS$3,0,0,'Données projet'!$E$14+1,1))-AVERAGE(OFFSET($H$3,0,0,'Données projet'!$E$14+1,1))</f>
        <v>91.201152634762423</v>
      </c>
      <c r="DU70" s="62">
        <f t="shared" si="98"/>
        <v>233.36981992862445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projet'!$B$14,Paramètres!$A$1:$I$88,3,0)*0.475*44/12</f>
        <v>19.923447302441843</v>
      </c>
      <c r="EB70" s="23">
        <f>EXP(-LN(2)/25)*EB69+(1-EXP(-LN(2)/25))/(LN(2)/25)*Calculateur!DW70*Calculateur!DY70*VLOOKUP('Données projet'!$B$14,Paramètres!$A$1:$I$88,3,0)*0.475*44/12</f>
        <v>0</v>
      </c>
      <c r="EC70" s="23">
        <f>EXP(-LN(2)/2)*EC69+(1-EXP(-LN(2)/2))/(LN(2)/2)*DW70*DZ70*VLOOKUP('Données projet'!$B$14,Paramètres!$A$1:$I$88,3,0)*0.475*44/12</f>
        <v>0</v>
      </c>
      <c r="ED70" s="24">
        <f t="shared" si="72"/>
        <v>19.923447302441843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67.445866057739522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projet'!$B$15,Paramètres!$A$1:$I$88,3,0)*0.475*44/12</f>
        <v>#N/A</v>
      </c>
      <c r="EW70" s="23" t="e">
        <f>EXP(-LN(2)/25)*EW69+(1-EXP(-LN(2)/25))/(LN(2)/25)*Calculateur!ER70*Calculateur!ET70*VLOOKUP('Données projet'!$B$15,Paramètres!$A$1:$I$88,3,0)*0.475*44/12</f>
        <v>#N/A</v>
      </c>
      <c r="EX70" s="23" t="e">
        <f>EXP(-LN(2)/2)*EX69+(1-EXP(-LN(2)/2))/(LN(2)/2)*ER70*EU70*VLOOKUP('Données projet'!$B$15,Paramètres!$A$1:$I$88,3,0)*0.475*44/12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67.445866057739522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projet'!$B$16,Paramètres!$A$1:$I$88,3,0)*0.475*44/12</f>
        <v>#N/A</v>
      </c>
      <c r="FR70" s="23" t="e">
        <f>EXP(-LN(2)/25)*FR69+(1-EXP(-LN(2)/25))/(LN(2)/25)*Calculateur!FM70*Calculateur!FO70*VLOOKUP('Données projet'!$B$16,Paramètres!$A$1:$I$88,3,0)*0.475*44/12</f>
        <v>#N/A</v>
      </c>
      <c r="FS70" s="23" t="e">
        <f>EXP(-LN(2)/2)*FS69+(1-EXP(-LN(2)/2))/(LN(2)/2)*FM70*FP70*VLOOKUP('Données projet'!$B$16,Paramètres!$A$1:$I$88,3,0)*0.475*44/12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67.445866057739522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projet'!$B$17,Paramètres!$A$1:$I$88,3,0)*0.475*44/12</f>
        <v>#N/A</v>
      </c>
      <c r="GM70" s="23" t="e">
        <f>EXP(-LN(2)/25)*GM69+(1-EXP(-LN(2)/25))/(LN(2)/25)*Calculateur!GH70*Calculateur!GJ70*VLOOKUP('Données projet'!$B$17,Paramètres!$A$1:$I$88,3,0)*0.475*44/12</f>
        <v>#N/A</v>
      </c>
      <c r="GN70" s="23" t="e">
        <f>EXP(-LN(2)/2)*GN69+(1-EXP(-LN(2)/2))/(LN(2)/2)*GH70*GK70*VLOOKUP('Données projet'!$B$17,Paramètres!$A$1:$I$88,3,0)*0.475*44/12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67.445866057739522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projet'!$B$18,Paramètres!$A$1:$I$88,3,0)*0.475*44/12</f>
        <v>#N/A</v>
      </c>
      <c r="HH70" s="23" t="e">
        <f>EXP(-LN(2)/25)*HH69+(1-EXP(-LN(2)/25))/(LN(2)/25)*Calculateur!HC70*Calculateur!HE70*VLOOKUP('Données projet'!$B$18,Paramètres!$A$1:$I$88,3,0)*0.475*44/12</f>
        <v>#N/A</v>
      </c>
      <c r="HI70" s="23" t="e">
        <f>EXP(-LN(2)/2)*HI69+(1-EXP(-LN(2)/2))/(LN(2)/2)*HC70*HF70*VLOOKUP('Données projet'!$B$18,Paramètres!$A$1:$I$88,3,0)*0.475*44/12</f>
        <v>#N/A</v>
      </c>
      <c r="HJ70" s="24" t="e">
        <f t="shared" si="84"/>
        <v>#N/A</v>
      </c>
    </row>
    <row r="71" spans="1:218" s="5" customFormat="1" x14ac:dyDescent="0.2">
      <c r="A71" s="11">
        <f t="shared" si="85"/>
        <v>68</v>
      </c>
      <c r="B71" s="77">
        <f>'Scénario référence'!$B$16*5+'Scénario référence'!$B$17*0+'Scénario référence'!$B$18*5</f>
        <v>1.6500000000000001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6.0500000000000007</v>
      </c>
      <c r="H71" s="70">
        <f t="shared" si="56"/>
        <v>232.4666666666667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67.4901745714497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projet'!$B$9,Paramètres!$A$1:$I$88,3,0)*VLOOKUP('Données projet'!$B$9,Paramètres!$A$1:$I$88,5,0)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284.13064009531757</v>
      </c>
      <c r="S71" s="62">
        <f ca="1">AVERAGE(OFFSET($R$3,0,0,'Données projet'!$E$9+1,1))-AVERAGE(OFFSET($H$3,0,0,'Données projet'!$E$9+1,1))</f>
        <v>354.71367224254021</v>
      </c>
      <c r="T71" s="62">
        <f t="shared" si="88"/>
        <v>490.074370133397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147.85916793430027</v>
      </c>
      <c r="AA71" s="23">
        <f>EXP(-LN(2)/25)*AA70+(1-EXP(-LN(2)/25))/(LN(2)/25)*Calculateur!V71*Calculateur!X71*VLOOKUP('Données projet'!$B$9,Paramètres!$A$1:$I$88,3,0)*0.475*44/12</f>
        <v>29.67730513677796</v>
      </c>
      <c r="AB71" s="23">
        <f>EXP(-LN(2)/2)*AB70+(1-EXP(-LN(2)/2))/(LN(2)/2)*V71*Y71*VLOOKUP('Données projet'!$B$9,Paramètres!$A$1:$I$88,3,0)*0.475*44/12</f>
        <v>3.5575721557114415E-2</v>
      </c>
      <c r="AC71" s="24">
        <f t="shared" si="57"/>
        <v>177.57204879263534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67.4901745714497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2.2737367544323206E-13</v>
      </c>
      <c r="AJ71" s="14">
        <f>AI71*VLOOKUP('Données projet'!$B$10,Paramètres!$A$1:$I$88,3,0)*VLOOKUP('Données projet'!$B$10,Paramètres!$A$1:$I$88,5,0)</f>
        <v>1.3596945791505279E-13</v>
      </c>
      <c r="AK71" s="14">
        <f t="shared" si="89"/>
        <v>1.9708830566360721E-12</v>
      </c>
      <c r="AL71" s="22">
        <f t="shared" si="58"/>
        <v>3.669434796176543E-12</v>
      </c>
      <c r="AM71" s="62">
        <f t="shared" si="59"/>
        <v>284.13064009531928</v>
      </c>
      <c r="AN71" s="62">
        <f ca="1">AVERAGE(OFFSET($AM$3,0,0,'Données projet'!$E$10+1,1))-AVERAGE(OFFSET($H$3,0,0,'Données projet'!$E$10+1,1))</f>
        <v>264.73276096087574</v>
      </c>
      <c r="AO71" s="62">
        <f t="shared" si="90"/>
        <v>381.84464918049662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projet'!$B$10,Paramètres!$A$1:$I$88,3,0)*0.475*44/12</f>
        <v>103.69457401350375</v>
      </c>
      <c r="AV71" s="23">
        <f>EXP(-LN(2)/25)*AV70+(1-EXP(-LN(2)/25))/(LN(2)/25)*Calculateur!AQ71*Calculateur!AS71*VLOOKUP('Données projet'!$B$10,Paramètres!$A$1:$I$88,3,0)*0.475*44/12</f>
        <v>20.849261416504426</v>
      </c>
      <c r="AW71" s="23">
        <f>EXP(-LN(2)/2)*AW70+(1-EXP(-LN(2)/2))/(LN(2)/2)*AQ71*AT71*VLOOKUP('Données projet'!$B$10,Paramètres!$A$1:$I$88,3,0)*0.475*44/12</f>
        <v>2.4910415011425956E-2</v>
      </c>
      <c r="AX71" s="23">
        <f t="shared" si="60"/>
        <v>124.56874584501961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67.4901745714497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228.39999999999995</v>
      </c>
      <c r="BE71" s="14">
        <f>BD71*VLOOKUP('Données projet'!$B$11,Paramètres!$A$1:$I$88,3,0)*VLOOKUP('Données projet'!$B$11,Paramètres!$A$1:$I$88,5,0)</f>
        <v>260.10191999999995</v>
      </c>
      <c r="BF71" s="14">
        <f t="shared" si="91"/>
        <v>62.74410268590654</v>
      </c>
      <c r="BG71" s="22">
        <f t="shared" si="61"/>
        <v>562.2901561779538</v>
      </c>
      <c r="BH71" s="62">
        <f t="shared" si="62"/>
        <v>846.42079627326939</v>
      </c>
      <c r="BI71" s="62">
        <f ca="1">AVERAGE(OFFSET($BH$3,0,0,'Données projet'!$E$11+1,1))-AVERAGE(OFFSET($H$3,0,0,'Données projet'!$E$11+1,1))</f>
        <v>470.57532875732056</v>
      </c>
      <c r="BJ71" s="62">
        <f t="shared" si="92"/>
        <v>286.63787681165888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projet'!$B$11,Paramètres!$A$1:$I$88,3,0)*0.475*44/12</f>
        <v>12.221311273383481</v>
      </c>
      <c r="BQ71" s="23">
        <f>EXP(-LN(2)/25)*BQ70+(1-EXP(-LN(2)/25))/(LN(2)/25)*Calculateur!BL71*Calculateur!BN71*VLOOKUP('Données projet'!$B$11,Paramètres!$A$1:$I$88,3,0)*0.475*44/12</f>
        <v>0</v>
      </c>
      <c r="BR71" s="23">
        <f>EXP(-LN(2)/2)*BR70+(1-EXP(-LN(2)/2))/(LN(2)/2)*BL71*BO71*VLOOKUP('Données projet'!$B$11,Paramètres!$A$1:$I$88,3,0)*0.475*44/12</f>
        <v>0</v>
      </c>
      <c r="BS71" s="24">
        <f t="shared" si="63"/>
        <v>12.221311273383481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67.4901745714497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4.5999999999999996</v>
      </c>
      <c r="BY71" s="13">
        <f>IF('Données projet'!$A$114&gt;35,BY70+BX71-CG70,IF(A71&lt;'Données projet'!$A$114,$BV$205^A71,IF(A71='Données projet'!$A$114,'Données projet'!$B$114,BY70+BX71-CG70)))</f>
        <v>306.7999999999999</v>
      </c>
      <c r="BZ71" s="14">
        <f>BY71*VLOOKUP('Données projet'!$B$12,Paramètres!$A$1:$I$88,3,0)*VLOOKUP('Données projet'!$B$12,Paramètres!$A$1:$I$88,5,0)</f>
        <v>201.01535999999996</v>
      </c>
      <c r="CA71" s="14">
        <f t="shared" si="93"/>
        <v>49.96724731300592</v>
      </c>
      <c r="CB71" s="22">
        <f t="shared" si="64"/>
        <v>437.12804107015182</v>
      </c>
      <c r="CC71" s="62">
        <f t="shared" si="65"/>
        <v>721.25868116546735</v>
      </c>
      <c r="CD71" s="62">
        <f ca="1">AVERAGE(OFFSET($CC$3,0,0,'Données projet'!$E$12+1,1))-AVERAGE(OFFSET($H$3,0,0,'Données projet'!$E$12+1,1))</f>
        <v>305.38855494899906</v>
      </c>
      <c r="CE71" s="62">
        <f t="shared" si="94"/>
        <v>298.48106301229177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projet'!$B$12,Paramètres!$A$1:$I$88,3,0)*0.475*44/12</f>
        <v>11.400851273190703</v>
      </c>
      <c r="CL71" s="23">
        <f>EXP(-LN(2)/25)*CL70+(1-EXP(-LN(2)/25))/(LN(2)/25)*Calculateur!CG71*Calculateur!CI71*VLOOKUP('Données projet'!$B$12,Paramètres!$A$1:$I$88,3,0)*0.475*44/12</f>
        <v>0</v>
      </c>
      <c r="CM71" s="23">
        <f>EXP(-LN(2)/2)*CM70+(1-EXP(-LN(2)/2))/(LN(2)/2)*CG71*CJ71*VLOOKUP('Données projet'!$B$12,Paramètres!$A$1:$I$88,3,0)*0.475*44/12</f>
        <v>0</v>
      </c>
      <c r="CN71" s="24">
        <f t="shared" si="66"/>
        <v>11.400851273190703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67.4901745714497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4.5999999999999996</v>
      </c>
      <c r="CT71" s="13">
        <f>IF('Données projet'!$A$140&gt;35,CT70+CS71-DB70,IF(A71&lt;'Données projet'!$A$140,$CQ$205^A71,IF(A71='Données projet'!$A$140,'Données projet'!$B$140,CT70+CS71-DB70)))</f>
        <v>306.7999999999999</v>
      </c>
      <c r="CU71" s="18">
        <f>CT71*VLOOKUP('Données projet'!$B$13,Paramètres!$A$1:$I$88,3,0)*VLOOKUP('Données projet'!$B$13,Paramètres!$A$1:$I$88,5,0)</f>
        <v>244.09007999999994</v>
      </c>
      <c r="CV71" s="14">
        <f t="shared" si="95"/>
        <v>59.318663780863893</v>
      </c>
      <c r="CW71" s="22">
        <f t="shared" si="67"/>
        <v>528.43689541833794</v>
      </c>
      <c r="CX71" s="62">
        <f t="shared" si="68"/>
        <v>812.56753551365352</v>
      </c>
      <c r="CY71" s="62">
        <f ca="1">AVERAGE(OFFSET($CX$3,0,0,'Données projet'!$E$13+1,1))-AVERAGE(OFFSET($H$3,0,0,'Données projet'!$E$13+1,1))</f>
        <v>361.30066984973894</v>
      </c>
      <c r="CZ71" s="62">
        <f t="shared" si="96"/>
        <v>351.78053157121622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projet'!$B$13,Paramètres!$A$1:$I$88,3,0)*0.475*44/12</f>
        <v>17.063400327483102</v>
      </c>
      <c r="DG71" s="23">
        <f>EXP(-LN(2)/25)*DG70+(1-EXP(-LN(2)/25))/(LN(2)/25)*Calculateur!DB71*Calculateur!DD71*VLOOKUP('Données projet'!$B$13,Paramètres!$A$1:$I$88,3,0)*0.475*44/12</f>
        <v>0</v>
      </c>
      <c r="DH71" s="23">
        <f>EXP(-LN(2)/2)*DH70+(1-EXP(-LN(2)/2))/(LN(2)/2)*DB71*DE71*VLOOKUP('Données projet'!$B$13,Paramètres!$A$1:$I$88,3,0)*0.475*44/12</f>
        <v>0</v>
      </c>
      <c r="DI71" s="24">
        <f t="shared" si="69"/>
        <v>17.063400327483102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67.4901745714497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>
        <f>DO71*VLOOKUP('Données projet'!$B$14,Paramètres!$A$1:$I$88,3,0)*VLOOKUP('Données projet'!$B$14,Paramètres!$A$1:$I$88,5,0)</f>
        <v>0</v>
      </c>
      <c r="DQ71" s="14" t="e">
        <f t="shared" si="97"/>
        <v>#NUM!</v>
      </c>
      <c r="DR71" s="22" t="e">
        <f t="shared" si="70"/>
        <v>#NUM!</v>
      </c>
      <c r="DS71" s="62" t="e">
        <f t="shared" si="71"/>
        <v>#NUM!</v>
      </c>
      <c r="DT71" s="62">
        <f ca="1">AVERAGE(OFFSET($DS$3,0,0,'Données projet'!$E$14+1,1))-AVERAGE(OFFSET($H$3,0,0,'Données projet'!$E$14+1,1))</f>
        <v>91.201152634762423</v>
      </c>
      <c r="DU71" s="62">
        <f t="shared" si="98"/>
        <v>233.36981992862445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projet'!$B$14,Paramètres!$A$1:$I$88,3,0)*0.475*44/12</f>
        <v>19.532760652943892</v>
      </c>
      <c r="EB71" s="23">
        <f>EXP(-LN(2)/25)*EB70+(1-EXP(-LN(2)/25))/(LN(2)/25)*Calculateur!DW71*Calculateur!DY71*VLOOKUP('Données projet'!$B$14,Paramètres!$A$1:$I$88,3,0)*0.475*44/12</f>
        <v>0</v>
      </c>
      <c r="EC71" s="23">
        <f>EXP(-LN(2)/2)*EC70+(1-EXP(-LN(2)/2))/(LN(2)/2)*DW71*DZ71*VLOOKUP('Données projet'!$B$14,Paramètres!$A$1:$I$88,3,0)*0.475*44/12</f>
        <v>0</v>
      </c>
      <c r="ED71" s="24">
        <f t="shared" si="72"/>
        <v>19.532760652943892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67.4901745714497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projet'!$B$15,Paramètres!$A$1:$I$88,3,0)*0.475*44/12</f>
        <v>#N/A</v>
      </c>
      <c r="EW71" s="23" t="e">
        <f>EXP(-LN(2)/25)*EW70+(1-EXP(-LN(2)/25))/(LN(2)/25)*Calculateur!ER71*Calculateur!ET71*VLOOKUP('Données projet'!$B$15,Paramètres!$A$1:$I$88,3,0)*0.475*44/12</f>
        <v>#N/A</v>
      </c>
      <c r="EX71" s="23" t="e">
        <f>EXP(-LN(2)/2)*EX70+(1-EXP(-LN(2)/2))/(LN(2)/2)*ER71*EU71*VLOOKUP('Données projet'!$B$15,Paramètres!$A$1:$I$88,3,0)*0.475*44/12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67.4901745714497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projet'!$B$16,Paramètres!$A$1:$I$88,3,0)*0.475*44/12</f>
        <v>#N/A</v>
      </c>
      <c r="FR71" s="23" t="e">
        <f>EXP(-LN(2)/25)*FR70+(1-EXP(-LN(2)/25))/(LN(2)/25)*Calculateur!FM71*Calculateur!FO71*VLOOKUP('Données projet'!$B$16,Paramètres!$A$1:$I$88,3,0)*0.475*44/12</f>
        <v>#N/A</v>
      </c>
      <c r="FS71" s="23" t="e">
        <f>EXP(-LN(2)/2)*FS70+(1-EXP(-LN(2)/2))/(LN(2)/2)*FM71*FP71*VLOOKUP('Données projet'!$B$16,Paramètres!$A$1:$I$88,3,0)*0.475*44/12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67.4901745714497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projet'!$B$17,Paramètres!$A$1:$I$88,3,0)*0.475*44/12</f>
        <v>#N/A</v>
      </c>
      <c r="GM71" s="23" t="e">
        <f>EXP(-LN(2)/25)*GM70+(1-EXP(-LN(2)/25))/(LN(2)/25)*Calculateur!GH71*Calculateur!GJ71*VLOOKUP('Données projet'!$B$17,Paramètres!$A$1:$I$88,3,0)*0.475*44/12</f>
        <v>#N/A</v>
      </c>
      <c r="GN71" s="23" t="e">
        <f>EXP(-LN(2)/2)*GN70+(1-EXP(-LN(2)/2))/(LN(2)/2)*GH71*GK71*VLOOKUP('Données projet'!$B$17,Paramètres!$A$1:$I$88,3,0)*0.475*44/12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67.4901745714497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projet'!$B$18,Paramètres!$A$1:$I$88,3,0)*0.475*44/12</f>
        <v>#N/A</v>
      </c>
      <c r="HH71" s="23" t="e">
        <f>EXP(-LN(2)/25)*HH70+(1-EXP(-LN(2)/25))/(LN(2)/25)*Calculateur!HC71*Calculateur!HE71*VLOOKUP('Données projet'!$B$18,Paramètres!$A$1:$I$88,3,0)*0.475*44/12</f>
        <v>#N/A</v>
      </c>
      <c r="HI71" s="23" t="e">
        <f>EXP(-LN(2)/2)*HI70+(1-EXP(-LN(2)/2))/(LN(2)/2)*HC71*HF71*VLOOKUP('Données projet'!$B$18,Paramètres!$A$1:$I$88,3,0)*0.475*44/12</f>
        <v>#N/A</v>
      </c>
      <c r="HJ71" s="24" t="e">
        <f t="shared" si="84"/>
        <v>#N/A</v>
      </c>
    </row>
    <row r="72" spans="1:218" s="5" customFormat="1" x14ac:dyDescent="0.2">
      <c r="A72" s="11">
        <f t="shared" si="85"/>
        <v>69</v>
      </c>
      <c r="B72" s="77">
        <f>'Scénario référence'!$B$16*5+'Scénario référence'!$B$17*0+'Scénario référence'!$B$18*5</f>
        <v>1.6500000000000001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6.0500000000000007</v>
      </c>
      <c r="H72" s="70">
        <f t="shared" si="56"/>
        <v>232.4666666666667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67.533714431505999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projet'!$B$9,Paramètres!$A$1:$I$88,3,0)*VLOOKUP('Données projet'!$B$9,Paramètres!$A$1:$I$88,5,0)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284.29028624885734</v>
      </c>
      <c r="S72" s="62">
        <f ca="1">AVERAGE(OFFSET($R$3,0,0,'Données projet'!$E$9+1,1))-AVERAGE(OFFSET($H$3,0,0,'Données projet'!$E$9+1,1))</f>
        <v>354.71367224254021</v>
      </c>
      <c r="T72" s="62">
        <f t="shared" si="88"/>
        <v>490.074370133397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144.95973983629605</v>
      </c>
      <c r="AA72" s="23">
        <f>EXP(-LN(2)/25)*AA71+(1-EXP(-LN(2)/25))/(LN(2)/25)*Calculateur!V72*Calculateur!X72*VLOOKUP('Données projet'!$B$9,Paramètres!$A$1:$I$88,3,0)*0.475*44/12</f>
        <v>28.865777667151118</v>
      </c>
      <c r="AB72" s="23">
        <f>EXP(-LN(2)/2)*AB71+(1-EXP(-LN(2)/2))/(LN(2)/2)*V72*Y72*VLOOKUP('Données projet'!$B$9,Paramètres!$A$1:$I$88,3,0)*0.475*44/12</f>
        <v>2.5155833958640045E-2</v>
      </c>
      <c r="AC72" s="24">
        <f t="shared" si="57"/>
        <v>173.85067333740582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67.533714431505999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2.2737367544323206E-13</v>
      </c>
      <c r="AJ72" s="14">
        <f>AI72*VLOOKUP('Données projet'!$B$10,Paramètres!$A$1:$I$88,3,0)*VLOOKUP('Données projet'!$B$10,Paramètres!$A$1:$I$88,5,0)</f>
        <v>1.3596945791505279E-13</v>
      </c>
      <c r="AK72" s="14">
        <f t="shared" si="89"/>
        <v>1.9708830566360721E-12</v>
      </c>
      <c r="AL72" s="22">
        <f t="shared" si="58"/>
        <v>3.669434796176543E-12</v>
      </c>
      <c r="AM72" s="62">
        <f t="shared" si="59"/>
        <v>284.29028624885905</v>
      </c>
      <c r="AN72" s="62">
        <f ca="1">AVERAGE(OFFSET($AM$3,0,0,'Données projet'!$E$10+1,1))-AVERAGE(OFFSET($H$3,0,0,'Données projet'!$E$10+1,1))</f>
        <v>264.73276096087574</v>
      </c>
      <c r="AO72" s="62">
        <f t="shared" si="90"/>
        <v>381.84464918049662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projet'!$B$10,Paramètres!$A$1:$I$88,3,0)*0.475*44/12</f>
        <v>101.66118666454393</v>
      </c>
      <c r="AV72" s="23">
        <f>EXP(-LN(2)/25)*AV71+(1-EXP(-LN(2)/25))/(LN(2)/25)*Calculateur!AQ72*Calculateur!AS72*VLOOKUP('Données projet'!$B$10,Paramètres!$A$1:$I$88,3,0)*0.475*44/12</f>
        <v>20.279137266655106</v>
      </c>
      <c r="AW72" s="23">
        <f>EXP(-LN(2)/2)*AW71+(1-EXP(-LN(2)/2))/(LN(2)/2)*AQ72*AT72*VLOOKUP('Données projet'!$B$10,Paramètres!$A$1:$I$88,3,0)*0.475*44/12</f>
        <v>1.7614323376750462E-2</v>
      </c>
      <c r="AX72" s="23">
        <f t="shared" si="60"/>
        <v>121.95793825457578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67.533714431505999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235.19999999999996</v>
      </c>
      <c r="BE72" s="14">
        <f>BD72*VLOOKUP('Données projet'!$B$11,Paramètres!$A$1:$I$88,3,0)*VLOOKUP('Données projet'!$B$11,Paramètres!$A$1:$I$88,5,0)</f>
        <v>267.84575999999998</v>
      </c>
      <c r="BF72" s="14">
        <f t="shared" si="91"/>
        <v>64.391872260181472</v>
      </c>
      <c r="BG72" s="22">
        <f t="shared" si="61"/>
        <v>578.64720951981599</v>
      </c>
      <c r="BH72" s="62">
        <f t="shared" si="62"/>
        <v>862.9374957686714</v>
      </c>
      <c r="BI72" s="62">
        <f ca="1">AVERAGE(OFFSET($BH$3,0,0,'Données projet'!$E$11+1,1))-AVERAGE(OFFSET($H$3,0,0,'Données projet'!$E$11+1,1))</f>
        <v>470.57532875732056</v>
      </c>
      <c r="BJ72" s="62">
        <f t="shared" si="92"/>
        <v>286.63787681165888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projet'!$B$11,Paramètres!$A$1:$I$88,3,0)*0.475*44/12</f>
        <v>11.98165881357626</v>
      </c>
      <c r="BQ72" s="23">
        <f>EXP(-LN(2)/25)*BQ71+(1-EXP(-LN(2)/25))/(LN(2)/25)*Calculateur!BL72*Calculateur!BN72*VLOOKUP('Données projet'!$B$11,Paramètres!$A$1:$I$88,3,0)*0.475*44/12</f>
        <v>0</v>
      </c>
      <c r="BR72" s="23">
        <f>EXP(-LN(2)/2)*BR71+(1-EXP(-LN(2)/2))/(LN(2)/2)*BL72*BO72*VLOOKUP('Données projet'!$B$11,Paramètres!$A$1:$I$88,3,0)*0.475*44/12</f>
        <v>0</v>
      </c>
      <c r="BS72" s="24">
        <f t="shared" si="63"/>
        <v>11.98165881357626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67.533714431505999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4.5999999999999996</v>
      </c>
      <c r="BY72" s="13">
        <f>IF('Données projet'!$A$114&gt;35,BY71+BX72-CG71,IF(A72&lt;'Données projet'!$A$114,$BV$205^A72,IF(A72='Données projet'!$A$114,'Données projet'!$B$114,BY71+BX72-CG71)))</f>
        <v>311.39999999999992</v>
      </c>
      <c r="BZ72" s="14">
        <f>BY72*VLOOKUP('Données projet'!$B$12,Paramètres!$A$1:$I$88,3,0)*VLOOKUP('Données projet'!$B$12,Paramètres!$A$1:$I$88,5,0)</f>
        <v>204.02927999999994</v>
      </c>
      <c r="CA72" s="14">
        <f t="shared" si="93"/>
        <v>50.628650934368238</v>
      </c>
      <c r="CB72" s="22">
        <f t="shared" si="64"/>
        <v>443.5292297106912</v>
      </c>
      <c r="CC72" s="62">
        <f t="shared" si="65"/>
        <v>727.81951595954661</v>
      </c>
      <c r="CD72" s="62">
        <f ca="1">AVERAGE(OFFSET($CC$3,0,0,'Données projet'!$E$12+1,1))-AVERAGE(OFFSET($H$3,0,0,'Données projet'!$E$12+1,1))</f>
        <v>305.38855494899906</v>
      </c>
      <c r="CE72" s="62">
        <f t="shared" si="94"/>
        <v>298.48106301229177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projet'!$B$12,Paramètres!$A$1:$I$88,3,0)*0.475*44/12</f>
        <v>11.177287533556076</v>
      </c>
      <c r="CL72" s="23">
        <f>EXP(-LN(2)/25)*CL71+(1-EXP(-LN(2)/25))/(LN(2)/25)*Calculateur!CG72*Calculateur!CI72*VLOOKUP('Données projet'!$B$12,Paramètres!$A$1:$I$88,3,0)*0.475*44/12</f>
        <v>0</v>
      </c>
      <c r="CM72" s="23">
        <f>EXP(-LN(2)/2)*CM71+(1-EXP(-LN(2)/2))/(LN(2)/2)*CG72*CJ72*VLOOKUP('Données projet'!$B$12,Paramètres!$A$1:$I$88,3,0)*0.475*44/12</f>
        <v>0</v>
      </c>
      <c r="CN72" s="24">
        <f t="shared" si="66"/>
        <v>11.177287533556076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67.533714431505999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4.5999999999999996</v>
      </c>
      <c r="CT72" s="13">
        <f>IF('Données projet'!$A$140&gt;35,CT71+CS72-DB71,IF(A72&lt;'Données projet'!$A$140,$CQ$205^A72,IF(A72='Données projet'!$A$140,'Données projet'!$B$140,CT71+CS72-DB71)))</f>
        <v>311.39999999999992</v>
      </c>
      <c r="CU72" s="18">
        <f>CT72*VLOOKUP('Données projet'!$B$13,Paramètres!$A$1:$I$88,3,0)*VLOOKUP('Données projet'!$B$13,Paramètres!$A$1:$I$88,5,0)</f>
        <v>247.74983999999995</v>
      </c>
      <c r="CV72" s="14">
        <f t="shared" si="95"/>
        <v>60.103849700617872</v>
      </c>
      <c r="CW72" s="22">
        <f t="shared" si="67"/>
        <v>536.17850956190932</v>
      </c>
      <c r="CX72" s="62">
        <f t="shared" si="68"/>
        <v>820.46879581076473</v>
      </c>
      <c r="CY72" s="62">
        <f ca="1">AVERAGE(OFFSET($CX$3,0,0,'Données projet'!$E$13+1,1))-AVERAGE(OFFSET($H$3,0,0,'Données projet'!$E$13+1,1))</f>
        <v>361.30066984973894</v>
      </c>
      <c r="CZ72" s="62">
        <f t="shared" si="96"/>
        <v>351.78053157121622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projet'!$B$13,Paramètres!$A$1:$I$88,3,0)*0.475*44/12</f>
        <v>16.728797454707689</v>
      </c>
      <c r="DG72" s="23">
        <f>EXP(-LN(2)/25)*DG71+(1-EXP(-LN(2)/25))/(LN(2)/25)*Calculateur!DB72*Calculateur!DD72*VLOOKUP('Données projet'!$B$13,Paramètres!$A$1:$I$88,3,0)*0.475*44/12</f>
        <v>0</v>
      </c>
      <c r="DH72" s="23">
        <f>EXP(-LN(2)/2)*DH71+(1-EXP(-LN(2)/2))/(LN(2)/2)*DB72*DE72*VLOOKUP('Données projet'!$B$13,Paramètres!$A$1:$I$88,3,0)*0.475*44/12</f>
        <v>0</v>
      </c>
      <c r="DI72" s="24">
        <f t="shared" si="69"/>
        <v>16.728797454707689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67.533714431505999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>
        <f>DO72*VLOOKUP('Données projet'!$B$14,Paramètres!$A$1:$I$88,3,0)*VLOOKUP('Données projet'!$B$14,Paramètres!$A$1:$I$88,5,0)</f>
        <v>0</v>
      </c>
      <c r="DQ72" s="14" t="e">
        <f t="shared" si="97"/>
        <v>#NUM!</v>
      </c>
      <c r="DR72" s="22" t="e">
        <f t="shared" si="70"/>
        <v>#NUM!</v>
      </c>
      <c r="DS72" s="62" t="e">
        <f t="shared" si="71"/>
        <v>#NUM!</v>
      </c>
      <c r="DT72" s="62">
        <f ca="1">AVERAGE(OFFSET($DS$3,0,0,'Données projet'!$E$14+1,1))-AVERAGE(OFFSET($H$3,0,0,'Données projet'!$E$14+1,1))</f>
        <v>91.201152634762423</v>
      </c>
      <c r="DU72" s="62">
        <f t="shared" si="98"/>
        <v>233.36981992862445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projet'!$B$14,Paramètres!$A$1:$I$88,3,0)*0.475*44/12</f>
        <v>19.14973513034727</v>
      </c>
      <c r="EB72" s="23">
        <f>EXP(-LN(2)/25)*EB71+(1-EXP(-LN(2)/25))/(LN(2)/25)*Calculateur!DW72*Calculateur!DY72*VLOOKUP('Données projet'!$B$14,Paramètres!$A$1:$I$88,3,0)*0.475*44/12</f>
        <v>0</v>
      </c>
      <c r="EC72" s="23">
        <f>EXP(-LN(2)/2)*EC71+(1-EXP(-LN(2)/2))/(LN(2)/2)*DW72*DZ72*VLOOKUP('Données projet'!$B$14,Paramètres!$A$1:$I$88,3,0)*0.475*44/12</f>
        <v>0</v>
      </c>
      <c r="ED72" s="24">
        <f t="shared" si="72"/>
        <v>19.14973513034727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67.533714431505999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projet'!$B$15,Paramètres!$A$1:$I$88,3,0)*0.475*44/12</f>
        <v>#N/A</v>
      </c>
      <c r="EW72" s="23" t="e">
        <f>EXP(-LN(2)/25)*EW71+(1-EXP(-LN(2)/25))/(LN(2)/25)*Calculateur!ER72*Calculateur!ET72*VLOOKUP('Données projet'!$B$15,Paramètres!$A$1:$I$88,3,0)*0.475*44/12</f>
        <v>#N/A</v>
      </c>
      <c r="EX72" s="23" t="e">
        <f>EXP(-LN(2)/2)*EX71+(1-EXP(-LN(2)/2))/(LN(2)/2)*ER72*EU72*VLOOKUP('Données projet'!$B$15,Paramètres!$A$1:$I$88,3,0)*0.475*44/12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67.533714431505999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projet'!$B$16,Paramètres!$A$1:$I$88,3,0)*0.475*44/12</f>
        <v>#N/A</v>
      </c>
      <c r="FR72" s="23" t="e">
        <f>EXP(-LN(2)/25)*FR71+(1-EXP(-LN(2)/25))/(LN(2)/25)*Calculateur!FM72*Calculateur!FO72*VLOOKUP('Données projet'!$B$16,Paramètres!$A$1:$I$88,3,0)*0.475*44/12</f>
        <v>#N/A</v>
      </c>
      <c r="FS72" s="23" t="e">
        <f>EXP(-LN(2)/2)*FS71+(1-EXP(-LN(2)/2))/(LN(2)/2)*FM72*FP72*VLOOKUP('Données projet'!$B$16,Paramètres!$A$1:$I$88,3,0)*0.475*44/12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67.533714431505999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projet'!$B$17,Paramètres!$A$1:$I$88,3,0)*0.475*44/12</f>
        <v>#N/A</v>
      </c>
      <c r="GM72" s="23" t="e">
        <f>EXP(-LN(2)/25)*GM71+(1-EXP(-LN(2)/25))/(LN(2)/25)*Calculateur!GH72*Calculateur!GJ72*VLOOKUP('Données projet'!$B$17,Paramètres!$A$1:$I$88,3,0)*0.475*44/12</f>
        <v>#N/A</v>
      </c>
      <c r="GN72" s="23" t="e">
        <f>EXP(-LN(2)/2)*GN71+(1-EXP(-LN(2)/2))/(LN(2)/2)*GH72*GK72*VLOOKUP('Données projet'!$B$17,Paramètres!$A$1:$I$88,3,0)*0.475*44/12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67.533714431505999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projet'!$B$18,Paramètres!$A$1:$I$88,3,0)*0.475*44/12</f>
        <v>#N/A</v>
      </c>
      <c r="HH72" s="23" t="e">
        <f>EXP(-LN(2)/25)*HH71+(1-EXP(-LN(2)/25))/(LN(2)/25)*Calculateur!HC72*Calculateur!HE72*VLOOKUP('Données projet'!$B$18,Paramètres!$A$1:$I$88,3,0)*0.475*44/12</f>
        <v>#N/A</v>
      </c>
      <c r="HI72" s="23" t="e">
        <f>EXP(-LN(2)/2)*HI71+(1-EXP(-LN(2)/2))/(LN(2)/2)*HC72*HF72*VLOOKUP('Données projet'!$B$18,Paramètres!$A$1:$I$88,3,0)*0.475*44/12</f>
        <v>#N/A</v>
      </c>
      <c r="HJ72" s="24" t="e">
        <f t="shared" si="84"/>
        <v>#N/A</v>
      </c>
    </row>
    <row r="73" spans="1:218" s="5" customFormat="1" x14ac:dyDescent="0.2">
      <c r="A73" s="11">
        <f t="shared" si="85"/>
        <v>70</v>
      </c>
      <c r="B73" s="77">
        <f>'Scénario référence'!$B$16*5+'Scénario référence'!$B$17*0+'Scénario référence'!$B$18*5</f>
        <v>1.6500000000000001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6.0500000000000007</v>
      </c>
      <c r="H73" s="70">
        <f t="shared" si="56"/>
        <v>232.4666666666667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67.576498972330853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projet'!$B$9,Paramètres!$A$1:$I$88,3,0)*VLOOKUP('Données projet'!$B$9,Paramètres!$A$1:$I$88,5,0)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284.44716289854841</v>
      </c>
      <c r="S73" s="62">
        <f ca="1">AVERAGE(OFFSET($R$3,0,0,'Données projet'!$E$9+1,1))-AVERAGE(OFFSET($H$3,0,0,'Données projet'!$E$9+1,1))</f>
        <v>354.71367224254021</v>
      </c>
      <c r="T73" s="62">
        <f t="shared" si="88"/>
        <v>490.074370133397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142.11716775481716</v>
      </c>
      <c r="AA73" s="23">
        <f>EXP(-LN(2)/25)*AA72+(1-EXP(-LN(2)/25))/(LN(2)/25)*Calculateur!V73*Calculateur!X73*VLOOKUP('Données projet'!$B$9,Paramètres!$A$1:$I$88,3,0)*0.475*44/12</f>
        <v>28.076441458857598</v>
      </c>
      <c r="AB73" s="23">
        <f>EXP(-LN(2)/2)*AB72+(1-EXP(-LN(2)/2))/(LN(2)/2)*V73*Y73*VLOOKUP('Données projet'!$B$9,Paramètres!$A$1:$I$88,3,0)*0.475*44/12</f>
        <v>1.7787860778557207E-2</v>
      </c>
      <c r="AC73" s="24">
        <f t="shared" si="57"/>
        <v>170.21139707445332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67.576498972330853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2.2737367544323206E-13</v>
      </c>
      <c r="AJ73" s="14">
        <f>AI73*VLOOKUP('Données projet'!$B$10,Paramètres!$A$1:$I$88,3,0)*VLOOKUP('Données projet'!$B$10,Paramètres!$A$1:$I$88,5,0)</f>
        <v>1.3596945791505279E-13</v>
      </c>
      <c r="AK73" s="14">
        <f t="shared" si="89"/>
        <v>1.9708830566360721E-12</v>
      </c>
      <c r="AL73" s="22">
        <f t="shared" si="58"/>
        <v>3.669434796176543E-12</v>
      </c>
      <c r="AM73" s="62">
        <f t="shared" si="59"/>
        <v>284.44716289855012</v>
      </c>
      <c r="AN73" s="62">
        <f ca="1">AVERAGE(OFFSET($AM$3,0,0,'Données projet'!$E$10+1,1))-AVERAGE(OFFSET($H$3,0,0,'Données projet'!$E$10+1,1))</f>
        <v>264.73276096087574</v>
      </c>
      <c r="AO73" s="62">
        <f t="shared" si="90"/>
        <v>381.84464918049662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projet'!$B$10,Paramètres!$A$1:$I$88,3,0)*0.475*44/12</f>
        <v>99.667672801253389</v>
      </c>
      <c r="AV73" s="23">
        <f>EXP(-LN(2)/25)*AV72+(1-EXP(-LN(2)/25))/(LN(2)/25)*Calculateur!AQ73*Calculateur!AS73*VLOOKUP('Données projet'!$B$10,Paramètres!$A$1:$I$88,3,0)*0.475*44/12</f>
        <v>19.72460319166494</v>
      </c>
      <c r="AW73" s="23">
        <f>EXP(-LN(2)/2)*AW72+(1-EXP(-LN(2)/2))/(LN(2)/2)*AQ73*AT73*VLOOKUP('Données projet'!$B$10,Paramètres!$A$1:$I$88,3,0)*0.475*44/12</f>
        <v>1.2455207505712978E-2</v>
      </c>
      <c r="AX73" s="23">
        <f t="shared" si="60"/>
        <v>119.40473120042404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67.576498972330853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242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241.99999999999997</v>
      </c>
      <c r="BE73" s="14">
        <f>BD73*VLOOKUP('Données projet'!$B$11,Paramètres!$A$1:$I$88,3,0)*VLOOKUP('Données projet'!$B$11,Paramètres!$A$1:$I$88,5,0)</f>
        <v>275.58959999999996</v>
      </c>
      <c r="BF73" s="14">
        <f t="shared" si="91"/>
        <v>66.034105090666486</v>
      </c>
      <c r="BG73" s="22">
        <f t="shared" si="61"/>
        <v>594.99461969957736</v>
      </c>
      <c r="BH73" s="62">
        <f t="shared" si="62"/>
        <v>879.44178259812384</v>
      </c>
      <c r="BI73" s="62">
        <f ca="1">AVERAGE(OFFSET($BH$3,0,0,'Données projet'!$E$11+1,1))-AVERAGE(OFFSET($H$3,0,0,'Données projet'!$E$11+1,1))</f>
        <v>470.57532875732056</v>
      </c>
      <c r="BJ73" s="62">
        <f t="shared" si="92"/>
        <v>286.63787681165888</v>
      </c>
      <c r="BK73" s="16">
        <f>IF(ISNA(VLOOKUP(A73,'Données projet'!$A$87:$I$107,3,0)),0,VLOOKUP(A73,'Données projet'!$A$87:$I$107,3,0))</f>
        <v>11</v>
      </c>
      <c r="BL73" s="16">
        <f>IF(ISNA(VLOOKUP(A73,'Données projet'!$A$87:$I$107,4,0)),0,VLOOKUP(A73,'Données projet'!$A$87:$I$107,4,0))</f>
        <v>21</v>
      </c>
      <c r="BM73" s="17">
        <f>IF(ISNA(VLOOKUP(A73,'Données projet'!$A$87:$I$107,5,0)),0%,VLOOKUP(A73,'Données projet'!$A$87:$I$107,5,0)*VLOOKUP('Données projet'!$B$11,Paramètres!$A$1:$I$88,7,0))</f>
        <v>0.17200000000000001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projet'!$B$11,Paramètres!$A$1:$I$88,3,0)*0.475*44/12</f>
        <v>16.293887513914484</v>
      </c>
      <c r="BQ73" s="23">
        <f>EXP(-LN(2)/25)*BQ72+(1-EXP(-LN(2)/25))/(LN(2)/25)*Calculateur!BL73*Calculateur!BN73*VLOOKUP('Données projet'!$B$11,Paramètres!$A$1:$I$88,3,0)*0.475*44/12</f>
        <v>0</v>
      </c>
      <c r="BR73" s="23">
        <f>EXP(-LN(2)/2)*BR72+(1-EXP(-LN(2)/2))/(LN(2)/2)*BL73*BO73*VLOOKUP('Données projet'!$B$11,Paramètres!$A$1:$I$88,3,0)*0.475*44/12</f>
        <v>0</v>
      </c>
      <c r="BS73" s="24">
        <f t="shared" si="63"/>
        <v>16.293887513914484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67.576498972330853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316</v>
      </c>
      <c r="BW73" s="13">
        <f>VLOOKUP(A73,'Données projet'!$A$113:$I$133,9,0)</f>
        <v>4.5999999999999996</v>
      </c>
      <c r="BX73" s="13">
        <f t="array" ref="BX73">INDEX(BW:BW,MIN(IF(ISNUMBER(BW73:BW269),ROW(BW73:BW269),"")))</f>
        <v>4.5999999999999996</v>
      </c>
      <c r="BY73" s="13">
        <f>IF('Données projet'!$A$114&gt;35,BY72+BX73-CG72,IF(A73&lt;'Données projet'!$A$114,$BV$205^A73,IF(A73='Données projet'!$A$114,'Données projet'!$B$114,BY72+BX73-CG72)))</f>
        <v>315.99999999999994</v>
      </c>
      <c r="BZ73" s="14">
        <f>BY73*VLOOKUP('Données projet'!$B$12,Paramètres!$A$1:$I$88,3,0)*VLOOKUP('Données projet'!$B$12,Paramètres!$A$1:$I$88,5,0)</f>
        <v>207.04319999999996</v>
      </c>
      <c r="CA73" s="14">
        <f t="shared" si="93"/>
        <v>51.288918231806321</v>
      </c>
      <c r="CB73" s="22">
        <f t="shared" si="64"/>
        <v>449.92843925372921</v>
      </c>
      <c r="CC73" s="62">
        <f t="shared" si="65"/>
        <v>734.37560215227563</v>
      </c>
      <c r="CD73" s="62">
        <f ca="1">AVERAGE(OFFSET($CC$3,0,0,'Données projet'!$E$12+1,1))-AVERAGE(OFFSET($H$3,0,0,'Données projet'!$E$12+1,1))</f>
        <v>305.38855494899906</v>
      </c>
      <c r="CE73" s="62">
        <f t="shared" si="94"/>
        <v>298.48106301229177</v>
      </c>
      <c r="CF73" s="16">
        <f>IF(ISNA(VLOOKUP(A73,'Données projet'!$A$113:$I$133,3,0)),0,VLOOKUP(A73,'Données projet'!$A$113:$I$133,3,0))</f>
        <v>13</v>
      </c>
      <c r="CG73" s="16">
        <f>IF(ISNA(VLOOKUP(A73,'Données projet'!$A$113:$I$133,4,0)),0,VLOOKUP(A73,'Données projet'!$A$113:$I$133,4,0))</f>
        <v>13</v>
      </c>
      <c r="CH73" s="17">
        <f>IF(ISNA(VLOOKUP(A73,'Données projet'!$A$113:$I$133,5,0)),0%,VLOOKUP(A73,'Données projet'!$A$113:$I$133,5,0)*VLOOKUP('Données projet'!$B$12,Paramètres!$A$1:$I$88,7,0))</f>
        <v>0.25800000000000001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projet'!$B$12,Paramètres!$A$1:$I$88,3,0)*0.475*44/12</f>
        <v>13.387424004710411</v>
      </c>
      <c r="CL73" s="23">
        <f>EXP(-LN(2)/25)*CL72+(1-EXP(-LN(2)/25))/(LN(2)/25)*Calculateur!CG73*Calculateur!CI73*VLOOKUP('Données projet'!$B$12,Paramètres!$A$1:$I$88,3,0)*0.475*44/12</f>
        <v>0</v>
      </c>
      <c r="CM73" s="23">
        <f>EXP(-LN(2)/2)*CM72+(1-EXP(-LN(2)/2))/(LN(2)/2)*CG73*CJ73*VLOOKUP('Données projet'!$B$12,Paramètres!$A$1:$I$88,3,0)*0.475*44/12</f>
        <v>0</v>
      </c>
      <c r="CN73" s="24">
        <f t="shared" si="66"/>
        <v>13.387424004710411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67.576498972330853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316</v>
      </c>
      <c r="CR73" s="13">
        <f>VLOOKUP(A73,'Données projet'!$A$139:$I$159,9,0)</f>
        <v>4.5999999999999996</v>
      </c>
      <c r="CS73" s="13">
        <f t="array" ref="CS73">INDEX(CR:CR,MIN(IF(ISNUMBER(CR73:CR269),ROW(CR73:CR269),"")))</f>
        <v>4.5999999999999996</v>
      </c>
      <c r="CT73" s="13">
        <f>IF('Données projet'!$A$140&gt;35,CT72+CS73-DB72,IF(A73&lt;'Données projet'!$A$140,$CQ$205^A73,IF(A73='Données projet'!$A$140,'Données projet'!$B$140,CT72+CS73-DB72)))</f>
        <v>315.99999999999994</v>
      </c>
      <c r="CU73" s="18">
        <f>CT73*VLOOKUP('Données projet'!$B$13,Paramètres!$A$1:$I$88,3,0)*VLOOKUP('Données projet'!$B$13,Paramètres!$A$1:$I$88,5,0)</f>
        <v>251.40959999999995</v>
      </c>
      <c r="CV73" s="14">
        <f t="shared" si="95"/>
        <v>60.887686632376123</v>
      </c>
      <c r="CW73" s="22">
        <f t="shared" si="67"/>
        <v>543.917774218055</v>
      </c>
      <c r="CX73" s="62">
        <f t="shared" si="68"/>
        <v>828.36493711660137</v>
      </c>
      <c r="CY73" s="62">
        <f ca="1">AVERAGE(OFFSET($CX$3,0,0,'Données projet'!$E$13+1,1))-AVERAGE(OFFSET($H$3,0,0,'Données projet'!$E$13+1,1))</f>
        <v>361.30066984973894</v>
      </c>
      <c r="CZ73" s="62">
        <f t="shared" si="96"/>
        <v>351.78053157121622</v>
      </c>
      <c r="DA73" s="16">
        <f>IF(ISNA(VLOOKUP(A73,'Données projet'!$A$139:$I$159,3,0)),0,VLOOKUP(A73,'Données projet'!$A$139:$I$159,3,0))</f>
        <v>13</v>
      </c>
      <c r="DB73" s="16">
        <f>IF(ISNA(VLOOKUP(A73,'Données projet'!$A$139:$I$159,4,0)),0,VLOOKUP(A73,'Données projet'!$A$139:$I$159,4,0))</f>
        <v>13</v>
      </c>
      <c r="DC73" s="17">
        <f>IF(ISNA(VLOOKUP(A73,'Données projet'!$A$139:$I$159,5,0)),0%,VLOOKUP(A73,'Données projet'!$A$139:$I$159,5,0)*VLOOKUP('Données projet'!$B$13,Paramètres!$A$1:$I$88,7,0))</f>
        <v>0.318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projet'!$B$13,Paramètres!$A$1:$I$88,3,0)*0.475*44/12</f>
        <v>20.03665951535562</v>
      </c>
      <c r="DG73" s="23">
        <f>EXP(-LN(2)/25)*DG72+(1-EXP(-LN(2)/25))/(LN(2)/25)*Calculateur!DB73*Calculateur!DD73*VLOOKUP('Données projet'!$B$13,Paramètres!$A$1:$I$88,3,0)*0.475*44/12</f>
        <v>0</v>
      </c>
      <c r="DH73" s="23">
        <f>EXP(-LN(2)/2)*DH72+(1-EXP(-LN(2)/2))/(LN(2)/2)*DB73*DE73*VLOOKUP('Données projet'!$B$13,Paramètres!$A$1:$I$88,3,0)*0.475*44/12</f>
        <v>0</v>
      </c>
      <c r="DI73" s="24">
        <f t="shared" si="69"/>
        <v>20.03665951535562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67.576498972330853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>
        <f>DO73*VLOOKUP('Données projet'!$B$14,Paramètres!$A$1:$I$88,3,0)*VLOOKUP('Données projet'!$B$14,Paramètres!$A$1:$I$88,5,0)</f>
        <v>0</v>
      </c>
      <c r="DQ73" s="14" t="e">
        <f t="shared" si="97"/>
        <v>#NUM!</v>
      </c>
      <c r="DR73" s="22" t="e">
        <f t="shared" si="70"/>
        <v>#NUM!</v>
      </c>
      <c r="DS73" s="62" t="e">
        <f t="shared" si="71"/>
        <v>#NUM!</v>
      </c>
      <c r="DT73" s="62">
        <f ca="1">AVERAGE(OFFSET($DS$3,0,0,'Données projet'!$E$14+1,1))-AVERAGE(OFFSET($H$3,0,0,'Données projet'!$E$14+1,1))</f>
        <v>91.201152634762423</v>
      </c>
      <c r="DU73" s="62">
        <f t="shared" si="98"/>
        <v>233.36981992862445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projet'!$B$14,Paramètres!$A$1:$I$88,3,0)*0.475*44/12</f>
        <v>18.774220504626268</v>
      </c>
      <c r="EB73" s="23">
        <f>EXP(-LN(2)/25)*EB72+(1-EXP(-LN(2)/25))/(LN(2)/25)*Calculateur!DW73*Calculateur!DY73*VLOOKUP('Données projet'!$B$14,Paramètres!$A$1:$I$88,3,0)*0.475*44/12</f>
        <v>0</v>
      </c>
      <c r="EC73" s="23">
        <f>EXP(-LN(2)/2)*EC72+(1-EXP(-LN(2)/2))/(LN(2)/2)*DW73*DZ73*VLOOKUP('Données projet'!$B$14,Paramètres!$A$1:$I$88,3,0)*0.475*44/12</f>
        <v>0</v>
      </c>
      <c r="ED73" s="24">
        <f t="shared" si="72"/>
        <v>18.774220504626268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67.576498972330853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projet'!$B$15,Paramètres!$A$1:$I$88,3,0)*0.475*44/12</f>
        <v>#N/A</v>
      </c>
      <c r="EW73" s="23" t="e">
        <f>EXP(-LN(2)/25)*EW72+(1-EXP(-LN(2)/25))/(LN(2)/25)*Calculateur!ER73*Calculateur!ET73*VLOOKUP('Données projet'!$B$15,Paramètres!$A$1:$I$88,3,0)*0.475*44/12</f>
        <v>#N/A</v>
      </c>
      <c r="EX73" s="23" t="e">
        <f>EXP(-LN(2)/2)*EX72+(1-EXP(-LN(2)/2))/(LN(2)/2)*ER73*EU73*VLOOKUP('Données projet'!$B$15,Paramètres!$A$1:$I$88,3,0)*0.475*44/12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67.576498972330853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projet'!$B$16,Paramètres!$A$1:$I$88,3,0)*0.475*44/12</f>
        <v>#N/A</v>
      </c>
      <c r="FR73" s="23" t="e">
        <f>EXP(-LN(2)/25)*FR72+(1-EXP(-LN(2)/25))/(LN(2)/25)*Calculateur!FM73*Calculateur!FO73*VLOOKUP('Données projet'!$B$16,Paramètres!$A$1:$I$88,3,0)*0.475*44/12</f>
        <v>#N/A</v>
      </c>
      <c r="FS73" s="23" t="e">
        <f>EXP(-LN(2)/2)*FS72+(1-EXP(-LN(2)/2))/(LN(2)/2)*FM73*FP73*VLOOKUP('Données projet'!$B$16,Paramètres!$A$1:$I$88,3,0)*0.475*44/12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67.576498972330853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projet'!$B$17,Paramètres!$A$1:$I$88,3,0)*0.475*44/12</f>
        <v>#N/A</v>
      </c>
      <c r="GM73" s="23" t="e">
        <f>EXP(-LN(2)/25)*GM72+(1-EXP(-LN(2)/25))/(LN(2)/25)*Calculateur!GH73*Calculateur!GJ73*VLOOKUP('Données projet'!$B$17,Paramètres!$A$1:$I$88,3,0)*0.475*44/12</f>
        <v>#N/A</v>
      </c>
      <c r="GN73" s="23" t="e">
        <f>EXP(-LN(2)/2)*GN72+(1-EXP(-LN(2)/2))/(LN(2)/2)*GH73*GK73*VLOOKUP('Données projet'!$B$17,Paramètres!$A$1:$I$88,3,0)*0.475*44/12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67.576498972330853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projet'!$B$18,Paramètres!$A$1:$I$88,3,0)*0.475*44/12</f>
        <v>#N/A</v>
      </c>
      <c r="HH73" s="23" t="e">
        <f>EXP(-LN(2)/25)*HH72+(1-EXP(-LN(2)/25))/(LN(2)/25)*Calculateur!HC73*Calculateur!HE73*VLOOKUP('Données projet'!$B$18,Paramètres!$A$1:$I$88,3,0)*0.475*44/12</f>
        <v>#N/A</v>
      </c>
      <c r="HI73" s="23" t="e">
        <f>EXP(-LN(2)/2)*HI72+(1-EXP(-LN(2)/2))/(LN(2)/2)*HC73*HF73*VLOOKUP('Données projet'!$B$18,Paramètres!$A$1:$I$88,3,0)*0.475*44/12</f>
        <v>#N/A</v>
      </c>
      <c r="HJ73" s="24" t="e">
        <f t="shared" si="84"/>
        <v>#N/A</v>
      </c>
    </row>
    <row r="74" spans="1:218" s="5" customFormat="1" x14ac:dyDescent="0.2">
      <c r="A74" s="11">
        <f t="shared" si="85"/>
        <v>71</v>
      </c>
      <c r="B74" s="77">
        <f>'Scénario référence'!$B$16*5+'Scénario référence'!$B$17*0+'Scénario référence'!$B$18*5</f>
        <v>1.6500000000000001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6.0500000000000007</v>
      </c>
      <c r="H74" s="70">
        <f t="shared" si="56"/>
        <v>232.4666666666667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67.618541297024322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projet'!$B$9,Paramètres!$A$1:$I$88,3,0)*VLOOKUP('Données projet'!$B$9,Paramètres!$A$1:$I$88,5,0)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284.60131808909114</v>
      </c>
      <c r="S74" s="62">
        <f ca="1">AVERAGE(OFFSET($R$3,0,0,'Données projet'!$E$9+1,1))-AVERAGE(OFFSET($H$3,0,0,'Données projet'!$E$9+1,1))</f>
        <v>354.71367224254021</v>
      </c>
      <c r="T74" s="62">
        <f t="shared" si="88"/>
        <v>490.074370133397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139.3303367780583</v>
      </c>
      <c r="AA74" s="23">
        <f>EXP(-LN(2)/25)*AA73+(1-EXP(-LN(2)/25))/(LN(2)/25)*Calculateur!V74*Calculateur!X74*VLOOKUP('Données projet'!$B$9,Paramètres!$A$1:$I$88,3,0)*0.475*44/12</f>
        <v>27.308689690689249</v>
      </c>
      <c r="AB74" s="23">
        <f>EXP(-LN(2)/2)*AB73+(1-EXP(-LN(2)/2))/(LN(2)/2)*V74*Y74*VLOOKUP('Données projet'!$B$9,Paramètres!$A$1:$I$88,3,0)*0.475*44/12</f>
        <v>1.2577916979320022E-2</v>
      </c>
      <c r="AC74" s="24">
        <f t="shared" si="57"/>
        <v>166.65160438572687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67.618541297024322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2.2737367544323206E-13</v>
      </c>
      <c r="AJ74" s="14">
        <f>AI74*VLOOKUP('Données projet'!$B$10,Paramètres!$A$1:$I$88,3,0)*VLOOKUP('Données projet'!$B$10,Paramètres!$A$1:$I$88,5,0)</f>
        <v>1.3596945791505279E-13</v>
      </c>
      <c r="AK74" s="14">
        <f t="shared" si="89"/>
        <v>1.9708830566360721E-12</v>
      </c>
      <c r="AL74" s="22">
        <f t="shared" si="58"/>
        <v>3.669434796176543E-12</v>
      </c>
      <c r="AM74" s="62">
        <f t="shared" si="59"/>
        <v>284.60131808909284</v>
      </c>
      <c r="AN74" s="62">
        <f ca="1">AVERAGE(OFFSET($AM$3,0,0,'Données projet'!$E$10+1,1))-AVERAGE(OFFSET($H$3,0,0,'Données projet'!$E$10+1,1))</f>
        <v>264.73276096087574</v>
      </c>
      <c r="AO74" s="62">
        <f t="shared" si="90"/>
        <v>381.84464918049662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projet'!$B$10,Paramètres!$A$1:$I$88,3,0)*0.475*44/12</f>
        <v>97.713250528898584</v>
      </c>
      <c r="AV74" s="23">
        <f>EXP(-LN(2)/25)*AV73+(1-EXP(-LN(2)/25))/(LN(2)/25)*Calculateur!AQ74*Calculateur!AS74*VLOOKUP('Données projet'!$B$10,Paramètres!$A$1:$I$88,3,0)*0.475*44/12</f>
        <v>19.185232880117063</v>
      </c>
      <c r="AW74" s="23">
        <f>EXP(-LN(2)/2)*AW73+(1-EXP(-LN(2)/2))/(LN(2)/2)*AQ74*AT74*VLOOKUP('Données projet'!$B$10,Paramètres!$A$1:$I$88,3,0)*0.475*44/12</f>
        <v>8.8071616883752309E-3</v>
      </c>
      <c r="AX74" s="23">
        <f t="shared" si="60"/>
        <v>116.90729057070403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67.618541297024322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6.2</v>
      </c>
      <c r="BD74" s="13">
        <f>IF('Données projet'!$A$88&gt;35,BD73+BC74-BL73,IF(A74&lt;'Données projet'!$A$88,$BA$205^A74,IF(A74='Données projet'!$A$88,'Données projet'!$B$88,BD73+BC74-BL73)))</f>
        <v>227.19999999999996</v>
      </c>
      <c r="BE74" s="14">
        <f>BD74*VLOOKUP('Données projet'!$B$11,Paramètres!$A$1:$I$88,3,0)*VLOOKUP('Données projet'!$B$11,Paramètres!$A$1:$I$88,5,0)</f>
        <v>258.73535999999996</v>
      </c>
      <c r="BF74" s="14">
        <f t="shared" si="91"/>
        <v>62.452731363728276</v>
      </c>
      <c r="BG74" s="22">
        <f t="shared" si="61"/>
        <v>559.40259245849336</v>
      </c>
      <c r="BH74" s="62">
        <f t="shared" si="62"/>
        <v>844.00391054758256</v>
      </c>
      <c r="BI74" s="62">
        <f ca="1">AVERAGE(OFFSET($BH$3,0,0,'Données projet'!$E$11+1,1))-AVERAGE(OFFSET($H$3,0,0,'Données projet'!$E$11+1,1))</f>
        <v>470.57532875732056</v>
      </c>
      <c r="BJ74" s="62">
        <f t="shared" si="92"/>
        <v>286.63787681165888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projet'!$B$11,Paramètres!$A$1:$I$88,3,0)*0.475*44/12</f>
        <v>15.974374318056681</v>
      </c>
      <c r="BQ74" s="23">
        <f>EXP(-LN(2)/25)*BQ73+(1-EXP(-LN(2)/25))/(LN(2)/25)*Calculateur!BL74*Calculateur!BN74*VLOOKUP('Données projet'!$B$11,Paramètres!$A$1:$I$88,3,0)*0.475*44/12</f>
        <v>0</v>
      </c>
      <c r="BR74" s="23">
        <f>EXP(-LN(2)/2)*BR73+(1-EXP(-LN(2)/2))/(LN(2)/2)*BL74*BO74*VLOOKUP('Données projet'!$B$11,Paramètres!$A$1:$I$88,3,0)*0.475*44/12</f>
        <v>0</v>
      </c>
      <c r="BS74" s="24">
        <f t="shared" si="63"/>
        <v>15.974374318056681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67.618541297024322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4.2</v>
      </c>
      <c r="BY74" s="13">
        <f>IF('Données projet'!$A$114&gt;35,BY73+BX74-CG73,IF(A74&lt;'Données projet'!$A$114,$BV$205^A74,IF(A74='Données projet'!$A$114,'Données projet'!$B$114,BY73+BX74-CG73)))</f>
        <v>307.19999999999993</v>
      </c>
      <c r="BZ74" s="14">
        <f>BY74*VLOOKUP('Données projet'!$B$12,Paramètres!$A$1:$I$88,3,0)*VLOOKUP('Données projet'!$B$12,Paramètres!$A$1:$I$88,5,0)</f>
        <v>201.27743999999996</v>
      </c>
      <c r="CA74" s="14">
        <f t="shared" si="93"/>
        <v>50.024806258462775</v>
      </c>
      <c r="CB74" s="22">
        <f t="shared" si="64"/>
        <v>437.68474556682258</v>
      </c>
      <c r="CC74" s="62">
        <f t="shared" si="65"/>
        <v>722.28606365591168</v>
      </c>
      <c r="CD74" s="62">
        <f ca="1">AVERAGE(OFFSET($CC$3,0,0,'Données projet'!$E$12+1,1))-AVERAGE(OFFSET($H$3,0,0,'Données projet'!$E$12+1,1))</f>
        <v>305.38855494899906</v>
      </c>
      <c r="CE74" s="62">
        <f t="shared" si="94"/>
        <v>298.48106301229177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projet'!$B$12,Paramètres!$A$1:$I$88,3,0)*0.475*44/12</f>
        <v>13.124904785500405</v>
      </c>
      <c r="CL74" s="23">
        <f>EXP(-LN(2)/25)*CL73+(1-EXP(-LN(2)/25))/(LN(2)/25)*Calculateur!CG74*Calculateur!CI74*VLOOKUP('Données projet'!$B$12,Paramètres!$A$1:$I$88,3,0)*0.475*44/12</f>
        <v>0</v>
      </c>
      <c r="CM74" s="23">
        <f>EXP(-LN(2)/2)*CM73+(1-EXP(-LN(2)/2))/(LN(2)/2)*CG74*CJ74*VLOOKUP('Données projet'!$B$12,Paramètres!$A$1:$I$88,3,0)*0.475*44/12</f>
        <v>0</v>
      </c>
      <c r="CN74" s="24">
        <f t="shared" si="66"/>
        <v>13.124904785500405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67.618541297024322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4.2</v>
      </c>
      <c r="CT74" s="13">
        <f>IF('Données projet'!$A$140&gt;35,CT73+CS74-DB73,IF(A74&lt;'Données projet'!$A$140,$CQ$205^A74,IF(A74='Données projet'!$A$140,'Données projet'!$B$140,CT73+CS74-DB73)))</f>
        <v>307.19999999999993</v>
      </c>
      <c r="CU74" s="18">
        <f>CT74*VLOOKUP('Données projet'!$B$13,Paramètres!$A$1:$I$88,3,0)*VLOOKUP('Données projet'!$B$13,Paramètres!$A$1:$I$88,5,0)</f>
        <v>244.40831999999995</v>
      </c>
      <c r="CV74" s="14">
        <f t="shared" si="95"/>
        <v>59.38699493610541</v>
      </c>
      <c r="CW74" s="22">
        <f t="shared" si="67"/>
        <v>529.11017351371675</v>
      </c>
      <c r="CX74" s="62">
        <f t="shared" si="68"/>
        <v>813.71149160280584</v>
      </c>
      <c r="CY74" s="62">
        <f ca="1">AVERAGE(OFFSET($CX$3,0,0,'Données projet'!$E$13+1,1))-AVERAGE(OFFSET($H$3,0,0,'Données projet'!$E$13+1,1))</f>
        <v>361.30066984973894</v>
      </c>
      <c r="CZ74" s="62">
        <f t="shared" si="96"/>
        <v>351.78053157121622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projet'!$B$13,Paramètres!$A$1:$I$88,3,0)*0.475*44/12</f>
        <v>19.643752843415061</v>
      </c>
      <c r="DG74" s="23">
        <f>EXP(-LN(2)/25)*DG73+(1-EXP(-LN(2)/25))/(LN(2)/25)*Calculateur!DB74*Calculateur!DD74*VLOOKUP('Données projet'!$B$13,Paramètres!$A$1:$I$88,3,0)*0.475*44/12</f>
        <v>0</v>
      </c>
      <c r="DH74" s="23">
        <f>EXP(-LN(2)/2)*DH73+(1-EXP(-LN(2)/2))/(LN(2)/2)*DB74*DE74*VLOOKUP('Données projet'!$B$13,Paramètres!$A$1:$I$88,3,0)*0.475*44/12</f>
        <v>0</v>
      </c>
      <c r="DI74" s="24">
        <f t="shared" si="69"/>
        <v>19.643752843415061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67.618541297024322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>
        <f>DO74*VLOOKUP('Données projet'!$B$14,Paramètres!$A$1:$I$88,3,0)*VLOOKUP('Données projet'!$B$14,Paramètres!$A$1:$I$88,5,0)</f>
        <v>0</v>
      </c>
      <c r="DQ74" s="14" t="e">
        <f t="shared" si="97"/>
        <v>#NUM!</v>
      </c>
      <c r="DR74" s="22" t="e">
        <f t="shared" si="70"/>
        <v>#NUM!</v>
      </c>
      <c r="DS74" s="62" t="e">
        <f t="shared" si="71"/>
        <v>#NUM!</v>
      </c>
      <c r="DT74" s="62">
        <f ca="1">AVERAGE(OFFSET($DS$3,0,0,'Données projet'!$E$14+1,1))-AVERAGE(OFFSET($H$3,0,0,'Données projet'!$E$14+1,1))</f>
        <v>91.201152634762423</v>
      </c>
      <c r="DU74" s="62">
        <f t="shared" si="98"/>
        <v>233.36981992862445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projet'!$B$14,Paramètres!$A$1:$I$88,3,0)*0.475*44/12</f>
        <v>18.406069491674348</v>
      </c>
      <c r="EB74" s="23">
        <f>EXP(-LN(2)/25)*EB73+(1-EXP(-LN(2)/25))/(LN(2)/25)*Calculateur!DW74*Calculateur!DY74*VLOOKUP('Données projet'!$B$14,Paramètres!$A$1:$I$88,3,0)*0.475*44/12</f>
        <v>0</v>
      </c>
      <c r="EC74" s="23">
        <f>EXP(-LN(2)/2)*EC73+(1-EXP(-LN(2)/2))/(LN(2)/2)*DW74*DZ74*VLOOKUP('Données projet'!$B$14,Paramètres!$A$1:$I$88,3,0)*0.475*44/12</f>
        <v>0</v>
      </c>
      <c r="ED74" s="24">
        <f t="shared" si="72"/>
        <v>18.406069491674348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67.618541297024322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projet'!$B$15,Paramètres!$A$1:$I$88,3,0)*0.475*44/12</f>
        <v>#N/A</v>
      </c>
      <c r="EW74" s="23" t="e">
        <f>EXP(-LN(2)/25)*EW73+(1-EXP(-LN(2)/25))/(LN(2)/25)*Calculateur!ER74*Calculateur!ET74*VLOOKUP('Données projet'!$B$15,Paramètres!$A$1:$I$88,3,0)*0.475*44/12</f>
        <v>#N/A</v>
      </c>
      <c r="EX74" s="23" t="e">
        <f>EXP(-LN(2)/2)*EX73+(1-EXP(-LN(2)/2))/(LN(2)/2)*ER74*EU74*VLOOKUP('Données projet'!$B$15,Paramètres!$A$1:$I$88,3,0)*0.475*44/12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67.618541297024322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projet'!$B$16,Paramètres!$A$1:$I$88,3,0)*0.475*44/12</f>
        <v>#N/A</v>
      </c>
      <c r="FR74" s="23" t="e">
        <f>EXP(-LN(2)/25)*FR73+(1-EXP(-LN(2)/25))/(LN(2)/25)*Calculateur!FM74*Calculateur!FO74*VLOOKUP('Données projet'!$B$16,Paramètres!$A$1:$I$88,3,0)*0.475*44/12</f>
        <v>#N/A</v>
      </c>
      <c r="FS74" s="23" t="e">
        <f>EXP(-LN(2)/2)*FS73+(1-EXP(-LN(2)/2))/(LN(2)/2)*FM74*FP74*VLOOKUP('Données projet'!$B$16,Paramètres!$A$1:$I$88,3,0)*0.475*44/12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67.618541297024322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projet'!$B$17,Paramètres!$A$1:$I$88,3,0)*0.475*44/12</f>
        <v>#N/A</v>
      </c>
      <c r="GM74" s="23" t="e">
        <f>EXP(-LN(2)/25)*GM73+(1-EXP(-LN(2)/25))/(LN(2)/25)*Calculateur!GH74*Calculateur!GJ74*VLOOKUP('Données projet'!$B$17,Paramètres!$A$1:$I$88,3,0)*0.475*44/12</f>
        <v>#N/A</v>
      </c>
      <c r="GN74" s="23" t="e">
        <f>EXP(-LN(2)/2)*GN73+(1-EXP(-LN(2)/2))/(LN(2)/2)*GH74*GK74*VLOOKUP('Données projet'!$B$17,Paramètres!$A$1:$I$88,3,0)*0.475*44/12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67.618541297024322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projet'!$B$18,Paramètres!$A$1:$I$88,3,0)*0.475*44/12</f>
        <v>#N/A</v>
      </c>
      <c r="HH74" s="23" t="e">
        <f>EXP(-LN(2)/25)*HH73+(1-EXP(-LN(2)/25))/(LN(2)/25)*Calculateur!HC74*Calculateur!HE74*VLOOKUP('Données projet'!$B$18,Paramètres!$A$1:$I$88,3,0)*0.475*44/12</f>
        <v>#N/A</v>
      </c>
      <c r="HI74" s="23" t="e">
        <f>EXP(-LN(2)/2)*HI73+(1-EXP(-LN(2)/2))/(LN(2)/2)*HC74*HF74*VLOOKUP('Données projet'!$B$18,Paramètres!$A$1:$I$88,3,0)*0.475*44/12</f>
        <v>#N/A</v>
      </c>
      <c r="HJ74" s="24" t="e">
        <f t="shared" si="84"/>
        <v>#N/A</v>
      </c>
    </row>
    <row r="75" spans="1:218" s="5" customFormat="1" x14ac:dyDescent="0.2">
      <c r="A75" s="11">
        <f t="shared" si="85"/>
        <v>72</v>
      </c>
      <c r="B75" s="77">
        <f>'Scénario référence'!$B$16*5+'Scénario référence'!$B$17*0+'Scénario référence'!$B$18*5</f>
        <v>1.6500000000000001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6.0500000000000007</v>
      </c>
      <c r="H75" s="70">
        <f t="shared" si="56"/>
        <v>232.4666666666667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67.659854281376909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projet'!$B$9,Paramètres!$A$1:$I$88,3,0)*VLOOKUP('Données projet'!$B$9,Paramètres!$A$1:$I$88,5,0)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284.7527990317173</v>
      </c>
      <c r="S75" s="62">
        <f ca="1">AVERAGE(OFFSET($R$3,0,0,'Données projet'!$E$9+1,1))-AVERAGE(OFFSET($H$3,0,0,'Données projet'!$E$9+1,1))</f>
        <v>354.71367224254021</v>
      </c>
      <c r="T75" s="62">
        <f t="shared" si="88"/>
        <v>490.074370133397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136.59815385695461</v>
      </c>
      <c r="AA75" s="23">
        <f>EXP(-LN(2)/25)*AA74+(1-EXP(-LN(2)/25))/(LN(2)/25)*Calculateur!V75*Calculateur!X75*VLOOKUP('Données projet'!$B$9,Paramètres!$A$1:$I$88,3,0)*0.475*44/12</f>
        <v>26.561932134995775</v>
      </c>
      <c r="AB75" s="23">
        <f>EXP(-LN(2)/2)*AB74+(1-EXP(-LN(2)/2))/(LN(2)/2)*V75*Y75*VLOOKUP('Données projet'!$B$9,Paramètres!$A$1:$I$88,3,0)*0.475*44/12</f>
        <v>8.8939303892786037E-3</v>
      </c>
      <c r="AC75" s="24">
        <f t="shared" si="57"/>
        <v>163.16897992233967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67.659854281376909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2.2737367544323206E-13</v>
      </c>
      <c r="AJ75" s="14">
        <f>AI75*VLOOKUP('Données projet'!$B$10,Paramètres!$A$1:$I$88,3,0)*VLOOKUP('Données projet'!$B$10,Paramètres!$A$1:$I$88,5,0)</f>
        <v>1.3596945791505279E-13</v>
      </c>
      <c r="AK75" s="14">
        <f t="shared" si="89"/>
        <v>1.9708830566360721E-12</v>
      </c>
      <c r="AL75" s="22">
        <f t="shared" si="58"/>
        <v>3.669434796176543E-12</v>
      </c>
      <c r="AM75" s="62">
        <f t="shared" si="59"/>
        <v>284.75279903171901</v>
      </c>
      <c r="AN75" s="62">
        <f ca="1">AVERAGE(OFFSET($AM$3,0,0,'Données projet'!$E$10+1,1))-AVERAGE(OFFSET($H$3,0,0,'Données projet'!$E$10+1,1))</f>
        <v>264.73276096087574</v>
      </c>
      <c r="AO75" s="62">
        <f t="shared" si="90"/>
        <v>381.84464918049662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projet'!$B$10,Paramètres!$A$1:$I$88,3,0)*0.475*44/12</f>
        <v>95.79715328522478</v>
      </c>
      <c r="AV75" s="23">
        <f>EXP(-LN(2)/25)*AV74+(1-EXP(-LN(2)/25))/(LN(2)/25)*Calculateur!AQ75*Calculateur!AS75*VLOOKUP('Données projet'!$B$10,Paramètres!$A$1:$I$88,3,0)*0.475*44/12</f>
        <v>18.660611678102715</v>
      </c>
      <c r="AW75" s="23">
        <f>EXP(-LN(2)/2)*AW74+(1-EXP(-LN(2)/2))/(LN(2)/2)*AQ75*AT75*VLOOKUP('Données projet'!$B$10,Paramètres!$A$1:$I$88,3,0)*0.475*44/12</f>
        <v>6.2276037528564889E-3</v>
      </c>
      <c r="AX75" s="23">
        <f t="shared" si="60"/>
        <v>114.46399256708035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67.659854281376909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6.2</v>
      </c>
      <c r="BD75" s="13">
        <f>IF('Données projet'!$A$88&gt;35,BD74+BC75-BL74,IF(A75&lt;'Données projet'!$A$88,$BA$205^A75,IF(A75='Données projet'!$A$88,'Données projet'!$B$88,BD74+BC75-BL74)))</f>
        <v>233.39999999999995</v>
      </c>
      <c r="BE75" s="14">
        <f>BD75*VLOOKUP('Données projet'!$B$11,Paramètres!$A$1:$I$88,3,0)*VLOOKUP('Données projet'!$B$11,Paramètres!$A$1:$I$88,5,0)</f>
        <v>265.79591999999991</v>
      </c>
      <c r="BF75" s="14">
        <f t="shared" si="91"/>
        <v>63.95624415023898</v>
      </c>
      <c r="BG75" s="22">
        <f t="shared" si="61"/>
        <v>574.31835256166607</v>
      </c>
      <c r="BH75" s="62">
        <f t="shared" si="62"/>
        <v>859.07115159338139</v>
      </c>
      <c r="BI75" s="62">
        <f ca="1">AVERAGE(OFFSET($BH$3,0,0,'Données projet'!$E$11+1,1))-AVERAGE(OFFSET($H$3,0,0,'Données projet'!$E$11+1,1))</f>
        <v>470.57532875732056</v>
      </c>
      <c r="BJ75" s="62">
        <f t="shared" si="92"/>
        <v>286.63787681165888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projet'!$B$11,Paramètres!$A$1:$I$88,3,0)*0.475*44/12</f>
        <v>15.661126581085842</v>
      </c>
      <c r="BQ75" s="23">
        <f>EXP(-LN(2)/25)*BQ74+(1-EXP(-LN(2)/25))/(LN(2)/25)*Calculateur!BL75*Calculateur!BN75*VLOOKUP('Données projet'!$B$11,Paramètres!$A$1:$I$88,3,0)*0.475*44/12</f>
        <v>0</v>
      </c>
      <c r="BR75" s="23">
        <f>EXP(-LN(2)/2)*BR74+(1-EXP(-LN(2)/2))/(LN(2)/2)*BL75*BO75*VLOOKUP('Données projet'!$B$11,Paramètres!$A$1:$I$88,3,0)*0.475*44/12</f>
        <v>0</v>
      </c>
      <c r="BS75" s="24">
        <f t="shared" si="63"/>
        <v>15.661126581085842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67.659854281376909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4.2</v>
      </c>
      <c r="BY75" s="13">
        <f>IF('Données projet'!$A$114&gt;35,BY74+BX75-CG74,IF(A75&lt;'Données projet'!$A$114,$BV$205^A75,IF(A75='Données projet'!$A$114,'Données projet'!$B$114,BY74+BX75-CG74)))</f>
        <v>311.39999999999992</v>
      </c>
      <c r="BZ75" s="14">
        <f>BY75*VLOOKUP('Données projet'!$B$12,Paramètres!$A$1:$I$88,3,0)*VLOOKUP('Données projet'!$B$12,Paramètres!$A$1:$I$88,5,0)</f>
        <v>204.02927999999994</v>
      </c>
      <c r="CA75" s="14">
        <f t="shared" si="93"/>
        <v>50.628650934368238</v>
      </c>
      <c r="CB75" s="22">
        <f t="shared" si="64"/>
        <v>443.5292297106912</v>
      </c>
      <c r="CC75" s="62">
        <f t="shared" si="65"/>
        <v>728.28202874240651</v>
      </c>
      <c r="CD75" s="62">
        <f ca="1">AVERAGE(OFFSET($CC$3,0,0,'Données projet'!$E$12+1,1))-AVERAGE(OFFSET($H$3,0,0,'Données projet'!$E$12+1,1))</f>
        <v>305.38855494899906</v>
      </c>
      <c r="CE75" s="62">
        <f t="shared" si="94"/>
        <v>298.48106301229177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projet'!$B$12,Paramètres!$A$1:$I$88,3,0)*0.475*44/12</f>
        <v>12.867533408058193</v>
      </c>
      <c r="CL75" s="23">
        <f>EXP(-LN(2)/25)*CL74+(1-EXP(-LN(2)/25))/(LN(2)/25)*Calculateur!CG75*Calculateur!CI75*VLOOKUP('Données projet'!$B$12,Paramètres!$A$1:$I$88,3,0)*0.475*44/12</f>
        <v>0</v>
      </c>
      <c r="CM75" s="23">
        <f>EXP(-LN(2)/2)*CM74+(1-EXP(-LN(2)/2))/(LN(2)/2)*CG75*CJ75*VLOOKUP('Données projet'!$B$12,Paramètres!$A$1:$I$88,3,0)*0.475*44/12</f>
        <v>0</v>
      </c>
      <c r="CN75" s="24">
        <f t="shared" si="66"/>
        <v>12.867533408058193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67.659854281376909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4.2</v>
      </c>
      <c r="CT75" s="13">
        <f>IF('Données projet'!$A$140&gt;35,CT74+CS75-DB74,IF(A75&lt;'Données projet'!$A$140,$CQ$205^A75,IF(A75='Données projet'!$A$140,'Données projet'!$B$140,CT74+CS75-DB74)))</f>
        <v>311.39999999999992</v>
      </c>
      <c r="CU75" s="18">
        <f>CT75*VLOOKUP('Données projet'!$B$13,Paramètres!$A$1:$I$88,3,0)*VLOOKUP('Données projet'!$B$13,Paramètres!$A$1:$I$88,5,0)</f>
        <v>247.74983999999995</v>
      </c>
      <c r="CV75" s="14">
        <f t="shared" si="95"/>
        <v>60.103849700617872</v>
      </c>
      <c r="CW75" s="22">
        <f t="shared" si="67"/>
        <v>536.17850956190932</v>
      </c>
      <c r="CX75" s="62">
        <f t="shared" si="68"/>
        <v>820.93130859362464</v>
      </c>
      <c r="CY75" s="62">
        <f ca="1">AVERAGE(OFFSET($CX$3,0,0,'Données projet'!$E$13+1,1))-AVERAGE(OFFSET($H$3,0,0,'Données projet'!$E$13+1,1))</f>
        <v>361.30066984973894</v>
      </c>
      <c r="CZ75" s="62">
        <f t="shared" si="96"/>
        <v>351.78053157121622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projet'!$B$13,Paramètres!$A$1:$I$88,3,0)*0.475*44/12</f>
        <v>19.25855083166185</v>
      </c>
      <c r="DG75" s="23">
        <f>EXP(-LN(2)/25)*DG74+(1-EXP(-LN(2)/25))/(LN(2)/25)*Calculateur!DB75*Calculateur!DD75*VLOOKUP('Données projet'!$B$13,Paramètres!$A$1:$I$88,3,0)*0.475*44/12</f>
        <v>0</v>
      </c>
      <c r="DH75" s="23">
        <f>EXP(-LN(2)/2)*DH74+(1-EXP(-LN(2)/2))/(LN(2)/2)*DB75*DE75*VLOOKUP('Données projet'!$B$13,Paramètres!$A$1:$I$88,3,0)*0.475*44/12</f>
        <v>0</v>
      </c>
      <c r="DI75" s="24">
        <f t="shared" si="69"/>
        <v>19.25855083166185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67.659854281376909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>
        <f>DO75*VLOOKUP('Données projet'!$B$14,Paramètres!$A$1:$I$88,3,0)*VLOOKUP('Données projet'!$B$14,Paramètres!$A$1:$I$88,5,0)</f>
        <v>0</v>
      </c>
      <c r="DQ75" s="14" t="e">
        <f t="shared" si="97"/>
        <v>#NUM!</v>
      </c>
      <c r="DR75" s="22" t="e">
        <f t="shared" si="70"/>
        <v>#NUM!</v>
      </c>
      <c r="DS75" s="62" t="e">
        <f t="shared" si="71"/>
        <v>#NUM!</v>
      </c>
      <c r="DT75" s="62">
        <f ca="1">AVERAGE(OFFSET($DS$3,0,0,'Données projet'!$E$14+1,1))-AVERAGE(OFFSET($H$3,0,0,'Données projet'!$E$14+1,1))</f>
        <v>91.201152634762423</v>
      </c>
      <c r="DU75" s="62">
        <f t="shared" si="98"/>
        <v>233.36981992862445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projet'!$B$14,Paramètres!$A$1:$I$88,3,0)*0.475*44/12</f>
        <v>18.045137695536472</v>
      </c>
      <c r="EB75" s="23">
        <f>EXP(-LN(2)/25)*EB74+(1-EXP(-LN(2)/25))/(LN(2)/25)*Calculateur!DW75*Calculateur!DY75*VLOOKUP('Données projet'!$B$14,Paramètres!$A$1:$I$88,3,0)*0.475*44/12</f>
        <v>0</v>
      </c>
      <c r="EC75" s="23">
        <f>EXP(-LN(2)/2)*EC74+(1-EXP(-LN(2)/2))/(LN(2)/2)*DW75*DZ75*VLOOKUP('Données projet'!$B$14,Paramètres!$A$1:$I$88,3,0)*0.475*44/12</f>
        <v>0</v>
      </c>
      <c r="ED75" s="24">
        <f t="shared" si="72"/>
        <v>18.045137695536472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67.659854281376909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projet'!$B$15,Paramètres!$A$1:$I$88,3,0)*0.475*44/12</f>
        <v>#N/A</v>
      </c>
      <c r="EW75" s="23" t="e">
        <f>EXP(-LN(2)/25)*EW74+(1-EXP(-LN(2)/25))/(LN(2)/25)*Calculateur!ER75*Calculateur!ET75*VLOOKUP('Données projet'!$B$15,Paramètres!$A$1:$I$88,3,0)*0.475*44/12</f>
        <v>#N/A</v>
      </c>
      <c r="EX75" s="23" t="e">
        <f>EXP(-LN(2)/2)*EX74+(1-EXP(-LN(2)/2))/(LN(2)/2)*ER75*EU75*VLOOKUP('Données projet'!$B$15,Paramètres!$A$1:$I$88,3,0)*0.475*44/12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67.659854281376909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projet'!$B$16,Paramètres!$A$1:$I$88,3,0)*0.475*44/12</f>
        <v>#N/A</v>
      </c>
      <c r="FR75" s="23" t="e">
        <f>EXP(-LN(2)/25)*FR74+(1-EXP(-LN(2)/25))/(LN(2)/25)*Calculateur!FM75*Calculateur!FO75*VLOOKUP('Données projet'!$B$16,Paramètres!$A$1:$I$88,3,0)*0.475*44/12</f>
        <v>#N/A</v>
      </c>
      <c r="FS75" s="23" t="e">
        <f>EXP(-LN(2)/2)*FS74+(1-EXP(-LN(2)/2))/(LN(2)/2)*FM75*FP75*VLOOKUP('Données projet'!$B$16,Paramètres!$A$1:$I$88,3,0)*0.475*44/12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67.659854281376909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projet'!$B$17,Paramètres!$A$1:$I$88,3,0)*0.475*44/12</f>
        <v>#N/A</v>
      </c>
      <c r="GM75" s="23" t="e">
        <f>EXP(-LN(2)/25)*GM74+(1-EXP(-LN(2)/25))/(LN(2)/25)*Calculateur!GH75*Calculateur!GJ75*VLOOKUP('Données projet'!$B$17,Paramètres!$A$1:$I$88,3,0)*0.475*44/12</f>
        <v>#N/A</v>
      </c>
      <c r="GN75" s="23" t="e">
        <f>EXP(-LN(2)/2)*GN74+(1-EXP(-LN(2)/2))/(LN(2)/2)*GH75*GK75*VLOOKUP('Données projet'!$B$17,Paramètres!$A$1:$I$88,3,0)*0.475*44/12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67.659854281376909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projet'!$B$18,Paramètres!$A$1:$I$88,3,0)*0.475*44/12</f>
        <v>#N/A</v>
      </c>
      <c r="HH75" s="23" t="e">
        <f>EXP(-LN(2)/25)*HH74+(1-EXP(-LN(2)/25))/(LN(2)/25)*Calculateur!HC75*Calculateur!HE75*VLOOKUP('Données projet'!$B$18,Paramètres!$A$1:$I$88,3,0)*0.475*44/12</f>
        <v>#N/A</v>
      </c>
      <c r="HI75" s="23" t="e">
        <f>EXP(-LN(2)/2)*HI74+(1-EXP(-LN(2)/2))/(LN(2)/2)*HC75*HF75*VLOOKUP('Données projet'!$B$18,Paramètres!$A$1:$I$88,3,0)*0.475*44/12</f>
        <v>#N/A</v>
      </c>
      <c r="HJ75" s="24" t="e">
        <f t="shared" si="84"/>
        <v>#N/A</v>
      </c>
    </row>
    <row r="76" spans="1:218" s="5" customFormat="1" x14ac:dyDescent="0.2">
      <c r="A76" s="11">
        <f t="shared" si="85"/>
        <v>73</v>
      </c>
      <c r="B76" s="77">
        <f>'Scénario référence'!$B$16*5+'Scénario référence'!$B$17*0+'Scénario référence'!$B$18*5</f>
        <v>1.6500000000000001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6.0500000000000007</v>
      </c>
      <c r="H76" s="70">
        <f t="shared" si="56"/>
        <v>232.4666666666667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67.700450577812973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projet'!$B$9,Paramètres!$A$1:$I$88,3,0)*VLOOKUP('Données projet'!$B$9,Paramètres!$A$1:$I$88,5,0)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284.90165211864957</v>
      </c>
      <c r="S76" s="62">
        <f ca="1">AVERAGE(OFFSET($R$3,0,0,'Données projet'!$E$9+1,1))-AVERAGE(OFFSET($H$3,0,0,'Données projet'!$E$9+1,1))</f>
        <v>354.71367224254021</v>
      </c>
      <c r="T76" s="62">
        <f t="shared" si="88"/>
        <v>490.074370133397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133.91954737646674</v>
      </c>
      <c r="AA76" s="23">
        <f>EXP(-LN(2)/25)*AA75+(1-EXP(-LN(2)/25))/(LN(2)/25)*Calculateur!V76*Calculateur!X76*VLOOKUP('Données projet'!$B$9,Paramètres!$A$1:$I$88,3,0)*0.475*44/12</f>
        <v>25.835594703933012</v>
      </c>
      <c r="AB76" s="23">
        <f>EXP(-LN(2)/2)*AB75+(1-EXP(-LN(2)/2))/(LN(2)/2)*V76*Y76*VLOOKUP('Données projet'!$B$9,Paramètres!$A$1:$I$88,3,0)*0.475*44/12</f>
        <v>6.2889584896600112E-3</v>
      </c>
      <c r="AC76" s="24">
        <f t="shared" si="57"/>
        <v>159.76143103888941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67.700450577812973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2.2737367544323206E-13</v>
      </c>
      <c r="AJ76" s="14">
        <f>AI76*VLOOKUP('Données projet'!$B$10,Paramètres!$A$1:$I$88,3,0)*VLOOKUP('Données projet'!$B$10,Paramètres!$A$1:$I$88,5,0)</f>
        <v>1.3596945791505279E-13</v>
      </c>
      <c r="AK76" s="14">
        <f t="shared" si="89"/>
        <v>1.9708830566360721E-12</v>
      </c>
      <c r="AL76" s="22">
        <f t="shared" si="58"/>
        <v>3.669434796176543E-12</v>
      </c>
      <c r="AM76" s="62">
        <f t="shared" si="59"/>
        <v>284.90165211865127</v>
      </c>
      <c r="AN76" s="62">
        <f ca="1">AVERAGE(OFFSET($AM$3,0,0,'Données projet'!$E$10+1,1))-AVERAGE(OFFSET($H$3,0,0,'Données projet'!$E$10+1,1))</f>
        <v>264.73276096087574</v>
      </c>
      <c r="AO76" s="62">
        <f t="shared" si="90"/>
        <v>381.84464918049662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projet'!$B$10,Paramètres!$A$1:$I$88,3,0)*0.475*44/12</f>
        <v>93.918629539795489</v>
      </c>
      <c r="AV76" s="23">
        <f>EXP(-LN(2)/25)*AV75+(1-EXP(-LN(2)/25))/(LN(2)/25)*Calculateur!AQ76*Calculateur!AS76*VLOOKUP('Données projet'!$B$10,Paramètres!$A$1:$I$88,3,0)*0.475*44/12</f>
        <v>18.150336270446076</v>
      </c>
      <c r="AW76" s="23">
        <f>EXP(-LN(2)/2)*AW75+(1-EXP(-LN(2)/2))/(LN(2)/2)*AQ76*AT76*VLOOKUP('Données projet'!$B$10,Paramètres!$A$1:$I$88,3,0)*0.475*44/12</f>
        <v>4.4035808441876155E-3</v>
      </c>
      <c r="AX76" s="23">
        <f t="shared" si="60"/>
        <v>112.07336939108575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67.700450577812973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6.2</v>
      </c>
      <c r="BD76" s="13">
        <f>IF('Données projet'!$A$88&gt;35,BD75+BC76-BL75,IF(A76&lt;'Données projet'!$A$88,$BA$205^A76,IF(A76='Données projet'!$A$88,'Données projet'!$B$88,BD75+BC76-BL75)))</f>
        <v>239.59999999999994</v>
      </c>
      <c r="BE76" s="14">
        <f>BD76*VLOOKUP('Données projet'!$B$11,Paramètres!$A$1:$I$88,3,0)*VLOOKUP('Données projet'!$B$11,Paramètres!$A$1:$I$88,5,0)</f>
        <v>272.85647999999992</v>
      </c>
      <c r="BF76" s="14">
        <f t="shared" si="91"/>
        <v>65.455114631769092</v>
      </c>
      <c r="BG76" s="22">
        <f t="shared" si="61"/>
        <v>589.2260273169976</v>
      </c>
      <c r="BH76" s="62">
        <f t="shared" si="62"/>
        <v>874.12767943564518</v>
      </c>
      <c r="BI76" s="62">
        <f ca="1">AVERAGE(OFFSET($BH$3,0,0,'Données projet'!$E$11+1,1))-AVERAGE(OFFSET($H$3,0,0,'Données projet'!$E$11+1,1))</f>
        <v>470.57532875732056</v>
      </c>
      <c r="BJ76" s="62">
        <f t="shared" si="92"/>
        <v>286.63787681165888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projet'!$B$11,Paramètres!$A$1:$I$88,3,0)*0.475*44/12</f>
        <v>15.354021441174748</v>
      </c>
      <c r="BQ76" s="23">
        <f>EXP(-LN(2)/25)*BQ75+(1-EXP(-LN(2)/25))/(LN(2)/25)*Calculateur!BL76*Calculateur!BN76*VLOOKUP('Données projet'!$B$11,Paramètres!$A$1:$I$88,3,0)*0.475*44/12</f>
        <v>0</v>
      </c>
      <c r="BR76" s="23">
        <f>EXP(-LN(2)/2)*BR75+(1-EXP(-LN(2)/2))/(LN(2)/2)*BL76*BO76*VLOOKUP('Données projet'!$B$11,Paramètres!$A$1:$I$88,3,0)*0.475*44/12</f>
        <v>0</v>
      </c>
      <c r="BS76" s="24">
        <f t="shared" si="63"/>
        <v>15.354021441174748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67.700450577812973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4.2</v>
      </c>
      <c r="BY76" s="13">
        <f>IF('Données projet'!$A$114&gt;35,BY75+BX76-CG75,IF(A76&lt;'Données projet'!$A$114,$BV$205^A76,IF(A76='Données projet'!$A$114,'Données projet'!$B$114,BY75+BX76-CG75)))</f>
        <v>315.59999999999991</v>
      </c>
      <c r="BZ76" s="14">
        <f>BY76*VLOOKUP('Données projet'!$B$12,Paramètres!$A$1:$I$88,3,0)*VLOOKUP('Données projet'!$B$12,Paramètres!$A$1:$I$88,5,0)</f>
        <v>206.78111999999996</v>
      </c>
      <c r="CA76" s="14">
        <f t="shared" si="93"/>
        <v>51.231548322431642</v>
      </c>
      <c r="CB76" s="22">
        <f t="shared" si="64"/>
        <v>449.37206399490168</v>
      </c>
      <c r="CC76" s="62">
        <f t="shared" si="65"/>
        <v>734.2737161135492</v>
      </c>
      <c r="CD76" s="62">
        <f ca="1">AVERAGE(OFFSET($CC$3,0,0,'Données projet'!$E$12+1,1))-AVERAGE(OFFSET($H$3,0,0,'Données projet'!$E$12+1,1))</f>
        <v>305.38855494899906</v>
      </c>
      <c r="CE76" s="62">
        <f t="shared" si="94"/>
        <v>298.48106301229177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projet'!$B$12,Paramètres!$A$1:$I$88,3,0)*0.475*44/12</f>
        <v>12.615208926346584</v>
      </c>
      <c r="CL76" s="23">
        <f>EXP(-LN(2)/25)*CL75+(1-EXP(-LN(2)/25))/(LN(2)/25)*Calculateur!CG76*Calculateur!CI76*VLOOKUP('Données projet'!$B$12,Paramètres!$A$1:$I$88,3,0)*0.475*44/12</f>
        <v>0</v>
      </c>
      <c r="CM76" s="23">
        <f>EXP(-LN(2)/2)*CM75+(1-EXP(-LN(2)/2))/(LN(2)/2)*CG76*CJ76*VLOOKUP('Données projet'!$B$12,Paramètres!$A$1:$I$88,3,0)*0.475*44/12</f>
        <v>0</v>
      </c>
      <c r="CN76" s="24">
        <f t="shared" si="66"/>
        <v>12.615208926346584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67.700450577812973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4.2</v>
      </c>
      <c r="CT76" s="13">
        <f>IF('Données projet'!$A$140&gt;35,CT75+CS76-DB75,IF(A76&lt;'Données projet'!$A$140,$CQ$205^A76,IF(A76='Données projet'!$A$140,'Données projet'!$B$140,CT75+CS76-DB75)))</f>
        <v>315.59999999999991</v>
      </c>
      <c r="CU76" s="18">
        <f>CT76*VLOOKUP('Données projet'!$B$13,Paramètres!$A$1:$I$88,3,0)*VLOOKUP('Données projet'!$B$13,Paramètres!$A$1:$I$88,5,0)</f>
        <v>251.09135999999995</v>
      </c>
      <c r="CV76" s="14">
        <f t="shared" si="95"/>
        <v>60.81957989149403</v>
      </c>
      <c r="CW76" s="22">
        <f t="shared" si="67"/>
        <v>543.24488697768527</v>
      </c>
      <c r="CX76" s="62">
        <f t="shared" si="68"/>
        <v>828.14653909633284</v>
      </c>
      <c r="CY76" s="62">
        <f ca="1">AVERAGE(OFFSET($CX$3,0,0,'Données projet'!$E$13+1,1))-AVERAGE(OFFSET($H$3,0,0,'Données projet'!$E$13+1,1))</f>
        <v>361.30066984973894</v>
      </c>
      <c r="CZ76" s="62">
        <f t="shared" si="96"/>
        <v>351.78053157121622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projet'!$B$13,Paramètres!$A$1:$I$88,3,0)*0.475*44/12</f>
        <v>18.880902396409091</v>
      </c>
      <c r="DG76" s="23">
        <f>EXP(-LN(2)/25)*DG75+(1-EXP(-LN(2)/25))/(LN(2)/25)*Calculateur!DB76*Calculateur!DD76*VLOOKUP('Données projet'!$B$13,Paramètres!$A$1:$I$88,3,0)*0.475*44/12</f>
        <v>0</v>
      </c>
      <c r="DH76" s="23">
        <f>EXP(-LN(2)/2)*DH75+(1-EXP(-LN(2)/2))/(LN(2)/2)*DB76*DE76*VLOOKUP('Données projet'!$B$13,Paramètres!$A$1:$I$88,3,0)*0.475*44/12</f>
        <v>0</v>
      </c>
      <c r="DI76" s="24">
        <f t="shared" si="69"/>
        <v>18.880902396409091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67.700450577812973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>
        <f>DO76*VLOOKUP('Données projet'!$B$14,Paramètres!$A$1:$I$88,3,0)*VLOOKUP('Données projet'!$B$14,Paramètres!$A$1:$I$88,5,0)</f>
        <v>0</v>
      </c>
      <c r="DQ76" s="14" t="e">
        <f t="shared" si="97"/>
        <v>#NUM!</v>
      </c>
      <c r="DR76" s="22" t="e">
        <f t="shared" si="70"/>
        <v>#NUM!</v>
      </c>
      <c r="DS76" s="62" t="e">
        <f t="shared" si="71"/>
        <v>#NUM!</v>
      </c>
      <c r="DT76" s="62">
        <f ca="1">AVERAGE(OFFSET($DS$3,0,0,'Données projet'!$E$14+1,1))-AVERAGE(OFFSET($H$3,0,0,'Données projet'!$E$14+1,1))</f>
        <v>91.201152634762423</v>
      </c>
      <c r="DU76" s="62">
        <f t="shared" si="98"/>
        <v>233.36981992862445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projet'!$B$14,Paramètres!$A$1:$I$88,3,0)*0.475*44/12</f>
        <v>17.691283551774198</v>
      </c>
      <c r="EB76" s="23">
        <f>EXP(-LN(2)/25)*EB75+(1-EXP(-LN(2)/25))/(LN(2)/25)*Calculateur!DW76*Calculateur!DY76*VLOOKUP('Données projet'!$B$14,Paramètres!$A$1:$I$88,3,0)*0.475*44/12</f>
        <v>0</v>
      </c>
      <c r="EC76" s="23">
        <f>EXP(-LN(2)/2)*EC75+(1-EXP(-LN(2)/2))/(LN(2)/2)*DW76*DZ76*VLOOKUP('Données projet'!$B$14,Paramètres!$A$1:$I$88,3,0)*0.475*44/12</f>
        <v>0</v>
      </c>
      <c r="ED76" s="24">
        <f t="shared" si="72"/>
        <v>17.691283551774198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67.700450577812973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projet'!$B$15,Paramètres!$A$1:$I$88,3,0)*0.475*44/12</f>
        <v>#N/A</v>
      </c>
      <c r="EW76" s="23" t="e">
        <f>EXP(-LN(2)/25)*EW75+(1-EXP(-LN(2)/25))/(LN(2)/25)*Calculateur!ER76*Calculateur!ET76*VLOOKUP('Données projet'!$B$15,Paramètres!$A$1:$I$88,3,0)*0.475*44/12</f>
        <v>#N/A</v>
      </c>
      <c r="EX76" s="23" t="e">
        <f>EXP(-LN(2)/2)*EX75+(1-EXP(-LN(2)/2))/(LN(2)/2)*ER76*EU76*VLOOKUP('Données projet'!$B$15,Paramètres!$A$1:$I$88,3,0)*0.475*44/12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67.700450577812973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projet'!$B$16,Paramètres!$A$1:$I$88,3,0)*0.475*44/12</f>
        <v>#N/A</v>
      </c>
      <c r="FR76" s="23" t="e">
        <f>EXP(-LN(2)/25)*FR75+(1-EXP(-LN(2)/25))/(LN(2)/25)*Calculateur!FM76*Calculateur!FO76*VLOOKUP('Données projet'!$B$16,Paramètres!$A$1:$I$88,3,0)*0.475*44/12</f>
        <v>#N/A</v>
      </c>
      <c r="FS76" s="23" t="e">
        <f>EXP(-LN(2)/2)*FS75+(1-EXP(-LN(2)/2))/(LN(2)/2)*FM76*FP76*VLOOKUP('Données projet'!$B$16,Paramètres!$A$1:$I$88,3,0)*0.475*44/12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67.700450577812973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projet'!$B$17,Paramètres!$A$1:$I$88,3,0)*0.475*44/12</f>
        <v>#N/A</v>
      </c>
      <c r="GM76" s="23" t="e">
        <f>EXP(-LN(2)/25)*GM75+(1-EXP(-LN(2)/25))/(LN(2)/25)*Calculateur!GH76*Calculateur!GJ76*VLOOKUP('Données projet'!$B$17,Paramètres!$A$1:$I$88,3,0)*0.475*44/12</f>
        <v>#N/A</v>
      </c>
      <c r="GN76" s="23" t="e">
        <f>EXP(-LN(2)/2)*GN75+(1-EXP(-LN(2)/2))/(LN(2)/2)*GH76*GK76*VLOOKUP('Données projet'!$B$17,Paramètres!$A$1:$I$88,3,0)*0.475*44/12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67.700450577812973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projet'!$B$18,Paramètres!$A$1:$I$88,3,0)*0.475*44/12</f>
        <v>#N/A</v>
      </c>
      <c r="HH76" s="23" t="e">
        <f>EXP(-LN(2)/25)*HH75+(1-EXP(-LN(2)/25))/(LN(2)/25)*Calculateur!HC76*Calculateur!HE76*VLOOKUP('Données projet'!$B$18,Paramètres!$A$1:$I$88,3,0)*0.475*44/12</f>
        <v>#N/A</v>
      </c>
      <c r="HI76" s="23" t="e">
        <f>EXP(-LN(2)/2)*HI75+(1-EXP(-LN(2)/2))/(LN(2)/2)*HC76*HF76*VLOOKUP('Données projet'!$B$18,Paramètres!$A$1:$I$88,3,0)*0.475*44/12</f>
        <v>#N/A</v>
      </c>
      <c r="HJ76" s="24" t="e">
        <f t="shared" si="84"/>
        <v>#N/A</v>
      </c>
    </row>
    <row r="77" spans="1:218" s="5" customFormat="1" x14ac:dyDescent="0.2">
      <c r="A77" s="11">
        <f t="shared" si="85"/>
        <v>74</v>
      </c>
      <c r="B77" s="77">
        <f>'Scénario référence'!$B$16*5+'Scénario référence'!$B$17*0+'Scénario référence'!$B$18*5</f>
        <v>1.6500000000000001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6.0500000000000007</v>
      </c>
      <c r="H77" s="70">
        <f t="shared" si="56"/>
        <v>232.4666666666667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67.740342619265576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projet'!$B$9,Paramètres!$A$1:$I$88,3,0)*VLOOKUP('Données projet'!$B$9,Paramètres!$A$1:$I$88,5,0)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285.04792293730907</v>
      </c>
      <c r="S77" s="62">
        <f ca="1">AVERAGE(OFFSET($R$3,0,0,'Données projet'!$E$9+1,1))-AVERAGE(OFFSET($H$3,0,0,'Données projet'!$E$9+1,1))</f>
        <v>354.71367224254021</v>
      </c>
      <c r="T77" s="62">
        <f t="shared" si="88"/>
        <v>490.074370133397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131.2934667352726</v>
      </c>
      <c r="AA77" s="23">
        <f>EXP(-LN(2)/25)*AA76+(1-EXP(-LN(2)/25))/(LN(2)/25)*Calculateur!V77*Calculateur!X77*VLOOKUP('Données projet'!$B$9,Paramètres!$A$1:$I$88,3,0)*0.475*44/12</f>
        <v>25.129119008119087</v>
      </c>
      <c r="AB77" s="23">
        <f>EXP(-LN(2)/2)*AB76+(1-EXP(-LN(2)/2))/(LN(2)/2)*V77*Y77*VLOOKUP('Données projet'!$B$9,Paramètres!$A$1:$I$88,3,0)*0.475*44/12</f>
        <v>4.4469651946393018E-3</v>
      </c>
      <c r="AC77" s="24">
        <f t="shared" si="57"/>
        <v>156.42703270858632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67.740342619265576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2.2737367544323206E-13</v>
      </c>
      <c r="AJ77" s="14">
        <f>AI77*VLOOKUP('Données projet'!$B$10,Paramètres!$A$1:$I$88,3,0)*VLOOKUP('Données projet'!$B$10,Paramètres!$A$1:$I$88,5,0)</f>
        <v>1.3596945791505279E-13</v>
      </c>
      <c r="AK77" s="14">
        <f t="shared" si="89"/>
        <v>1.9708830566360721E-12</v>
      </c>
      <c r="AL77" s="22">
        <f t="shared" si="58"/>
        <v>3.669434796176543E-12</v>
      </c>
      <c r="AM77" s="62">
        <f t="shared" si="59"/>
        <v>285.04792293731077</v>
      </c>
      <c r="AN77" s="62">
        <f ca="1">AVERAGE(OFFSET($AM$3,0,0,'Données projet'!$E$10+1,1))-AVERAGE(OFFSET($H$3,0,0,'Données projet'!$E$10+1,1))</f>
        <v>264.73276096087574</v>
      </c>
      <c r="AO77" s="62">
        <f t="shared" si="90"/>
        <v>381.84464918049662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projet'!$B$10,Paramètres!$A$1:$I$88,3,0)*0.475*44/12</f>
        <v>92.076942499227727</v>
      </c>
      <c r="AV77" s="23">
        <f>EXP(-LN(2)/25)*AV76+(1-EXP(-LN(2)/25))/(LN(2)/25)*Calculateur!AQ77*Calculateur!AS77*VLOOKUP('Données projet'!$B$10,Paramètres!$A$1:$I$88,3,0)*0.475*44/12</f>
        <v>17.654014370646028</v>
      </c>
      <c r="AW77" s="23">
        <f>EXP(-LN(2)/2)*AW76+(1-EXP(-LN(2)/2))/(LN(2)/2)*AQ77*AT77*VLOOKUP('Données projet'!$B$10,Paramètres!$A$1:$I$88,3,0)*0.475*44/12</f>
        <v>3.1138018764282445E-3</v>
      </c>
      <c r="AX77" s="23">
        <f t="shared" si="60"/>
        <v>109.73407067175017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67.740342619265576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6.2</v>
      </c>
      <c r="BD77" s="13">
        <f>IF('Données projet'!$A$88&gt;35,BD76+BC77-BL76,IF(A77&lt;'Données projet'!$A$88,$BA$205^A77,IF(A77='Données projet'!$A$88,'Données projet'!$B$88,BD76+BC77-BL76)))</f>
        <v>245.79999999999993</v>
      </c>
      <c r="BE77" s="14">
        <f>BD77*VLOOKUP('Données projet'!$B$11,Paramètres!$A$1:$I$88,3,0)*VLOOKUP('Données projet'!$B$11,Paramètres!$A$1:$I$88,5,0)</f>
        <v>279.91703999999993</v>
      </c>
      <c r="BF77" s="14">
        <f t="shared" si="91"/>
        <v>66.949476745940956</v>
      </c>
      <c r="BG77" s="22">
        <f t="shared" si="61"/>
        <v>604.12584999918033</v>
      </c>
      <c r="BH77" s="62">
        <f t="shared" si="62"/>
        <v>889.17377293648747</v>
      </c>
      <c r="BI77" s="62">
        <f ca="1">AVERAGE(OFFSET($BH$3,0,0,'Données projet'!$E$11+1,1))-AVERAGE(OFFSET($H$3,0,0,'Données projet'!$E$11+1,1))</f>
        <v>470.57532875732056</v>
      </c>
      <c r="BJ77" s="62">
        <f t="shared" si="92"/>
        <v>286.63787681165888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projet'!$B$11,Paramètres!$A$1:$I$88,3,0)*0.475*44/12</f>
        <v>15.05293844574167</v>
      </c>
      <c r="BQ77" s="23">
        <f>EXP(-LN(2)/25)*BQ76+(1-EXP(-LN(2)/25))/(LN(2)/25)*Calculateur!BL77*Calculateur!BN77*VLOOKUP('Données projet'!$B$11,Paramètres!$A$1:$I$88,3,0)*0.475*44/12</f>
        <v>0</v>
      </c>
      <c r="BR77" s="23">
        <f>EXP(-LN(2)/2)*BR76+(1-EXP(-LN(2)/2))/(LN(2)/2)*BL77*BO77*VLOOKUP('Données projet'!$B$11,Paramètres!$A$1:$I$88,3,0)*0.475*44/12</f>
        <v>0</v>
      </c>
      <c r="BS77" s="24">
        <f t="shared" si="63"/>
        <v>15.05293844574167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67.740342619265576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4.2</v>
      </c>
      <c r="BY77" s="13">
        <f>IF('Données projet'!$A$114&gt;35,BY76+BX77-CG76,IF(A77&lt;'Données projet'!$A$114,$BV$205^A77,IF(A77='Données projet'!$A$114,'Données projet'!$B$114,BY76+BX77-CG76)))</f>
        <v>319.7999999999999</v>
      </c>
      <c r="BZ77" s="14">
        <f>BY77*VLOOKUP('Données projet'!$B$12,Paramètres!$A$1:$I$88,3,0)*VLOOKUP('Données projet'!$B$12,Paramètres!$A$1:$I$88,5,0)</f>
        <v>209.53295999999992</v>
      </c>
      <c r="CA77" s="14">
        <f t="shared" si="93"/>
        <v>51.833512486481077</v>
      </c>
      <c r="CB77" s="22">
        <f t="shared" si="64"/>
        <v>455.21327291395437</v>
      </c>
      <c r="CC77" s="62">
        <f t="shared" si="65"/>
        <v>740.26119585126139</v>
      </c>
      <c r="CD77" s="62">
        <f ca="1">AVERAGE(OFFSET($CC$3,0,0,'Données projet'!$E$12+1,1))-AVERAGE(OFFSET($H$3,0,0,'Données projet'!$E$12+1,1))</f>
        <v>305.38855494899906</v>
      </c>
      <c r="CE77" s="62">
        <f t="shared" si="94"/>
        <v>298.48106301229177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projet'!$B$12,Paramètres!$A$1:$I$88,3,0)*0.475*44/12</f>
        <v>12.367832373818603</v>
      </c>
      <c r="CL77" s="23">
        <f>EXP(-LN(2)/25)*CL76+(1-EXP(-LN(2)/25))/(LN(2)/25)*Calculateur!CG77*Calculateur!CI77*VLOOKUP('Données projet'!$B$12,Paramètres!$A$1:$I$88,3,0)*0.475*44/12</f>
        <v>0</v>
      </c>
      <c r="CM77" s="23">
        <f>EXP(-LN(2)/2)*CM76+(1-EXP(-LN(2)/2))/(LN(2)/2)*CG77*CJ77*VLOOKUP('Données projet'!$B$12,Paramètres!$A$1:$I$88,3,0)*0.475*44/12</f>
        <v>0</v>
      </c>
      <c r="CN77" s="24">
        <f t="shared" si="66"/>
        <v>12.367832373818603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67.740342619265576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4.2</v>
      </c>
      <c r="CT77" s="13">
        <f>IF('Données projet'!$A$140&gt;35,CT76+CS77-DB76,IF(A77&lt;'Données projet'!$A$140,$CQ$205^A77,IF(A77='Données projet'!$A$140,'Données projet'!$B$140,CT76+CS77-DB76)))</f>
        <v>319.7999999999999</v>
      </c>
      <c r="CU77" s="18">
        <f>CT77*VLOOKUP('Données projet'!$B$13,Paramètres!$A$1:$I$88,3,0)*VLOOKUP('Données projet'!$B$13,Paramètres!$A$1:$I$88,5,0)</f>
        <v>254.43287999999995</v>
      </c>
      <c r="CV77" s="14">
        <f t="shared" si="95"/>
        <v>61.534202204620392</v>
      </c>
      <c r="CW77" s="22">
        <f t="shared" si="67"/>
        <v>550.30933483971376</v>
      </c>
      <c r="CX77" s="62">
        <f t="shared" si="68"/>
        <v>835.35725777702078</v>
      </c>
      <c r="CY77" s="62">
        <f ca="1">AVERAGE(OFFSET($CX$3,0,0,'Données projet'!$E$13+1,1))-AVERAGE(OFFSET($H$3,0,0,'Données projet'!$E$13+1,1))</f>
        <v>361.30066984973894</v>
      </c>
      <c r="CZ77" s="62">
        <f t="shared" si="96"/>
        <v>351.78053157121622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projet'!$B$13,Paramètres!$A$1:$I$88,3,0)*0.475*44/12</f>
        <v>18.51065941662884</v>
      </c>
      <c r="DG77" s="23">
        <f>EXP(-LN(2)/25)*DG76+(1-EXP(-LN(2)/25))/(LN(2)/25)*Calculateur!DB77*Calculateur!DD77*VLOOKUP('Données projet'!$B$13,Paramètres!$A$1:$I$88,3,0)*0.475*44/12</f>
        <v>0</v>
      </c>
      <c r="DH77" s="23">
        <f>EXP(-LN(2)/2)*DH76+(1-EXP(-LN(2)/2))/(LN(2)/2)*DB77*DE77*VLOOKUP('Données projet'!$B$13,Paramètres!$A$1:$I$88,3,0)*0.475*44/12</f>
        <v>0</v>
      </c>
      <c r="DI77" s="24">
        <f t="shared" si="69"/>
        <v>18.51065941662884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67.740342619265576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>
        <f>DO77*VLOOKUP('Données projet'!$B$14,Paramètres!$A$1:$I$88,3,0)*VLOOKUP('Données projet'!$B$14,Paramètres!$A$1:$I$88,5,0)</f>
        <v>0</v>
      </c>
      <c r="DQ77" s="14" t="e">
        <f t="shared" si="97"/>
        <v>#NUM!</v>
      </c>
      <c r="DR77" s="22" t="e">
        <f t="shared" si="70"/>
        <v>#NUM!</v>
      </c>
      <c r="DS77" s="62" t="e">
        <f t="shared" si="71"/>
        <v>#NUM!</v>
      </c>
      <c r="DT77" s="62">
        <f ca="1">AVERAGE(OFFSET($DS$3,0,0,'Données projet'!$E$14+1,1))-AVERAGE(OFFSET($H$3,0,0,'Données projet'!$E$14+1,1))</f>
        <v>91.201152634762423</v>
      </c>
      <c r="DU77" s="62">
        <f t="shared" si="98"/>
        <v>233.36981992862445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projet'!$B$14,Paramètres!$A$1:$I$88,3,0)*0.475*44/12</f>
        <v>17.344368271941388</v>
      </c>
      <c r="EB77" s="23">
        <f>EXP(-LN(2)/25)*EB76+(1-EXP(-LN(2)/25))/(LN(2)/25)*Calculateur!DW77*Calculateur!DY77*VLOOKUP('Données projet'!$B$14,Paramètres!$A$1:$I$88,3,0)*0.475*44/12</f>
        <v>0</v>
      </c>
      <c r="EC77" s="23">
        <f>EXP(-LN(2)/2)*EC76+(1-EXP(-LN(2)/2))/(LN(2)/2)*DW77*DZ77*VLOOKUP('Données projet'!$B$14,Paramètres!$A$1:$I$88,3,0)*0.475*44/12</f>
        <v>0</v>
      </c>
      <c r="ED77" s="24">
        <f t="shared" si="72"/>
        <v>17.344368271941388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67.740342619265576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projet'!$B$15,Paramètres!$A$1:$I$88,3,0)*0.475*44/12</f>
        <v>#N/A</v>
      </c>
      <c r="EW77" s="23" t="e">
        <f>EXP(-LN(2)/25)*EW76+(1-EXP(-LN(2)/25))/(LN(2)/25)*Calculateur!ER77*Calculateur!ET77*VLOOKUP('Données projet'!$B$15,Paramètres!$A$1:$I$88,3,0)*0.475*44/12</f>
        <v>#N/A</v>
      </c>
      <c r="EX77" s="23" t="e">
        <f>EXP(-LN(2)/2)*EX76+(1-EXP(-LN(2)/2))/(LN(2)/2)*ER77*EU77*VLOOKUP('Données projet'!$B$15,Paramètres!$A$1:$I$88,3,0)*0.475*44/12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67.740342619265576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projet'!$B$16,Paramètres!$A$1:$I$88,3,0)*0.475*44/12</f>
        <v>#N/A</v>
      </c>
      <c r="FR77" s="23" t="e">
        <f>EXP(-LN(2)/25)*FR76+(1-EXP(-LN(2)/25))/(LN(2)/25)*Calculateur!FM77*Calculateur!FO77*VLOOKUP('Données projet'!$B$16,Paramètres!$A$1:$I$88,3,0)*0.475*44/12</f>
        <v>#N/A</v>
      </c>
      <c r="FS77" s="23" t="e">
        <f>EXP(-LN(2)/2)*FS76+(1-EXP(-LN(2)/2))/(LN(2)/2)*FM77*FP77*VLOOKUP('Données projet'!$B$16,Paramètres!$A$1:$I$88,3,0)*0.475*44/12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67.740342619265576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projet'!$B$17,Paramètres!$A$1:$I$88,3,0)*0.475*44/12</f>
        <v>#N/A</v>
      </c>
      <c r="GM77" s="23" t="e">
        <f>EXP(-LN(2)/25)*GM76+(1-EXP(-LN(2)/25))/(LN(2)/25)*Calculateur!GH77*Calculateur!GJ77*VLOOKUP('Données projet'!$B$17,Paramètres!$A$1:$I$88,3,0)*0.475*44/12</f>
        <v>#N/A</v>
      </c>
      <c r="GN77" s="23" t="e">
        <f>EXP(-LN(2)/2)*GN76+(1-EXP(-LN(2)/2))/(LN(2)/2)*GH77*GK77*VLOOKUP('Données projet'!$B$17,Paramètres!$A$1:$I$88,3,0)*0.475*44/12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67.740342619265576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projet'!$B$18,Paramètres!$A$1:$I$88,3,0)*0.475*44/12</f>
        <v>#N/A</v>
      </c>
      <c r="HH77" s="23" t="e">
        <f>EXP(-LN(2)/25)*HH76+(1-EXP(-LN(2)/25))/(LN(2)/25)*Calculateur!HC77*Calculateur!HE77*VLOOKUP('Données projet'!$B$18,Paramètres!$A$1:$I$88,3,0)*0.475*44/12</f>
        <v>#N/A</v>
      </c>
      <c r="HI77" s="23" t="e">
        <f>EXP(-LN(2)/2)*HI76+(1-EXP(-LN(2)/2))/(LN(2)/2)*HC77*HF77*VLOOKUP('Données projet'!$B$18,Paramètres!$A$1:$I$88,3,0)*0.475*44/12</f>
        <v>#N/A</v>
      </c>
      <c r="HJ77" s="24" t="e">
        <f t="shared" si="84"/>
        <v>#N/A</v>
      </c>
    </row>
    <row r="78" spans="1:218" s="5" customFormat="1" x14ac:dyDescent="0.2">
      <c r="A78" s="11">
        <f t="shared" si="85"/>
        <v>75</v>
      </c>
      <c r="B78" s="77">
        <f>'Scénario référence'!$B$16*5+'Scénario référence'!$B$17*0+'Scénario référence'!$B$18*5</f>
        <v>1.6500000000000001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6.0500000000000007</v>
      </c>
      <c r="H78" s="70">
        <f t="shared" si="56"/>
        <v>232.4666666666667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67.779542622984238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projet'!$B$9,Paramètres!$A$1:$I$88,3,0)*VLOOKUP('Données projet'!$B$9,Paramètres!$A$1:$I$88,5,0)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285.19165628427754</v>
      </c>
      <c r="S78" s="62">
        <f ca="1">AVERAGE(OFFSET($R$3,0,0,'Données projet'!$E$9+1,1))-AVERAGE(OFFSET($H$3,0,0,'Données projet'!$E$9+1,1))</f>
        <v>354.71367224254021</v>
      </c>
      <c r="T78" s="62">
        <f t="shared" si="88"/>
        <v>490.074370133397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128.71888193370125</v>
      </c>
      <c r="AA78" s="23">
        <f>EXP(-LN(2)/25)*AA77+(1-EXP(-LN(2)/25))/(LN(2)/25)*Calculateur!V78*Calculateur!X78*VLOOKUP('Données projet'!$B$9,Paramètres!$A$1:$I$88,3,0)*0.475*44/12</f>
        <v>24.441961927359134</v>
      </c>
      <c r="AB78" s="23">
        <f>EXP(-LN(2)/2)*AB77+(1-EXP(-LN(2)/2))/(LN(2)/2)*V78*Y78*VLOOKUP('Données projet'!$B$9,Paramètres!$A$1:$I$88,3,0)*0.475*44/12</f>
        <v>3.1444792448300056E-3</v>
      </c>
      <c r="AC78" s="24">
        <f t="shared" si="57"/>
        <v>153.16398834030522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67.779542622984238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2.2737367544323206E-13</v>
      </c>
      <c r="AJ78" s="14">
        <f>AI78*VLOOKUP('Données projet'!$B$10,Paramètres!$A$1:$I$88,3,0)*VLOOKUP('Données projet'!$B$10,Paramètres!$A$1:$I$88,5,0)</f>
        <v>1.3596945791505279E-13</v>
      </c>
      <c r="AK78" s="14">
        <f t="shared" si="89"/>
        <v>1.9708830566360721E-12</v>
      </c>
      <c r="AL78" s="22">
        <f t="shared" si="58"/>
        <v>3.669434796176543E-12</v>
      </c>
      <c r="AM78" s="62">
        <f t="shared" si="59"/>
        <v>285.19165628427925</v>
      </c>
      <c r="AN78" s="62">
        <f ca="1">AVERAGE(OFFSET($AM$3,0,0,'Données projet'!$E$10+1,1))-AVERAGE(OFFSET($H$3,0,0,'Données projet'!$E$10+1,1))</f>
        <v>264.73276096087574</v>
      </c>
      <c r="AO78" s="62">
        <f t="shared" si="90"/>
        <v>381.84464918049662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projet'!$B$10,Paramètres!$A$1:$I$88,3,0)*0.475*44/12</f>
        <v>90.271369818207319</v>
      </c>
      <c r="AV78" s="23">
        <f>EXP(-LN(2)/25)*AV77+(1-EXP(-LN(2)/25))/(LN(2)/25)*Calculateur!AQ78*Calculateur!AS78*VLOOKUP('Données projet'!$B$10,Paramètres!$A$1:$I$88,3,0)*0.475*44/12</f>
        <v>17.171264419296445</v>
      </c>
      <c r="AW78" s="23">
        <f>EXP(-LN(2)/2)*AW77+(1-EXP(-LN(2)/2))/(LN(2)/2)*AQ78*AT78*VLOOKUP('Données projet'!$B$10,Paramètres!$A$1:$I$88,3,0)*0.475*44/12</f>
        <v>2.2017904220938077E-3</v>
      </c>
      <c r="AX78" s="23">
        <f t="shared" si="60"/>
        <v>107.44483602792586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67.779542622984238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252</v>
      </c>
      <c r="BB78" s="13">
        <f>VLOOKUP(A78,'Données projet'!$A$87:$I$107,9,0)</f>
        <v>6.2</v>
      </c>
      <c r="BC78" s="13">
        <f t="array" ref="BC78">INDEX(BB:BB,MIN(IF(ISNUMBER(BB78:BB274),ROW(BB78:BB274),"")))</f>
        <v>6.2</v>
      </c>
      <c r="BD78" s="13">
        <f>IF('Données projet'!$A$88&gt;35,BD77+BC78-BL77,IF(A78&lt;'Données projet'!$A$88,$BA$205^A78,IF(A78='Données projet'!$A$88,'Données projet'!$B$88,BD77+BC78-BL77)))</f>
        <v>251.99999999999991</v>
      </c>
      <c r="BE78" s="14">
        <f>BD78*VLOOKUP('Données projet'!$B$11,Paramètres!$A$1:$I$88,3,0)*VLOOKUP('Données projet'!$B$11,Paramètres!$A$1:$I$88,5,0)</f>
        <v>286.97759999999988</v>
      </c>
      <c r="BF78" s="14">
        <f t="shared" si="91"/>
        <v>68.43945728851196</v>
      </c>
      <c r="BG78" s="22">
        <f t="shared" si="61"/>
        <v>619.01804144415814</v>
      </c>
      <c r="BH78" s="62">
        <f t="shared" si="62"/>
        <v>904.20969772843364</v>
      </c>
      <c r="BI78" s="62">
        <f ca="1">AVERAGE(OFFSET($BH$3,0,0,'Données projet'!$E$11+1,1))-AVERAGE(OFFSET($H$3,0,0,'Données projet'!$E$11+1,1))</f>
        <v>470.57532875732056</v>
      </c>
      <c r="BJ78" s="62">
        <f t="shared" si="92"/>
        <v>286.63787681165888</v>
      </c>
      <c r="BK78" s="16">
        <f>IF(ISNA(VLOOKUP(A78,'Données projet'!$A$87:$I$107,3,0)),0,VLOOKUP(A78,'Données projet'!$A$87:$I$107,3,0))</f>
        <v>12</v>
      </c>
      <c r="BL78" s="16">
        <f>IF(ISNA(VLOOKUP(A78,'Données projet'!$A$87:$I$107,4,0)),0,VLOOKUP(A78,'Données projet'!$A$87:$I$107,4,0))</f>
        <v>21</v>
      </c>
      <c r="BM78" s="17">
        <f>IF(ISNA(VLOOKUP(A78,'Données projet'!$A$87:$I$107,5,0)),0%,VLOOKUP(A78,'Données projet'!$A$87:$I$107,5,0)*VLOOKUP('Données projet'!$B$11,Paramètres!$A$1:$I$88,7,0))</f>
        <v>0.17200000000000001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projet'!$B$11,Paramètres!$A$1:$I$88,3,0)*0.475*44/12</f>
        <v>19.304941225788731</v>
      </c>
      <c r="BQ78" s="23">
        <f>EXP(-LN(2)/25)*BQ77+(1-EXP(-LN(2)/25))/(LN(2)/25)*Calculateur!BL78*Calculateur!BN78*VLOOKUP('Données projet'!$B$11,Paramètres!$A$1:$I$88,3,0)*0.475*44/12</f>
        <v>0</v>
      </c>
      <c r="BR78" s="23">
        <f>EXP(-LN(2)/2)*BR77+(1-EXP(-LN(2)/2))/(LN(2)/2)*BL78*BO78*VLOOKUP('Données projet'!$B$11,Paramètres!$A$1:$I$88,3,0)*0.475*44/12</f>
        <v>0</v>
      </c>
      <c r="BS78" s="24">
        <f t="shared" si="63"/>
        <v>19.304941225788731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67.779542622984238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324</v>
      </c>
      <c r="BW78" s="13">
        <f>VLOOKUP(A78,'Données projet'!$A$113:$I$133,9,0)</f>
        <v>4.2</v>
      </c>
      <c r="BX78" s="13">
        <f t="array" ref="BX78">INDEX(BW:BW,MIN(IF(ISNUMBER(BW78:BW274),ROW(BW78:BW274),"")))</f>
        <v>4.2</v>
      </c>
      <c r="BY78" s="13">
        <f>IF('Données projet'!$A$114&gt;35,BY77+BX78-CG77,IF(A78&lt;'Données projet'!$A$114,$BV$205^A78,IF(A78='Données projet'!$A$114,'Données projet'!$B$114,BY77+BX78-CG77)))</f>
        <v>323.99999999999989</v>
      </c>
      <c r="BZ78" s="14">
        <f>BY78*VLOOKUP('Données projet'!$B$12,Paramètres!$A$1:$I$88,3,0)*VLOOKUP('Données projet'!$B$12,Paramètres!$A$1:$I$88,5,0)</f>
        <v>212.28479999999993</v>
      </c>
      <c r="CA78" s="14">
        <f t="shared" si="93"/>
        <v>52.434557099704143</v>
      </c>
      <c r="CB78" s="22">
        <f t="shared" si="64"/>
        <v>461.05288028198464</v>
      </c>
      <c r="CC78" s="62">
        <f t="shared" si="65"/>
        <v>746.24453656626019</v>
      </c>
      <c r="CD78" s="62">
        <f ca="1">AVERAGE(OFFSET($CC$3,0,0,'Données projet'!$E$12+1,1))-AVERAGE(OFFSET($H$3,0,0,'Données projet'!$E$12+1,1))</f>
        <v>305.38855494899906</v>
      </c>
      <c r="CE78" s="62">
        <f t="shared" si="94"/>
        <v>298.48106301229177</v>
      </c>
      <c r="CF78" s="16">
        <f>IF(ISNA(VLOOKUP(A78,'Données projet'!$A$113:$I$133,3,0)),0,VLOOKUP(A78,'Données projet'!$A$113:$I$133,3,0))</f>
        <v>14</v>
      </c>
      <c r="CG78" s="16">
        <f>IF(ISNA(VLOOKUP(A78,'Données projet'!$A$113:$I$133,4,0)),0,VLOOKUP(A78,'Données projet'!$A$113:$I$133,4,0))</f>
        <v>11</v>
      </c>
      <c r="CH78" s="17">
        <f>IF(ISNA(VLOOKUP(A78,'Données projet'!$A$113:$I$133,5,0)),0%,VLOOKUP(A78,'Données projet'!$A$113:$I$133,5,0)*VLOOKUP('Données projet'!$B$12,Paramètres!$A$1:$I$88,7,0))</f>
        <v>0.25800000000000001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projet'!$B$12,Paramètres!$A$1:$I$88,3,0)*0.475*44/12</f>
        <v>14.180882023398325</v>
      </c>
      <c r="CL78" s="23">
        <f>EXP(-LN(2)/25)*CL77+(1-EXP(-LN(2)/25))/(LN(2)/25)*Calculateur!CG78*Calculateur!CI78*VLOOKUP('Données projet'!$B$12,Paramètres!$A$1:$I$88,3,0)*0.475*44/12</f>
        <v>0</v>
      </c>
      <c r="CM78" s="23">
        <f>EXP(-LN(2)/2)*CM77+(1-EXP(-LN(2)/2))/(LN(2)/2)*CG78*CJ78*VLOOKUP('Données projet'!$B$12,Paramètres!$A$1:$I$88,3,0)*0.475*44/12</f>
        <v>0</v>
      </c>
      <c r="CN78" s="24">
        <f t="shared" si="66"/>
        <v>14.180882023398325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67.779542622984238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324</v>
      </c>
      <c r="CR78" s="13">
        <f>VLOOKUP(A78,'Données projet'!$A$139:$I$159,9,0)</f>
        <v>4.2</v>
      </c>
      <c r="CS78" s="13">
        <f t="array" ref="CS78">INDEX(CR:CR,MIN(IF(ISNUMBER(CR78:CR274),ROW(CR78:CR274),"")))</f>
        <v>4.2</v>
      </c>
      <c r="CT78" s="13">
        <f>IF('Données projet'!$A$140&gt;35,CT77+CS78-DB77,IF(A78&lt;'Données projet'!$A$140,$CQ$205^A78,IF(A78='Données projet'!$A$140,'Données projet'!$B$140,CT77+CS78-DB77)))</f>
        <v>323.99999999999989</v>
      </c>
      <c r="CU78" s="18">
        <f>CT78*VLOOKUP('Données projet'!$B$13,Paramètres!$A$1:$I$88,3,0)*VLOOKUP('Données projet'!$B$13,Paramètres!$A$1:$I$88,5,0)</f>
        <v>257.77439999999996</v>
      </c>
      <c r="CV78" s="14">
        <f t="shared" si="95"/>
        <v>62.247732872134293</v>
      </c>
      <c r="CW78" s="22">
        <f t="shared" si="67"/>
        <v>557.37188141896718</v>
      </c>
      <c r="CX78" s="62">
        <f t="shared" si="68"/>
        <v>842.56353770324267</v>
      </c>
      <c r="CY78" s="62">
        <f ca="1">AVERAGE(OFFSET($CX$3,0,0,'Données projet'!$E$13+1,1))-AVERAGE(OFFSET($H$3,0,0,'Données projet'!$E$13+1,1))</f>
        <v>361.30066984973894</v>
      </c>
      <c r="CZ78" s="62">
        <f t="shared" si="96"/>
        <v>351.78053157121622</v>
      </c>
      <c r="DA78" s="16">
        <f>IF(ISNA(VLOOKUP(A78,'Données projet'!$A$139:$I$159,3,0)),0,VLOOKUP(A78,'Données projet'!$A$139:$I$159,3,0))</f>
        <v>14</v>
      </c>
      <c r="DB78" s="16">
        <f>IF(ISNA(VLOOKUP(A78,'Données projet'!$A$139:$I$159,4,0)),0,VLOOKUP(A78,'Données projet'!$A$139:$I$159,4,0))</f>
        <v>11</v>
      </c>
      <c r="DC78" s="17">
        <f>IF(ISNA(VLOOKUP(A78,'Données projet'!$A$139:$I$159,5,0)),0%,VLOOKUP(A78,'Données projet'!$A$139:$I$159,5,0)*VLOOKUP('Données projet'!$B$13,Paramètres!$A$1:$I$88,7,0))</f>
        <v>0.318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projet'!$B$13,Paramètres!$A$1:$I$88,3,0)*0.475*44/12</f>
        <v>21.2242104702357</v>
      </c>
      <c r="DG78" s="23">
        <f>EXP(-LN(2)/25)*DG77+(1-EXP(-LN(2)/25))/(LN(2)/25)*Calculateur!DB78*Calculateur!DD78*VLOOKUP('Données projet'!$B$13,Paramètres!$A$1:$I$88,3,0)*0.475*44/12</f>
        <v>0</v>
      </c>
      <c r="DH78" s="23">
        <f>EXP(-LN(2)/2)*DH77+(1-EXP(-LN(2)/2))/(LN(2)/2)*DB78*DE78*VLOOKUP('Données projet'!$B$13,Paramètres!$A$1:$I$88,3,0)*0.475*44/12</f>
        <v>0</v>
      </c>
      <c r="DI78" s="24">
        <f t="shared" si="69"/>
        <v>21.2242104702357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67.779542622984238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>
        <f>DO78*VLOOKUP('Données projet'!$B$14,Paramètres!$A$1:$I$88,3,0)*VLOOKUP('Données projet'!$B$14,Paramètres!$A$1:$I$88,5,0)</f>
        <v>0</v>
      </c>
      <c r="DQ78" s="14" t="e">
        <f t="shared" si="97"/>
        <v>#NUM!</v>
      </c>
      <c r="DR78" s="22" t="e">
        <f t="shared" si="70"/>
        <v>#NUM!</v>
      </c>
      <c r="DS78" s="62" t="e">
        <f t="shared" si="71"/>
        <v>#NUM!</v>
      </c>
      <c r="DT78" s="62">
        <f ca="1">AVERAGE(OFFSET($DS$3,0,0,'Données projet'!$E$14+1,1))-AVERAGE(OFFSET($H$3,0,0,'Données projet'!$E$14+1,1))</f>
        <v>91.201152634762423</v>
      </c>
      <c r="DU78" s="62">
        <f t="shared" si="98"/>
        <v>233.36981992862445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projet'!$B$14,Paramètres!$A$1:$I$88,3,0)*0.475*44/12</f>
        <v>17.004255789148672</v>
      </c>
      <c r="EB78" s="23">
        <f>EXP(-LN(2)/25)*EB77+(1-EXP(-LN(2)/25))/(LN(2)/25)*Calculateur!DW78*Calculateur!DY78*VLOOKUP('Données projet'!$B$14,Paramètres!$A$1:$I$88,3,0)*0.475*44/12</f>
        <v>0</v>
      </c>
      <c r="EC78" s="23">
        <f>EXP(-LN(2)/2)*EC77+(1-EXP(-LN(2)/2))/(LN(2)/2)*DW78*DZ78*VLOOKUP('Données projet'!$B$14,Paramètres!$A$1:$I$88,3,0)*0.475*44/12</f>
        <v>0</v>
      </c>
      <c r="ED78" s="24">
        <f t="shared" si="72"/>
        <v>17.004255789148672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67.779542622984238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projet'!$B$15,Paramètres!$A$1:$I$88,3,0)*0.475*44/12</f>
        <v>#N/A</v>
      </c>
      <c r="EW78" s="23" t="e">
        <f>EXP(-LN(2)/25)*EW77+(1-EXP(-LN(2)/25))/(LN(2)/25)*Calculateur!ER78*Calculateur!ET78*VLOOKUP('Données projet'!$B$15,Paramètres!$A$1:$I$88,3,0)*0.475*44/12</f>
        <v>#N/A</v>
      </c>
      <c r="EX78" s="23" t="e">
        <f>EXP(-LN(2)/2)*EX77+(1-EXP(-LN(2)/2))/(LN(2)/2)*ER78*EU78*VLOOKUP('Données projet'!$B$15,Paramètres!$A$1:$I$88,3,0)*0.475*44/12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67.779542622984238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projet'!$B$16,Paramètres!$A$1:$I$88,3,0)*0.475*44/12</f>
        <v>#N/A</v>
      </c>
      <c r="FR78" s="23" t="e">
        <f>EXP(-LN(2)/25)*FR77+(1-EXP(-LN(2)/25))/(LN(2)/25)*Calculateur!FM78*Calculateur!FO78*VLOOKUP('Données projet'!$B$16,Paramètres!$A$1:$I$88,3,0)*0.475*44/12</f>
        <v>#N/A</v>
      </c>
      <c r="FS78" s="23" t="e">
        <f>EXP(-LN(2)/2)*FS77+(1-EXP(-LN(2)/2))/(LN(2)/2)*FM78*FP78*VLOOKUP('Données projet'!$B$16,Paramètres!$A$1:$I$88,3,0)*0.475*44/12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67.779542622984238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projet'!$B$17,Paramètres!$A$1:$I$88,3,0)*0.475*44/12</f>
        <v>#N/A</v>
      </c>
      <c r="GM78" s="23" t="e">
        <f>EXP(-LN(2)/25)*GM77+(1-EXP(-LN(2)/25))/(LN(2)/25)*Calculateur!GH78*Calculateur!GJ78*VLOOKUP('Données projet'!$B$17,Paramètres!$A$1:$I$88,3,0)*0.475*44/12</f>
        <v>#N/A</v>
      </c>
      <c r="GN78" s="23" t="e">
        <f>EXP(-LN(2)/2)*GN77+(1-EXP(-LN(2)/2))/(LN(2)/2)*GH78*GK78*VLOOKUP('Données projet'!$B$17,Paramètres!$A$1:$I$88,3,0)*0.475*44/12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67.779542622984238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projet'!$B$18,Paramètres!$A$1:$I$88,3,0)*0.475*44/12</f>
        <v>#N/A</v>
      </c>
      <c r="HH78" s="23" t="e">
        <f>EXP(-LN(2)/25)*HH77+(1-EXP(-LN(2)/25))/(LN(2)/25)*Calculateur!HC78*Calculateur!HE78*VLOOKUP('Données projet'!$B$18,Paramètres!$A$1:$I$88,3,0)*0.475*44/12</f>
        <v>#N/A</v>
      </c>
      <c r="HI78" s="23" t="e">
        <f>EXP(-LN(2)/2)*HI77+(1-EXP(-LN(2)/2))/(LN(2)/2)*HC78*HF78*VLOOKUP('Données projet'!$B$18,Paramètres!$A$1:$I$88,3,0)*0.475*44/12</f>
        <v>#N/A</v>
      </c>
      <c r="HJ78" s="24" t="e">
        <f t="shared" si="84"/>
        <v>#N/A</v>
      </c>
    </row>
    <row r="79" spans="1:218" s="5" customFormat="1" x14ac:dyDescent="0.2">
      <c r="A79" s="11">
        <f t="shared" si="85"/>
        <v>76</v>
      </c>
      <c r="B79" s="77">
        <f>'Scénario référence'!$B$16*5+'Scénario référence'!$B$17*0+'Scénario référence'!$B$18*5</f>
        <v>1.6500000000000001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6.0500000000000007</v>
      </c>
      <c r="H79" s="70">
        <f t="shared" si="56"/>
        <v>232.4666666666667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67.818062594276455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projet'!$B$9,Paramètres!$A$1:$I$88,3,0)*VLOOKUP('Données projet'!$B$9,Paramètres!$A$1:$I$88,5,0)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285.33289617901568</v>
      </c>
      <c r="S79" s="62">
        <f ca="1">AVERAGE(OFFSET($R$3,0,0,'Données projet'!$E$9+1,1))-AVERAGE(OFFSET($H$3,0,0,'Données projet'!$E$9+1,1))</f>
        <v>354.71367224254021</v>
      </c>
      <c r="T79" s="62">
        <f t="shared" si="88"/>
        <v>490.074370133397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126.19478316974705</v>
      </c>
      <c r="AA79" s="23">
        <f>EXP(-LN(2)/25)*AA78+(1-EXP(-LN(2)/25))/(LN(2)/25)*Calculateur!V79*Calculateur!X79*VLOOKUP('Données projet'!$B$9,Paramètres!$A$1:$I$88,3,0)*0.475*44/12</f>
        <v>23.773595193108584</v>
      </c>
      <c r="AB79" s="23">
        <f>EXP(-LN(2)/2)*AB78+(1-EXP(-LN(2)/2))/(LN(2)/2)*V79*Y79*VLOOKUP('Données projet'!$B$9,Paramètres!$A$1:$I$88,3,0)*0.475*44/12</f>
        <v>2.2234825973196509E-3</v>
      </c>
      <c r="AC79" s="24">
        <f t="shared" si="57"/>
        <v>149.97060184545296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67.818062594276455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2.2737367544323206E-13</v>
      </c>
      <c r="AJ79" s="14">
        <f>AI79*VLOOKUP('Données projet'!$B$10,Paramètres!$A$1:$I$88,3,0)*VLOOKUP('Données projet'!$B$10,Paramètres!$A$1:$I$88,5,0)</f>
        <v>1.3596945791505279E-13</v>
      </c>
      <c r="AK79" s="14">
        <f t="shared" si="89"/>
        <v>1.9708830566360721E-12</v>
      </c>
      <c r="AL79" s="22">
        <f t="shared" si="58"/>
        <v>3.669434796176543E-12</v>
      </c>
      <c r="AM79" s="62">
        <f t="shared" si="59"/>
        <v>285.33289617901738</v>
      </c>
      <c r="AN79" s="62">
        <f ca="1">AVERAGE(OFFSET($AM$3,0,0,'Données projet'!$E$10+1,1))-AVERAGE(OFFSET($H$3,0,0,'Données projet'!$E$10+1,1))</f>
        <v>264.73276096087574</v>
      </c>
      <c r="AO79" s="62">
        <f t="shared" si="90"/>
        <v>381.84464918049662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projet'!$B$10,Paramètres!$A$1:$I$88,3,0)*0.475*44/12</f>
        <v>88.501203316171129</v>
      </c>
      <c r="AV79" s="23">
        <f>EXP(-LN(2)/25)*AV78+(1-EXP(-LN(2)/25))/(LN(2)/25)*Calculateur!AQ79*Calculateur!AS79*VLOOKUP('Données projet'!$B$10,Paramètres!$A$1:$I$88,3,0)*0.475*44/12</f>
        <v>16.701715290753235</v>
      </c>
      <c r="AW79" s="23">
        <f>EXP(-LN(2)/2)*AW78+(1-EXP(-LN(2)/2))/(LN(2)/2)*AQ79*AT79*VLOOKUP('Données projet'!$B$10,Paramètres!$A$1:$I$88,3,0)*0.475*44/12</f>
        <v>1.5569009382141222E-3</v>
      </c>
      <c r="AX79" s="23">
        <f t="shared" si="60"/>
        <v>105.20447550786257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67.818062594276455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</v>
      </c>
      <c r="BD79" s="13">
        <f>IF('Données projet'!$A$88&gt;35,BD78+BC79-BL78,IF(A79&lt;'Données projet'!$A$88,$BA$205^A79,IF(A79='Données projet'!$A$88,'Données projet'!$B$88,BD78+BC79-BL78)))</f>
        <v>236.99999999999989</v>
      </c>
      <c r="BE79" s="14">
        <f>BD79*VLOOKUP('Données projet'!$B$11,Paramètres!$A$1:$I$88,3,0)*VLOOKUP('Données projet'!$B$11,Paramètres!$A$1:$I$88,5,0)</f>
        <v>269.89559999999989</v>
      </c>
      <c r="BF79" s="14">
        <f t="shared" si="91"/>
        <v>64.827112474282018</v>
      </c>
      <c r="BG79" s="22">
        <f t="shared" si="61"/>
        <v>582.97539089270765</v>
      </c>
      <c r="BH79" s="62">
        <f t="shared" si="62"/>
        <v>868.30828707172134</v>
      </c>
      <c r="BI79" s="62">
        <f ca="1">AVERAGE(OFFSET($BH$3,0,0,'Données projet'!$E$11+1,1))-AVERAGE(OFFSET($H$3,0,0,'Données projet'!$E$11+1,1))</f>
        <v>470.57532875732056</v>
      </c>
      <c r="BJ79" s="62">
        <f t="shared" si="92"/>
        <v>286.63787681165888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projet'!$B$11,Paramètres!$A$1:$I$88,3,0)*0.475*44/12</f>
        <v>18.926383103202493</v>
      </c>
      <c r="BQ79" s="23">
        <f>EXP(-LN(2)/25)*BQ78+(1-EXP(-LN(2)/25))/(LN(2)/25)*Calculateur!BL79*Calculateur!BN79*VLOOKUP('Données projet'!$B$11,Paramètres!$A$1:$I$88,3,0)*0.475*44/12</f>
        <v>0</v>
      </c>
      <c r="BR79" s="23">
        <f>EXP(-LN(2)/2)*BR78+(1-EXP(-LN(2)/2))/(LN(2)/2)*BL79*BO79*VLOOKUP('Données projet'!$B$11,Paramètres!$A$1:$I$88,3,0)*0.475*44/12</f>
        <v>0</v>
      </c>
      <c r="BS79" s="24">
        <f t="shared" si="63"/>
        <v>18.926383103202493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67.818062594276455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3.4</v>
      </c>
      <c r="BY79" s="13">
        <f>IF('Données projet'!$A$114&gt;35,BY78+BX79-CG78,IF(A79&lt;'Données projet'!$A$114,$BV$205^A79,IF(A79='Données projet'!$A$114,'Données projet'!$B$114,BY78+BX79-CG78)))</f>
        <v>316.39999999999986</v>
      </c>
      <c r="BZ79" s="14">
        <f>BY79*VLOOKUP('Données projet'!$B$12,Paramètres!$A$1:$I$88,3,0)*VLOOKUP('Données projet'!$B$12,Paramètres!$A$1:$I$88,5,0)</f>
        <v>207.30527999999993</v>
      </c>
      <c r="CA79" s="14">
        <f t="shared" si="93"/>
        <v>51.346279688817212</v>
      </c>
      <c r="CB79" s="22">
        <f t="shared" si="64"/>
        <v>450.48479979135647</v>
      </c>
      <c r="CC79" s="62">
        <f t="shared" si="65"/>
        <v>735.8176959703701</v>
      </c>
      <c r="CD79" s="62">
        <f ca="1">AVERAGE(OFFSET($CC$3,0,0,'Données projet'!$E$12+1,1))-AVERAGE(OFFSET($H$3,0,0,'Données projet'!$E$12+1,1))</f>
        <v>305.38855494899906</v>
      </c>
      <c r="CE79" s="62">
        <f t="shared" si="94"/>
        <v>298.48106301229177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projet'!$B$12,Paramètres!$A$1:$I$88,3,0)*0.475*44/12</f>
        <v>13.902803576403453</v>
      </c>
      <c r="CL79" s="23">
        <f>EXP(-LN(2)/25)*CL78+(1-EXP(-LN(2)/25))/(LN(2)/25)*Calculateur!CG79*Calculateur!CI79*VLOOKUP('Données projet'!$B$12,Paramètres!$A$1:$I$88,3,0)*0.475*44/12</f>
        <v>0</v>
      </c>
      <c r="CM79" s="23">
        <f>EXP(-LN(2)/2)*CM78+(1-EXP(-LN(2)/2))/(LN(2)/2)*CG79*CJ79*VLOOKUP('Données projet'!$B$12,Paramètres!$A$1:$I$88,3,0)*0.475*44/12</f>
        <v>0</v>
      </c>
      <c r="CN79" s="24">
        <f t="shared" si="66"/>
        <v>13.902803576403453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67.818062594276455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3.4</v>
      </c>
      <c r="CT79" s="13">
        <f>IF('Données projet'!$A$140&gt;35,CT78+CS79-DB78,IF(A79&lt;'Données projet'!$A$140,$CQ$205^A79,IF(A79='Données projet'!$A$140,'Données projet'!$B$140,CT78+CS79-DB78)))</f>
        <v>316.39999999999986</v>
      </c>
      <c r="CU79" s="18">
        <f>CT79*VLOOKUP('Données projet'!$B$13,Paramètres!$A$1:$I$88,3,0)*VLOOKUP('Données projet'!$B$13,Paramètres!$A$1:$I$88,5,0)</f>
        <v>251.72783999999987</v>
      </c>
      <c r="CV79" s="14">
        <f t="shared" si="95"/>
        <v>60.955783339026674</v>
      </c>
      <c r="CW79" s="22">
        <f t="shared" si="67"/>
        <v>544.59064398213786</v>
      </c>
      <c r="CX79" s="62">
        <f t="shared" si="68"/>
        <v>829.92354016115155</v>
      </c>
      <c r="CY79" s="62">
        <f ca="1">AVERAGE(OFFSET($CX$3,0,0,'Données projet'!$E$13+1,1))-AVERAGE(OFFSET($H$3,0,0,'Données projet'!$E$13+1,1))</f>
        <v>361.30066984973894</v>
      </c>
      <c r="CZ79" s="62">
        <f t="shared" si="96"/>
        <v>351.78053157121622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projet'!$B$13,Paramètres!$A$1:$I$88,3,0)*0.475*44/12</f>
        <v>20.808016648404504</v>
      </c>
      <c r="DG79" s="23">
        <f>EXP(-LN(2)/25)*DG78+(1-EXP(-LN(2)/25))/(LN(2)/25)*Calculateur!DB79*Calculateur!DD79*VLOOKUP('Données projet'!$B$13,Paramètres!$A$1:$I$88,3,0)*0.475*44/12</f>
        <v>0</v>
      </c>
      <c r="DH79" s="23">
        <f>EXP(-LN(2)/2)*DH78+(1-EXP(-LN(2)/2))/(LN(2)/2)*DB79*DE79*VLOOKUP('Données projet'!$B$13,Paramètres!$A$1:$I$88,3,0)*0.475*44/12</f>
        <v>0</v>
      </c>
      <c r="DI79" s="24">
        <f t="shared" si="69"/>
        <v>20.808016648404504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67.818062594276455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>
        <f>DO79*VLOOKUP('Données projet'!$B$14,Paramètres!$A$1:$I$88,3,0)*VLOOKUP('Données projet'!$B$14,Paramètres!$A$1:$I$88,5,0)</f>
        <v>0</v>
      </c>
      <c r="DQ79" s="14" t="e">
        <f t="shared" si="97"/>
        <v>#NUM!</v>
      </c>
      <c r="DR79" s="22" t="e">
        <f t="shared" si="70"/>
        <v>#NUM!</v>
      </c>
      <c r="DS79" s="62" t="e">
        <f t="shared" si="71"/>
        <v>#NUM!</v>
      </c>
      <c r="DT79" s="62">
        <f ca="1">AVERAGE(OFFSET($DS$3,0,0,'Données projet'!$E$14+1,1))-AVERAGE(OFFSET($H$3,0,0,'Données projet'!$E$14+1,1))</f>
        <v>91.201152634762423</v>
      </c>
      <c r="DU79" s="62">
        <f t="shared" si="98"/>
        <v>233.36981992862445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projet'!$B$14,Paramètres!$A$1:$I$88,3,0)*0.475*44/12</f>
        <v>16.67081270469539</v>
      </c>
      <c r="EB79" s="23">
        <f>EXP(-LN(2)/25)*EB78+(1-EXP(-LN(2)/25))/(LN(2)/25)*Calculateur!DW79*Calculateur!DY79*VLOOKUP('Données projet'!$B$14,Paramètres!$A$1:$I$88,3,0)*0.475*44/12</f>
        <v>0</v>
      </c>
      <c r="EC79" s="23">
        <f>EXP(-LN(2)/2)*EC78+(1-EXP(-LN(2)/2))/(LN(2)/2)*DW79*DZ79*VLOOKUP('Données projet'!$B$14,Paramètres!$A$1:$I$88,3,0)*0.475*44/12</f>
        <v>0</v>
      </c>
      <c r="ED79" s="24">
        <f t="shared" si="72"/>
        <v>16.67081270469539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67.818062594276455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projet'!$B$15,Paramètres!$A$1:$I$88,3,0)*0.475*44/12</f>
        <v>#N/A</v>
      </c>
      <c r="EW79" s="23" t="e">
        <f>EXP(-LN(2)/25)*EW78+(1-EXP(-LN(2)/25))/(LN(2)/25)*Calculateur!ER79*Calculateur!ET79*VLOOKUP('Données projet'!$B$15,Paramètres!$A$1:$I$88,3,0)*0.475*44/12</f>
        <v>#N/A</v>
      </c>
      <c r="EX79" s="23" t="e">
        <f>EXP(-LN(2)/2)*EX78+(1-EXP(-LN(2)/2))/(LN(2)/2)*ER79*EU79*VLOOKUP('Données projet'!$B$15,Paramètres!$A$1:$I$88,3,0)*0.475*44/12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67.818062594276455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projet'!$B$16,Paramètres!$A$1:$I$88,3,0)*0.475*44/12</f>
        <v>#N/A</v>
      </c>
      <c r="FR79" s="23" t="e">
        <f>EXP(-LN(2)/25)*FR78+(1-EXP(-LN(2)/25))/(LN(2)/25)*Calculateur!FM79*Calculateur!FO79*VLOOKUP('Données projet'!$B$16,Paramètres!$A$1:$I$88,3,0)*0.475*44/12</f>
        <v>#N/A</v>
      </c>
      <c r="FS79" s="23" t="e">
        <f>EXP(-LN(2)/2)*FS78+(1-EXP(-LN(2)/2))/(LN(2)/2)*FM79*FP79*VLOOKUP('Données projet'!$B$16,Paramètres!$A$1:$I$88,3,0)*0.475*44/12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67.818062594276455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projet'!$B$17,Paramètres!$A$1:$I$88,3,0)*0.475*44/12</f>
        <v>#N/A</v>
      </c>
      <c r="GM79" s="23" t="e">
        <f>EXP(-LN(2)/25)*GM78+(1-EXP(-LN(2)/25))/(LN(2)/25)*Calculateur!GH79*Calculateur!GJ79*VLOOKUP('Données projet'!$B$17,Paramètres!$A$1:$I$88,3,0)*0.475*44/12</f>
        <v>#N/A</v>
      </c>
      <c r="GN79" s="23" t="e">
        <f>EXP(-LN(2)/2)*GN78+(1-EXP(-LN(2)/2))/(LN(2)/2)*GH79*GK79*VLOOKUP('Données projet'!$B$17,Paramètres!$A$1:$I$88,3,0)*0.475*44/12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67.818062594276455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projet'!$B$18,Paramètres!$A$1:$I$88,3,0)*0.475*44/12</f>
        <v>#N/A</v>
      </c>
      <c r="HH79" s="23" t="e">
        <f>EXP(-LN(2)/25)*HH78+(1-EXP(-LN(2)/25))/(LN(2)/25)*Calculateur!HC79*Calculateur!HE79*VLOOKUP('Données projet'!$B$18,Paramètres!$A$1:$I$88,3,0)*0.475*44/12</f>
        <v>#N/A</v>
      </c>
      <c r="HI79" s="23" t="e">
        <f>EXP(-LN(2)/2)*HI78+(1-EXP(-LN(2)/2))/(LN(2)/2)*HC79*HF79*VLOOKUP('Données projet'!$B$18,Paramètres!$A$1:$I$88,3,0)*0.475*44/12</f>
        <v>#N/A</v>
      </c>
      <c r="HJ79" s="24" t="e">
        <f t="shared" si="84"/>
        <v>#N/A</v>
      </c>
    </row>
    <row r="80" spans="1:218" s="5" customFormat="1" x14ac:dyDescent="0.2">
      <c r="A80" s="11">
        <f t="shared" si="85"/>
        <v>77</v>
      </c>
      <c r="B80" s="77">
        <f>'Scénario référence'!$B$16*5+'Scénario référence'!$B$17*0+'Scénario référence'!$B$18*5</f>
        <v>1.6500000000000001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6.0500000000000007</v>
      </c>
      <c r="H80" s="70">
        <f t="shared" si="56"/>
        <v>232.4666666666667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67.855914330184518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projet'!$B$9,Paramètres!$A$1:$I$88,3,0)*VLOOKUP('Données projet'!$B$9,Paramètres!$A$1:$I$88,5,0)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285.47168587734524</v>
      </c>
      <c r="S80" s="62">
        <f ca="1">AVERAGE(OFFSET($R$3,0,0,'Données projet'!$E$9+1,1))-AVERAGE(OFFSET($H$3,0,0,'Données projet'!$E$9+1,1))</f>
        <v>354.71367224254021</v>
      </c>
      <c r="T80" s="62">
        <f t="shared" si="88"/>
        <v>490.074370133397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123.72018044300577</v>
      </c>
      <c r="AA80" s="23">
        <f>EXP(-LN(2)/25)*AA79+(1-EXP(-LN(2)/25))/(LN(2)/25)*Calculateur!V80*Calculateur!X80*VLOOKUP('Données projet'!$B$9,Paramètres!$A$1:$I$88,3,0)*0.475*44/12</f>
        <v>23.123504982353992</v>
      </c>
      <c r="AB80" s="23">
        <f>EXP(-LN(2)/2)*AB79+(1-EXP(-LN(2)/2))/(LN(2)/2)*V80*Y80*VLOOKUP('Données projet'!$B$9,Paramètres!$A$1:$I$88,3,0)*0.475*44/12</f>
        <v>1.5722396224150028E-3</v>
      </c>
      <c r="AC80" s="24">
        <f t="shared" si="57"/>
        <v>146.84525766498217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67.855914330184518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2.2737367544323206E-13</v>
      </c>
      <c r="AJ80" s="14">
        <f>AI80*VLOOKUP('Données projet'!$B$10,Paramètres!$A$1:$I$88,3,0)*VLOOKUP('Données projet'!$B$10,Paramètres!$A$1:$I$88,5,0)</f>
        <v>1.3596945791505279E-13</v>
      </c>
      <c r="AK80" s="14">
        <f t="shared" si="89"/>
        <v>1.9708830566360721E-12</v>
      </c>
      <c r="AL80" s="22">
        <f t="shared" si="58"/>
        <v>3.669434796176543E-12</v>
      </c>
      <c r="AM80" s="62">
        <f t="shared" si="59"/>
        <v>285.47168587734694</v>
      </c>
      <c r="AN80" s="62">
        <f ca="1">AVERAGE(OFFSET($AM$3,0,0,'Données projet'!$E$10+1,1))-AVERAGE(OFFSET($H$3,0,0,'Données projet'!$E$10+1,1))</f>
        <v>264.73276096087574</v>
      </c>
      <c r="AO80" s="62">
        <f t="shared" si="90"/>
        <v>381.84464918049662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projet'!$B$10,Paramètres!$A$1:$I$88,3,0)*0.475*44/12</f>
        <v>86.765748699544915</v>
      </c>
      <c r="AV80" s="23">
        <f>EXP(-LN(2)/25)*AV79+(1-EXP(-LN(2)/25))/(LN(2)/25)*Calculateur!AQ80*Calculateur!AS80*VLOOKUP('Données projet'!$B$10,Paramètres!$A$1:$I$88,3,0)*0.475*44/12</f>
        <v>16.245006007822553</v>
      </c>
      <c r="AW80" s="23">
        <f>EXP(-LN(2)/2)*AW79+(1-EXP(-LN(2)/2))/(LN(2)/2)*AQ80*AT80*VLOOKUP('Données projet'!$B$10,Paramètres!$A$1:$I$88,3,0)*0.475*44/12</f>
        <v>1.1008952110469039E-3</v>
      </c>
      <c r="AX80" s="23">
        <f t="shared" si="60"/>
        <v>103.01185560257852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67.855914330184518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</v>
      </c>
      <c r="BD80" s="13">
        <f>IF('Données projet'!$A$88&gt;35,BD79+BC80-BL79,IF(A80&lt;'Données projet'!$A$88,$BA$205^A80,IF(A80='Données projet'!$A$88,'Données projet'!$B$88,BD79+BC80-BL79)))</f>
        <v>242.99999999999989</v>
      </c>
      <c r="BE80" s="14">
        <f>BD80*VLOOKUP('Données projet'!$B$11,Paramètres!$A$1:$I$88,3,0)*VLOOKUP('Données projet'!$B$11,Paramètres!$A$1:$I$88,5,0)</f>
        <v>276.72839999999985</v>
      </c>
      <c r="BF80" s="14">
        <f t="shared" si="91"/>
        <v>66.275153538600421</v>
      </c>
      <c r="BG80" s="22">
        <f t="shared" si="61"/>
        <v>597.39785574639552</v>
      </c>
      <c r="BH80" s="62">
        <f t="shared" si="62"/>
        <v>882.86954162373877</v>
      </c>
      <c r="BI80" s="62">
        <f ca="1">AVERAGE(OFFSET($BH$3,0,0,'Données projet'!$E$11+1,1))-AVERAGE(OFFSET($H$3,0,0,'Données projet'!$E$11+1,1))</f>
        <v>470.57532875732056</v>
      </c>
      <c r="BJ80" s="62">
        <f t="shared" si="92"/>
        <v>286.63787681165888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projet'!$B$11,Paramètres!$A$1:$I$88,3,0)*0.475*44/12</f>
        <v>18.555248274502514</v>
      </c>
      <c r="BQ80" s="23">
        <f>EXP(-LN(2)/25)*BQ79+(1-EXP(-LN(2)/25))/(LN(2)/25)*Calculateur!BL80*Calculateur!BN80*VLOOKUP('Données projet'!$B$11,Paramètres!$A$1:$I$88,3,0)*0.475*44/12</f>
        <v>0</v>
      </c>
      <c r="BR80" s="23">
        <f>EXP(-LN(2)/2)*BR79+(1-EXP(-LN(2)/2))/(LN(2)/2)*BL80*BO80*VLOOKUP('Données projet'!$B$11,Paramètres!$A$1:$I$88,3,0)*0.475*44/12</f>
        <v>0</v>
      </c>
      <c r="BS80" s="24">
        <f t="shared" si="63"/>
        <v>18.555248274502514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67.855914330184518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3.4</v>
      </c>
      <c r="BY80" s="13">
        <f>IF('Données projet'!$A$114&gt;35,BY79+BX80-CG79,IF(A80&lt;'Données projet'!$A$114,$BV$205^A80,IF(A80='Données projet'!$A$114,'Données projet'!$B$114,BY79+BX80-CG79)))</f>
        <v>319.79999999999984</v>
      </c>
      <c r="BZ80" s="14">
        <f>BY80*VLOOKUP('Données projet'!$B$12,Paramètres!$A$1:$I$88,3,0)*VLOOKUP('Données projet'!$B$12,Paramètres!$A$1:$I$88,5,0)</f>
        <v>209.53295999999989</v>
      </c>
      <c r="CA80" s="14">
        <f t="shared" si="93"/>
        <v>51.833512486481077</v>
      </c>
      <c r="CB80" s="22">
        <f t="shared" si="64"/>
        <v>455.21327291395437</v>
      </c>
      <c r="CC80" s="62">
        <f t="shared" si="65"/>
        <v>740.68495879129762</v>
      </c>
      <c r="CD80" s="62">
        <f ca="1">AVERAGE(OFFSET($CC$3,0,0,'Données projet'!$E$12+1,1))-AVERAGE(OFFSET($H$3,0,0,'Données projet'!$E$12+1,1))</f>
        <v>305.38855494899906</v>
      </c>
      <c r="CE80" s="62">
        <f t="shared" si="94"/>
        <v>298.48106301229177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projet'!$B$12,Paramètres!$A$1:$I$88,3,0)*0.475*44/12</f>
        <v>13.630178078143045</v>
      </c>
      <c r="CL80" s="23">
        <f>EXP(-LN(2)/25)*CL79+(1-EXP(-LN(2)/25))/(LN(2)/25)*Calculateur!CG80*Calculateur!CI80*VLOOKUP('Données projet'!$B$12,Paramètres!$A$1:$I$88,3,0)*0.475*44/12</f>
        <v>0</v>
      </c>
      <c r="CM80" s="23">
        <f>EXP(-LN(2)/2)*CM79+(1-EXP(-LN(2)/2))/(LN(2)/2)*CG80*CJ80*VLOOKUP('Données projet'!$B$12,Paramètres!$A$1:$I$88,3,0)*0.475*44/12</f>
        <v>0</v>
      </c>
      <c r="CN80" s="24">
        <f t="shared" si="66"/>
        <v>13.630178078143045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67.855914330184518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3.4</v>
      </c>
      <c r="CT80" s="13">
        <f>IF('Données projet'!$A$140&gt;35,CT79+CS80-DB79,IF(A80&lt;'Données projet'!$A$140,$CQ$205^A80,IF(A80='Données projet'!$A$140,'Données projet'!$B$140,CT79+CS80-DB79)))</f>
        <v>319.79999999999984</v>
      </c>
      <c r="CU80" s="18">
        <f>CT80*VLOOKUP('Données projet'!$B$13,Paramètres!$A$1:$I$88,3,0)*VLOOKUP('Données projet'!$B$13,Paramètres!$A$1:$I$88,5,0)</f>
        <v>254.4328799999999</v>
      </c>
      <c r="CV80" s="14">
        <f t="shared" si="95"/>
        <v>61.534202204620392</v>
      </c>
      <c r="CW80" s="22">
        <f t="shared" si="67"/>
        <v>550.30933483971364</v>
      </c>
      <c r="CX80" s="62">
        <f t="shared" si="68"/>
        <v>835.78102071705689</v>
      </c>
      <c r="CY80" s="62">
        <f ca="1">AVERAGE(OFFSET($CX$3,0,0,'Données projet'!$E$13+1,1))-AVERAGE(OFFSET($H$3,0,0,'Données projet'!$E$13+1,1))</f>
        <v>361.30066984973894</v>
      </c>
      <c r="CZ80" s="62">
        <f t="shared" si="96"/>
        <v>351.78053157121622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projet'!$B$13,Paramètres!$A$1:$I$88,3,0)*0.475*44/12</f>
        <v>20.399984133566253</v>
      </c>
      <c r="DG80" s="23">
        <f>EXP(-LN(2)/25)*DG79+(1-EXP(-LN(2)/25))/(LN(2)/25)*Calculateur!DB80*Calculateur!DD80*VLOOKUP('Données projet'!$B$13,Paramètres!$A$1:$I$88,3,0)*0.475*44/12</f>
        <v>0</v>
      </c>
      <c r="DH80" s="23">
        <f>EXP(-LN(2)/2)*DH79+(1-EXP(-LN(2)/2))/(LN(2)/2)*DB80*DE80*VLOOKUP('Données projet'!$B$13,Paramètres!$A$1:$I$88,3,0)*0.475*44/12</f>
        <v>0</v>
      </c>
      <c r="DI80" s="24">
        <f t="shared" si="69"/>
        <v>20.399984133566253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67.855914330184518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>
        <f>DO80*VLOOKUP('Données projet'!$B$14,Paramètres!$A$1:$I$88,3,0)*VLOOKUP('Données projet'!$B$14,Paramètres!$A$1:$I$88,5,0)</f>
        <v>0</v>
      </c>
      <c r="DQ80" s="14" t="e">
        <f t="shared" si="97"/>
        <v>#NUM!</v>
      </c>
      <c r="DR80" s="22" t="e">
        <f t="shared" si="70"/>
        <v>#NUM!</v>
      </c>
      <c r="DS80" s="62" t="e">
        <f t="shared" si="71"/>
        <v>#NUM!</v>
      </c>
      <c r="DT80" s="62">
        <f ca="1">AVERAGE(OFFSET($DS$3,0,0,'Données projet'!$E$14+1,1))-AVERAGE(OFFSET($H$3,0,0,'Données projet'!$E$14+1,1))</f>
        <v>91.201152634762423</v>
      </c>
      <c r="DU80" s="62">
        <f t="shared" si="98"/>
        <v>233.36981992862445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projet'!$B$14,Paramètres!$A$1:$I$88,3,0)*0.475*44/12</f>
        <v>16.343908235748039</v>
      </c>
      <c r="EB80" s="23">
        <f>EXP(-LN(2)/25)*EB79+(1-EXP(-LN(2)/25))/(LN(2)/25)*Calculateur!DW80*Calculateur!DY80*VLOOKUP('Données projet'!$B$14,Paramètres!$A$1:$I$88,3,0)*0.475*44/12</f>
        <v>0</v>
      </c>
      <c r="EC80" s="23">
        <f>EXP(-LN(2)/2)*EC79+(1-EXP(-LN(2)/2))/(LN(2)/2)*DW80*DZ80*VLOOKUP('Données projet'!$B$14,Paramètres!$A$1:$I$88,3,0)*0.475*44/12</f>
        <v>0</v>
      </c>
      <c r="ED80" s="24">
        <f t="shared" si="72"/>
        <v>16.343908235748039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67.855914330184518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projet'!$B$15,Paramètres!$A$1:$I$88,3,0)*0.475*44/12</f>
        <v>#N/A</v>
      </c>
      <c r="EW80" s="23" t="e">
        <f>EXP(-LN(2)/25)*EW79+(1-EXP(-LN(2)/25))/(LN(2)/25)*Calculateur!ER80*Calculateur!ET80*VLOOKUP('Données projet'!$B$15,Paramètres!$A$1:$I$88,3,0)*0.475*44/12</f>
        <v>#N/A</v>
      </c>
      <c r="EX80" s="23" t="e">
        <f>EXP(-LN(2)/2)*EX79+(1-EXP(-LN(2)/2))/(LN(2)/2)*ER80*EU80*VLOOKUP('Données projet'!$B$15,Paramètres!$A$1:$I$88,3,0)*0.475*44/12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67.855914330184518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projet'!$B$16,Paramètres!$A$1:$I$88,3,0)*0.475*44/12</f>
        <v>#N/A</v>
      </c>
      <c r="FR80" s="23" t="e">
        <f>EXP(-LN(2)/25)*FR79+(1-EXP(-LN(2)/25))/(LN(2)/25)*Calculateur!FM80*Calculateur!FO80*VLOOKUP('Données projet'!$B$16,Paramètres!$A$1:$I$88,3,0)*0.475*44/12</f>
        <v>#N/A</v>
      </c>
      <c r="FS80" s="23" t="e">
        <f>EXP(-LN(2)/2)*FS79+(1-EXP(-LN(2)/2))/(LN(2)/2)*FM80*FP80*VLOOKUP('Données projet'!$B$16,Paramètres!$A$1:$I$88,3,0)*0.475*44/12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67.855914330184518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projet'!$B$17,Paramètres!$A$1:$I$88,3,0)*0.475*44/12</f>
        <v>#N/A</v>
      </c>
      <c r="GM80" s="23" t="e">
        <f>EXP(-LN(2)/25)*GM79+(1-EXP(-LN(2)/25))/(LN(2)/25)*Calculateur!GH80*Calculateur!GJ80*VLOOKUP('Données projet'!$B$17,Paramètres!$A$1:$I$88,3,0)*0.475*44/12</f>
        <v>#N/A</v>
      </c>
      <c r="GN80" s="23" t="e">
        <f>EXP(-LN(2)/2)*GN79+(1-EXP(-LN(2)/2))/(LN(2)/2)*GH80*GK80*VLOOKUP('Données projet'!$B$17,Paramètres!$A$1:$I$88,3,0)*0.475*44/12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67.855914330184518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projet'!$B$18,Paramètres!$A$1:$I$88,3,0)*0.475*44/12</f>
        <v>#N/A</v>
      </c>
      <c r="HH80" s="23" t="e">
        <f>EXP(-LN(2)/25)*HH79+(1-EXP(-LN(2)/25))/(LN(2)/25)*Calculateur!HC80*Calculateur!HE80*VLOOKUP('Données projet'!$B$18,Paramètres!$A$1:$I$88,3,0)*0.475*44/12</f>
        <v>#N/A</v>
      </c>
      <c r="HI80" s="23" t="e">
        <f>EXP(-LN(2)/2)*HI79+(1-EXP(-LN(2)/2))/(LN(2)/2)*HC80*HF80*VLOOKUP('Données projet'!$B$18,Paramètres!$A$1:$I$88,3,0)*0.475*44/12</f>
        <v>#N/A</v>
      </c>
      <c r="HJ80" s="24" t="e">
        <f t="shared" si="84"/>
        <v>#N/A</v>
      </c>
    </row>
    <row r="81" spans="1:218" s="5" customFormat="1" x14ac:dyDescent="0.2">
      <c r="A81" s="11">
        <f t="shared" si="85"/>
        <v>78</v>
      </c>
      <c r="B81" s="77">
        <f>'Scénario référence'!$B$16*5+'Scénario référence'!$B$17*0+'Scénario référence'!$B$18*5</f>
        <v>1.6500000000000001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6.0500000000000007</v>
      </c>
      <c r="H81" s="70">
        <f t="shared" si="56"/>
        <v>232.4666666666667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67.893109423098366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projet'!$B$9,Paramètres!$A$1:$I$88,3,0)*VLOOKUP('Données projet'!$B$9,Paramètres!$A$1:$I$88,5,0)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285.60806788469597</v>
      </c>
      <c r="S81" s="62">
        <f ca="1">AVERAGE(OFFSET($R$3,0,0,'Données projet'!$E$9+1,1))-AVERAGE(OFFSET($H$3,0,0,'Données projet'!$E$9+1,1))</f>
        <v>354.71367224254021</v>
      </c>
      <c r="T81" s="62">
        <f t="shared" si="88"/>
        <v>490.074370133397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121.29410316637725</v>
      </c>
      <c r="AA81" s="23">
        <f>EXP(-LN(2)/25)*AA80+(1-EXP(-LN(2)/25))/(LN(2)/25)*Calculateur!V81*Calculateur!X81*VLOOKUP('Données projet'!$B$9,Paramètres!$A$1:$I$88,3,0)*0.475*44/12</f>
        <v>22.491191522599244</v>
      </c>
      <c r="AB81" s="23">
        <f>EXP(-LN(2)/2)*AB80+(1-EXP(-LN(2)/2))/(LN(2)/2)*V81*Y81*VLOOKUP('Données projet'!$B$9,Paramètres!$A$1:$I$88,3,0)*0.475*44/12</f>
        <v>1.1117412986598255E-3</v>
      </c>
      <c r="AC81" s="24">
        <f t="shared" si="57"/>
        <v>143.78640643027518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67.893109423098366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2.2737367544323206E-13</v>
      </c>
      <c r="AJ81" s="14">
        <f>AI81*VLOOKUP('Données projet'!$B$10,Paramètres!$A$1:$I$88,3,0)*VLOOKUP('Données projet'!$B$10,Paramètres!$A$1:$I$88,5,0)</f>
        <v>1.3596945791505279E-13</v>
      </c>
      <c r="AK81" s="14">
        <f t="shared" si="89"/>
        <v>1.9708830566360721E-12</v>
      </c>
      <c r="AL81" s="22">
        <f t="shared" si="58"/>
        <v>3.669434796176543E-12</v>
      </c>
      <c r="AM81" s="62">
        <f t="shared" si="59"/>
        <v>285.60806788469768</v>
      </c>
      <c r="AN81" s="62">
        <f ca="1">AVERAGE(OFFSET($AM$3,0,0,'Données projet'!$E$10+1,1))-AVERAGE(OFFSET($H$3,0,0,'Données projet'!$E$10+1,1))</f>
        <v>264.73276096087574</v>
      </c>
      <c r="AO81" s="62">
        <f t="shared" si="90"/>
        <v>381.84464918049662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projet'!$B$10,Paramètres!$A$1:$I$88,3,0)*0.475*44/12</f>
        <v>85.064325289427941</v>
      </c>
      <c r="AV81" s="23">
        <f>EXP(-LN(2)/25)*AV80+(1-EXP(-LN(2)/25))/(LN(2)/25)*Calculateur!AQ81*Calculateur!AS81*VLOOKUP('Données projet'!$B$10,Paramètres!$A$1:$I$88,3,0)*0.475*44/12</f>
        <v>15.800785464250907</v>
      </c>
      <c r="AW81" s="23">
        <f>EXP(-LN(2)/2)*AW80+(1-EXP(-LN(2)/2))/(LN(2)/2)*AQ81*AT81*VLOOKUP('Données projet'!$B$10,Paramètres!$A$1:$I$88,3,0)*0.475*44/12</f>
        <v>7.7845046910706111E-4</v>
      </c>
      <c r="AX81" s="23">
        <f t="shared" si="60"/>
        <v>100.86588920414796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67.893109423098366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</v>
      </c>
      <c r="BD81" s="13">
        <f>IF('Données projet'!$A$88&gt;35,BD80+BC81-BL80,IF(A81&lt;'Données projet'!$A$88,$BA$205^A81,IF(A81='Données projet'!$A$88,'Données projet'!$B$88,BD80+BC81-BL80)))</f>
        <v>248.99999999999989</v>
      </c>
      <c r="BE81" s="14">
        <f>BD81*VLOOKUP('Données projet'!$B$11,Paramètres!$A$1:$I$88,3,0)*VLOOKUP('Données projet'!$B$11,Paramètres!$A$1:$I$88,5,0)</f>
        <v>283.56119999999987</v>
      </c>
      <c r="BF81" s="14">
        <f t="shared" si="91"/>
        <v>67.719038354218597</v>
      </c>
      <c r="BG81" s="22">
        <f t="shared" si="61"/>
        <v>611.81308180026372</v>
      </c>
      <c r="BH81" s="62">
        <f t="shared" si="62"/>
        <v>897.42114968495775</v>
      </c>
      <c r="BI81" s="62">
        <f ca="1">AVERAGE(OFFSET($BH$3,0,0,'Données projet'!$E$11+1,1))-AVERAGE(OFFSET($H$3,0,0,'Données projet'!$E$11+1,1))</f>
        <v>470.57532875732056</v>
      </c>
      <c r="BJ81" s="62">
        <f t="shared" si="92"/>
        <v>286.63787681165888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projet'!$B$11,Paramètres!$A$1:$I$88,3,0)*0.475*44/12</f>
        <v>18.191391173423447</v>
      </c>
      <c r="BQ81" s="23">
        <f>EXP(-LN(2)/25)*BQ80+(1-EXP(-LN(2)/25))/(LN(2)/25)*Calculateur!BL81*Calculateur!BN81*VLOOKUP('Données projet'!$B$11,Paramètres!$A$1:$I$88,3,0)*0.475*44/12</f>
        <v>0</v>
      </c>
      <c r="BR81" s="23">
        <f>EXP(-LN(2)/2)*BR80+(1-EXP(-LN(2)/2))/(LN(2)/2)*BL81*BO81*VLOOKUP('Données projet'!$B$11,Paramètres!$A$1:$I$88,3,0)*0.475*44/12</f>
        <v>0</v>
      </c>
      <c r="BS81" s="24">
        <f t="shared" si="63"/>
        <v>18.191391173423447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67.893109423098366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3.4</v>
      </c>
      <c r="BY81" s="13">
        <f>IF('Données projet'!$A$114&gt;35,BY80+BX81-CG80,IF(A81&lt;'Données projet'!$A$114,$BV$205^A81,IF(A81='Données projet'!$A$114,'Données projet'!$B$114,BY80+BX81-CG80)))</f>
        <v>323.19999999999982</v>
      </c>
      <c r="BZ81" s="14">
        <f>BY81*VLOOKUP('Données projet'!$B$12,Paramètres!$A$1:$I$88,3,0)*VLOOKUP('Données projet'!$B$12,Paramètres!$A$1:$I$88,5,0)</f>
        <v>211.76063999999988</v>
      </c>
      <c r="CA81" s="14">
        <f t="shared" si="93"/>
        <v>52.320142683061285</v>
      </c>
      <c r="CB81" s="22">
        <f t="shared" si="64"/>
        <v>459.94069650633151</v>
      </c>
      <c r="CC81" s="62">
        <f t="shared" si="65"/>
        <v>745.54876439102554</v>
      </c>
      <c r="CD81" s="62">
        <f ca="1">AVERAGE(OFFSET($CC$3,0,0,'Données projet'!$E$12+1,1))-AVERAGE(OFFSET($H$3,0,0,'Données projet'!$E$12+1,1))</f>
        <v>305.38855494899906</v>
      </c>
      <c r="CE81" s="62">
        <f t="shared" si="94"/>
        <v>298.48106301229177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projet'!$B$12,Paramètres!$A$1:$I$88,3,0)*0.475*44/12</f>
        <v>13.362898599618388</v>
      </c>
      <c r="CL81" s="23">
        <f>EXP(-LN(2)/25)*CL80+(1-EXP(-LN(2)/25))/(LN(2)/25)*Calculateur!CG81*Calculateur!CI81*VLOOKUP('Données projet'!$B$12,Paramètres!$A$1:$I$88,3,0)*0.475*44/12</f>
        <v>0</v>
      </c>
      <c r="CM81" s="23">
        <f>EXP(-LN(2)/2)*CM80+(1-EXP(-LN(2)/2))/(LN(2)/2)*CG81*CJ81*VLOOKUP('Données projet'!$B$12,Paramètres!$A$1:$I$88,3,0)*0.475*44/12</f>
        <v>0</v>
      </c>
      <c r="CN81" s="24">
        <f t="shared" si="66"/>
        <v>13.362898599618388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67.893109423098366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3.4</v>
      </c>
      <c r="CT81" s="13">
        <f>IF('Données projet'!$A$140&gt;35,CT80+CS81-DB80,IF(A81&lt;'Données projet'!$A$140,$CQ$205^A81,IF(A81='Données projet'!$A$140,'Données projet'!$B$140,CT80+CS81-DB80)))</f>
        <v>323.19999999999982</v>
      </c>
      <c r="CU81" s="18">
        <f>CT81*VLOOKUP('Données projet'!$B$13,Paramètres!$A$1:$I$88,3,0)*VLOOKUP('Données projet'!$B$13,Paramètres!$A$1:$I$88,5,0)</f>
        <v>257.13791999999984</v>
      </c>
      <c r="CV81" s="14">
        <f t="shared" si="95"/>
        <v>62.111905691781395</v>
      </c>
      <c r="CW81" s="22">
        <f t="shared" si="67"/>
        <v>556.02677974651886</v>
      </c>
      <c r="CX81" s="62">
        <f t="shared" si="68"/>
        <v>841.63484763121278</v>
      </c>
      <c r="CY81" s="62">
        <f ca="1">AVERAGE(OFFSET($CX$3,0,0,'Données projet'!$E$13+1,1))-AVERAGE(OFFSET($H$3,0,0,'Données projet'!$E$13+1,1))</f>
        <v>361.30066984973894</v>
      </c>
      <c r="CZ81" s="62">
        <f t="shared" si="96"/>
        <v>351.78053157121622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projet'!$B$13,Paramètres!$A$1:$I$88,3,0)*0.475*44/12</f>
        <v>19.999952887468719</v>
      </c>
      <c r="DG81" s="23">
        <f>EXP(-LN(2)/25)*DG80+(1-EXP(-LN(2)/25))/(LN(2)/25)*Calculateur!DB81*Calculateur!DD81*VLOOKUP('Données projet'!$B$13,Paramètres!$A$1:$I$88,3,0)*0.475*44/12</f>
        <v>0</v>
      </c>
      <c r="DH81" s="23">
        <f>EXP(-LN(2)/2)*DH80+(1-EXP(-LN(2)/2))/(LN(2)/2)*DB81*DE81*VLOOKUP('Données projet'!$B$13,Paramètres!$A$1:$I$88,3,0)*0.475*44/12</f>
        <v>0</v>
      </c>
      <c r="DI81" s="24">
        <f t="shared" si="69"/>
        <v>19.999952887468719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67.893109423098366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>
        <f>DO81*VLOOKUP('Données projet'!$B$14,Paramètres!$A$1:$I$88,3,0)*VLOOKUP('Données projet'!$B$14,Paramètres!$A$1:$I$88,5,0)</f>
        <v>0</v>
      </c>
      <c r="DQ81" s="14" t="e">
        <f t="shared" si="97"/>
        <v>#NUM!</v>
      </c>
      <c r="DR81" s="22" t="e">
        <f t="shared" si="70"/>
        <v>#NUM!</v>
      </c>
      <c r="DS81" s="62" t="e">
        <f t="shared" si="71"/>
        <v>#NUM!</v>
      </c>
      <c r="DT81" s="62">
        <f ca="1">AVERAGE(OFFSET($DS$3,0,0,'Données projet'!$E$14+1,1))-AVERAGE(OFFSET($H$3,0,0,'Données projet'!$E$14+1,1))</f>
        <v>91.201152634762423</v>
      </c>
      <c r="DU81" s="62">
        <f t="shared" si="98"/>
        <v>233.36981992862445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projet'!$B$14,Paramètres!$A$1:$I$88,3,0)*0.475*44/12</f>
        <v>16.023414164044706</v>
      </c>
      <c r="EB81" s="23">
        <f>EXP(-LN(2)/25)*EB80+(1-EXP(-LN(2)/25))/(LN(2)/25)*Calculateur!DW81*Calculateur!DY81*VLOOKUP('Données projet'!$B$14,Paramètres!$A$1:$I$88,3,0)*0.475*44/12</f>
        <v>0</v>
      </c>
      <c r="EC81" s="23">
        <f>EXP(-LN(2)/2)*EC80+(1-EXP(-LN(2)/2))/(LN(2)/2)*DW81*DZ81*VLOOKUP('Données projet'!$B$14,Paramètres!$A$1:$I$88,3,0)*0.475*44/12</f>
        <v>0</v>
      </c>
      <c r="ED81" s="24">
        <f t="shared" si="72"/>
        <v>16.023414164044706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67.893109423098366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projet'!$B$15,Paramètres!$A$1:$I$88,3,0)*0.475*44/12</f>
        <v>#N/A</v>
      </c>
      <c r="EW81" s="23" t="e">
        <f>EXP(-LN(2)/25)*EW80+(1-EXP(-LN(2)/25))/(LN(2)/25)*Calculateur!ER81*Calculateur!ET81*VLOOKUP('Données projet'!$B$15,Paramètres!$A$1:$I$88,3,0)*0.475*44/12</f>
        <v>#N/A</v>
      </c>
      <c r="EX81" s="23" t="e">
        <f>EXP(-LN(2)/2)*EX80+(1-EXP(-LN(2)/2))/(LN(2)/2)*ER81*EU81*VLOOKUP('Données projet'!$B$15,Paramètres!$A$1:$I$88,3,0)*0.475*44/12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67.893109423098366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projet'!$B$16,Paramètres!$A$1:$I$88,3,0)*0.475*44/12</f>
        <v>#N/A</v>
      </c>
      <c r="FR81" s="23" t="e">
        <f>EXP(-LN(2)/25)*FR80+(1-EXP(-LN(2)/25))/(LN(2)/25)*Calculateur!FM81*Calculateur!FO81*VLOOKUP('Données projet'!$B$16,Paramètres!$A$1:$I$88,3,0)*0.475*44/12</f>
        <v>#N/A</v>
      </c>
      <c r="FS81" s="23" t="e">
        <f>EXP(-LN(2)/2)*FS80+(1-EXP(-LN(2)/2))/(LN(2)/2)*FM81*FP81*VLOOKUP('Données projet'!$B$16,Paramètres!$A$1:$I$88,3,0)*0.475*44/12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67.893109423098366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projet'!$B$17,Paramètres!$A$1:$I$88,3,0)*0.475*44/12</f>
        <v>#N/A</v>
      </c>
      <c r="GM81" s="23" t="e">
        <f>EXP(-LN(2)/25)*GM80+(1-EXP(-LN(2)/25))/(LN(2)/25)*Calculateur!GH81*Calculateur!GJ81*VLOOKUP('Données projet'!$B$17,Paramètres!$A$1:$I$88,3,0)*0.475*44/12</f>
        <v>#N/A</v>
      </c>
      <c r="GN81" s="23" t="e">
        <f>EXP(-LN(2)/2)*GN80+(1-EXP(-LN(2)/2))/(LN(2)/2)*GH81*GK81*VLOOKUP('Données projet'!$B$17,Paramètres!$A$1:$I$88,3,0)*0.475*44/12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67.893109423098366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projet'!$B$18,Paramètres!$A$1:$I$88,3,0)*0.475*44/12</f>
        <v>#N/A</v>
      </c>
      <c r="HH81" s="23" t="e">
        <f>EXP(-LN(2)/25)*HH80+(1-EXP(-LN(2)/25))/(LN(2)/25)*Calculateur!HC81*Calculateur!HE81*VLOOKUP('Données projet'!$B$18,Paramètres!$A$1:$I$88,3,0)*0.475*44/12</f>
        <v>#N/A</v>
      </c>
      <c r="HI81" s="23" t="e">
        <f>EXP(-LN(2)/2)*HI80+(1-EXP(-LN(2)/2))/(LN(2)/2)*HC81*HF81*VLOOKUP('Données projet'!$B$18,Paramètres!$A$1:$I$88,3,0)*0.475*44/12</f>
        <v>#N/A</v>
      </c>
      <c r="HJ81" s="24" t="e">
        <f t="shared" si="84"/>
        <v>#N/A</v>
      </c>
    </row>
    <row r="82" spans="1:218" s="5" customFormat="1" x14ac:dyDescent="0.2">
      <c r="A82" s="11">
        <f t="shared" si="85"/>
        <v>79</v>
      </c>
      <c r="B82" s="77">
        <f>'Scénario référence'!$B$16*5+'Scénario référence'!$B$17*0+'Scénario référence'!$B$18*5</f>
        <v>1.6500000000000001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6.0500000000000007</v>
      </c>
      <c r="H82" s="70">
        <f t="shared" si="56"/>
        <v>232.4666666666667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67.92965926430594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projet'!$B$9,Paramètres!$A$1:$I$88,3,0)*VLOOKUP('Données projet'!$B$9,Paramètres!$A$1:$I$88,5,0)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285.74208396912377</v>
      </c>
      <c r="S82" s="62">
        <f ca="1">AVERAGE(OFFSET($R$3,0,0,'Données projet'!$E$9+1,1))-AVERAGE(OFFSET($H$3,0,0,'Données projet'!$E$9+1,1))</f>
        <v>354.71367224254021</v>
      </c>
      <c r="T82" s="62">
        <f t="shared" si="88"/>
        <v>490.074370133397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118.9155997853824</v>
      </c>
      <c r="AA82" s="23">
        <f>EXP(-LN(2)/25)*AA81+(1-EXP(-LN(2)/25))/(LN(2)/25)*Calculateur!V82*Calculateur!X82*VLOOKUP('Données projet'!$B$9,Paramètres!$A$1:$I$88,3,0)*0.475*44/12</f>
        <v>21.876168707653409</v>
      </c>
      <c r="AB82" s="23">
        <f>EXP(-LN(2)/2)*AB81+(1-EXP(-LN(2)/2))/(LN(2)/2)*V82*Y82*VLOOKUP('Données projet'!$B$9,Paramètres!$A$1:$I$88,3,0)*0.475*44/12</f>
        <v>7.861198112075014E-4</v>
      </c>
      <c r="AC82" s="24">
        <f t="shared" si="57"/>
        <v>140.79255461284703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67.92965926430594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2.2737367544323206E-13</v>
      </c>
      <c r="AJ82" s="14">
        <f>AI82*VLOOKUP('Données projet'!$B$10,Paramètres!$A$1:$I$88,3,0)*VLOOKUP('Données projet'!$B$10,Paramètres!$A$1:$I$88,5,0)</f>
        <v>1.3596945791505279E-13</v>
      </c>
      <c r="AK82" s="14">
        <f t="shared" si="89"/>
        <v>1.9708830566360721E-12</v>
      </c>
      <c r="AL82" s="22">
        <f t="shared" si="58"/>
        <v>3.669434796176543E-12</v>
      </c>
      <c r="AM82" s="62">
        <f t="shared" si="59"/>
        <v>285.74208396912547</v>
      </c>
      <c r="AN82" s="62">
        <f ca="1">AVERAGE(OFFSET($AM$3,0,0,'Données projet'!$E$10+1,1))-AVERAGE(OFFSET($H$3,0,0,'Données projet'!$E$10+1,1))</f>
        <v>264.73276096087574</v>
      </c>
      <c r="AO82" s="62">
        <f t="shared" si="90"/>
        <v>381.84464918049662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projet'!$B$10,Paramètres!$A$1:$I$88,3,0)*0.475*44/12</f>
        <v>83.396265754617559</v>
      </c>
      <c r="AV82" s="23">
        <f>EXP(-LN(2)/25)*AV81+(1-EXP(-LN(2)/25))/(LN(2)/25)*Calculateur!AQ82*Calculateur!AS82*VLOOKUP('Données projet'!$B$10,Paramètres!$A$1:$I$88,3,0)*0.475*44/12</f>
        <v>15.368712154803772</v>
      </c>
      <c r="AW82" s="23">
        <f>EXP(-LN(2)/2)*AW81+(1-EXP(-LN(2)/2))/(LN(2)/2)*AQ82*AT82*VLOOKUP('Données projet'!$B$10,Paramètres!$A$1:$I$88,3,0)*0.475*44/12</f>
        <v>5.5044760552345193E-4</v>
      </c>
      <c r="AX82" s="23">
        <f t="shared" si="60"/>
        <v>98.765528357026852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67.92965926430594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</v>
      </c>
      <c r="BD82" s="13">
        <f>IF('Données projet'!$A$88&gt;35,BD81+BC82-BL81,IF(A82&lt;'Données projet'!$A$88,$BA$205^A82,IF(A82='Données projet'!$A$88,'Données projet'!$B$88,BD81+BC82-BL81)))</f>
        <v>254.99999999999989</v>
      </c>
      <c r="BE82" s="14">
        <f>BD82*VLOOKUP('Données projet'!$B$11,Paramètres!$A$1:$I$88,3,0)*VLOOKUP('Données projet'!$B$11,Paramètres!$A$1:$I$88,5,0)</f>
        <v>290.39399999999989</v>
      </c>
      <c r="BF82" s="14">
        <f t="shared" si="91"/>
        <v>69.158878594433091</v>
      </c>
      <c r="BG82" s="22">
        <f t="shared" si="61"/>
        <v>626.22126355197076</v>
      </c>
      <c r="BH82" s="62">
        <f t="shared" si="62"/>
        <v>911.9633475210926</v>
      </c>
      <c r="BI82" s="62">
        <f ca="1">AVERAGE(OFFSET($BH$3,0,0,'Données projet'!$E$11+1,1))-AVERAGE(OFFSET($H$3,0,0,'Données projet'!$E$11+1,1))</f>
        <v>470.57532875732056</v>
      </c>
      <c r="BJ82" s="62">
        <f t="shared" si="92"/>
        <v>286.63787681165888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projet'!$B$11,Paramètres!$A$1:$I$88,3,0)*0.475*44/12</f>
        <v>17.834669088165626</v>
      </c>
      <c r="BQ82" s="23">
        <f>EXP(-LN(2)/25)*BQ81+(1-EXP(-LN(2)/25))/(LN(2)/25)*Calculateur!BL82*Calculateur!BN82*VLOOKUP('Données projet'!$B$11,Paramètres!$A$1:$I$88,3,0)*0.475*44/12</f>
        <v>0</v>
      </c>
      <c r="BR82" s="23">
        <f>EXP(-LN(2)/2)*BR81+(1-EXP(-LN(2)/2))/(LN(2)/2)*BL82*BO82*VLOOKUP('Données projet'!$B$11,Paramètres!$A$1:$I$88,3,0)*0.475*44/12</f>
        <v>0</v>
      </c>
      <c r="BS82" s="24">
        <f t="shared" si="63"/>
        <v>17.834669088165626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67.92965926430594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3.4</v>
      </c>
      <c r="BY82" s="13">
        <f>IF('Données projet'!$A$114&gt;35,BY81+BX82-CG81,IF(A82&lt;'Données projet'!$A$114,$BV$205^A82,IF(A82='Données projet'!$A$114,'Données projet'!$B$114,BY81+BX82-CG81)))</f>
        <v>326.5999999999998</v>
      </c>
      <c r="BZ82" s="14">
        <f>BY82*VLOOKUP('Données projet'!$B$12,Paramètres!$A$1:$I$88,3,0)*VLOOKUP('Données projet'!$B$12,Paramètres!$A$1:$I$88,5,0)</f>
        <v>213.98831999999987</v>
      </c>
      <c r="CA82" s="14">
        <f t="shared" si="93"/>
        <v>52.806177351620995</v>
      </c>
      <c r="CB82" s="22">
        <f t="shared" si="64"/>
        <v>464.66708288740637</v>
      </c>
      <c r="CC82" s="62">
        <f t="shared" si="65"/>
        <v>750.40916685652815</v>
      </c>
      <c r="CD82" s="62">
        <f ca="1">AVERAGE(OFFSET($CC$3,0,0,'Données projet'!$E$12+1,1))-AVERAGE(OFFSET($H$3,0,0,'Données projet'!$E$12+1,1))</f>
        <v>305.38855494899906</v>
      </c>
      <c r="CE82" s="62">
        <f t="shared" si="94"/>
        <v>298.48106301229177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projet'!$B$12,Paramètres!$A$1:$I$88,3,0)*0.475*44/12</f>
        <v>13.100860308643217</v>
      </c>
      <c r="CL82" s="23">
        <f>EXP(-LN(2)/25)*CL81+(1-EXP(-LN(2)/25))/(LN(2)/25)*Calculateur!CG82*Calculateur!CI82*VLOOKUP('Données projet'!$B$12,Paramètres!$A$1:$I$88,3,0)*0.475*44/12</f>
        <v>0</v>
      </c>
      <c r="CM82" s="23">
        <f>EXP(-LN(2)/2)*CM81+(1-EXP(-LN(2)/2))/(LN(2)/2)*CG82*CJ82*VLOOKUP('Données projet'!$B$12,Paramètres!$A$1:$I$88,3,0)*0.475*44/12</f>
        <v>0</v>
      </c>
      <c r="CN82" s="24">
        <f t="shared" si="66"/>
        <v>13.100860308643217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67.92965926430594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3.4</v>
      </c>
      <c r="CT82" s="13">
        <f>IF('Données projet'!$A$140&gt;35,CT81+CS82-DB81,IF(A82&lt;'Données projet'!$A$140,$CQ$205^A82,IF(A82='Données projet'!$A$140,'Données projet'!$B$140,CT81+CS82-DB81)))</f>
        <v>326.5999999999998</v>
      </c>
      <c r="CU82" s="18">
        <f>CT82*VLOOKUP('Données projet'!$B$13,Paramètres!$A$1:$I$88,3,0)*VLOOKUP('Données projet'!$B$13,Paramètres!$A$1:$I$88,5,0)</f>
        <v>259.84295999999983</v>
      </c>
      <c r="CV82" s="14">
        <f t="shared" si="95"/>
        <v>62.688902197302923</v>
      </c>
      <c r="CW82" s="22">
        <f t="shared" si="67"/>
        <v>561.74299332696899</v>
      </c>
      <c r="CX82" s="62">
        <f t="shared" si="68"/>
        <v>847.48507729609082</v>
      </c>
      <c r="CY82" s="62">
        <f ca="1">AVERAGE(OFFSET($CX$3,0,0,'Données projet'!$E$13+1,1))-AVERAGE(OFFSET($H$3,0,0,'Données projet'!$E$13+1,1))</f>
        <v>361.30066984973894</v>
      </c>
      <c r="CZ82" s="62">
        <f t="shared" si="96"/>
        <v>351.78053157121622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projet'!$B$13,Paramètres!$A$1:$I$88,3,0)*0.475*44/12</f>
        <v>19.60776601011219</v>
      </c>
      <c r="DG82" s="23">
        <f>EXP(-LN(2)/25)*DG81+(1-EXP(-LN(2)/25))/(LN(2)/25)*Calculateur!DB82*Calculateur!DD82*VLOOKUP('Données projet'!$B$13,Paramètres!$A$1:$I$88,3,0)*0.475*44/12</f>
        <v>0</v>
      </c>
      <c r="DH82" s="23">
        <f>EXP(-LN(2)/2)*DH81+(1-EXP(-LN(2)/2))/(LN(2)/2)*DB82*DE82*VLOOKUP('Données projet'!$B$13,Paramètres!$A$1:$I$88,3,0)*0.475*44/12</f>
        <v>0</v>
      </c>
      <c r="DI82" s="24">
        <f t="shared" si="69"/>
        <v>19.60776601011219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67.92965926430594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>
        <f>DO82*VLOOKUP('Données projet'!$B$14,Paramètres!$A$1:$I$88,3,0)*VLOOKUP('Données projet'!$B$14,Paramètres!$A$1:$I$88,5,0)</f>
        <v>0</v>
      </c>
      <c r="DQ82" s="14" t="e">
        <f t="shared" si="97"/>
        <v>#NUM!</v>
      </c>
      <c r="DR82" s="22" t="e">
        <f t="shared" si="70"/>
        <v>#NUM!</v>
      </c>
      <c r="DS82" s="62" t="e">
        <f t="shared" si="71"/>
        <v>#NUM!</v>
      </c>
      <c r="DT82" s="62">
        <f ca="1">AVERAGE(OFFSET($DS$3,0,0,'Données projet'!$E$14+1,1))-AVERAGE(OFFSET($H$3,0,0,'Données projet'!$E$14+1,1))</f>
        <v>91.201152634762423</v>
      </c>
      <c r="DU82" s="62">
        <f t="shared" si="98"/>
        <v>233.36981992862445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projet'!$B$14,Paramètres!$A$1:$I$88,3,0)*0.475*44/12</f>
        <v>15.709204785605394</v>
      </c>
      <c r="EB82" s="23">
        <f>EXP(-LN(2)/25)*EB81+(1-EXP(-LN(2)/25))/(LN(2)/25)*Calculateur!DW82*Calculateur!DY82*VLOOKUP('Données projet'!$B$14,Paramètres!$A$1:$I$88,3,0)*0.475*44/12</f>
        <v>0</v>
      </c>
      <c r="EC82" s="23">
        <f>EXP(-LN(2)/2)*EC81+(1-EXP(-LN(2)/2))/(LN(2)/2)*DW82*DZ82*VLOOKUP('Données projet'!$B$14,Paramètres!$A$1:$I$88,3,0)*0.475*44/12</f>
        <v>0</v>
      </c>
      <c r="ED82" s="24">
        <f t="shared" si="72"/>
        <v>15.709204785605394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67.92965926430594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projet'!$B$15,Paramètres!$A$1:$I$88,3,0)*0.475*44/12</f>
        <v>#N/A</v>
      </c>
      <c r="EW82" s="23" t="e">
        <f>EXP(-LN(2)/25)*EW81+(1-EXP(-LN(2)/25))/(LN(2)/25)*Calculateur!ER82*Calculateur!ET82*VLOOKUP('Données projet'!$B$15,Paramètres!$A$1:$I$88,3,0)*0.475*44/12</f>
        <v>#N/A</v>
      </c>
      <c r="EX82" s="23" t="e">
        <f>EXP(-LN(2)/2)*EX81+(1-EXP(-LN(2)/2))/(LN(2)/2)*ER82*EU82*VLOOKUP('Données projet'!$B$15,Paramètres!$A$1:$I$88,3,0)*0.475*44/12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67.92965926430594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projet'!$B$16,Paramètres!$A$1:$I$88,3,0)*0.475*44/12</f>
        <v>#N/A</v>
      </c>
      <c r="FR82" s="23" t="e">
        <f>EXP(-LN(2)/25)*FR81+(1-EXP(-LN(2)/25))/(LN(2)/25)*Calculateur!FM82*Calculateur!FO82*VLOOKUP('Données projet'!$B$16,Paramètres!$A$1:$I$88,3,0)*0.475*44/12</f>
        <v>#N/A</v>
      </c>
      <c r="FS82" s="23" t="e">
        <f>EXP(-LN(2)/2)*FS81+(1-EXP(-LN(2)/2))/(LN(2)/2)*FM82*FP82*VLOOKUP('Données projet'!$B$16,Paramètres!$A$1:$I$88,3,0)*0.475*44/12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67.92965926430594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projet'!$B$17,Paramètres!$A$1:$I$88,3,0)*0.475*44/12</f>
        <v>#N/A</v>
      </c>
      <c r="GM82" s="23" t="e">
        <f>EXP(-LN(2)/25)*GM81+(1-EXP(-LN(2)/25))/(LN(2)/25)*Calculateur!GH82*Calculateur!GJ82*VLOOKUP('Données projet'!$B$17,Paramètres!$A$1:$I$88,3,0)*0.475*44/12</f>
        <v>#N/A</v>
      </c>
      <c r="GN82" s="23" t="e">
        <f>EXP(-LN(2)/2)*GN81+(1-EXP(-LN(2)/2))/(LN(2)/2)*GH82*GK82*VLOOKUP('Données projet'!$B$17,Paramètres!$A$1:$I$88,3,0)*0.475*44/12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67.92965926430594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projet'!$B$18,Paramètres!$A$1:$I$88,3,0)*0.475*44/12</f>
        <v>#N/A</v>
      </c>
      <c r="HH82" s="23" t="e">
        <f>EXP(-LN(2)/25)*HH81+(1-EXP(-LN(2)/25))/(LN(2)/25)*Calculateur!HC82*Calculateur!HE82*VLOOKUP('Données projet'!$B$18,Paramètres!$A$1:$I$88,3,0)*0.475*44/12</f>
        <v>#N/A</v>
      </c>
      <c r="HI82" s="23" t="e">
        <f>EXP(-LN(2)/2)*HI81+(1-EXP(-LN(2)/2))/(LN(2)/2)*HC82*HF82*VLOOKUP('Données projet'!$B$18,Paramètres!$A$1:$I$88,3,0)*0.475*44/12</f>
        <v>#N/A</v>
      </c>
      <c r="HJ82" s="24" t="e">
        <f t="shared" si="84"/>
        <v>#N/A</v>
      </c>
    </row>
    <row r="83" spans="1:218" s="5" customFormat="1" x14ac:dyDescent="0.2">
      <c r="A83" s="11">
        <f t="shared" si="85"/>
        <v>80</v>
      </c>
      <c r="B83" s="77">
        <f>'Scénario référence'!$B$16*5+'Scénario référence'!$B$17*0+'Scénario référence'!$B$18*5</f>
        <v>1.6500000000000001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6.0500000000000007</v>
      </c>
      <c r="H83" s="70">
        <f t="shared" si="56"/>
        <v>232.4666666666667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67.965575047481749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projet'!$B$9,Paramètres!$A$1:$I$88,3,0)*VLOOKUP('Données projet'!$B$9,Paramètres!$A$1:$I$88,5,0)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285.87377517410175</v>
      </c>
      <c r="S83" s="62">
        <f ca="1">AVERAGE(OFFSET($R$3,0,0,'Données projet'!$E$9+1,1))-AVERAGE(OFFSET($H$3,0,0,'Données projet'!$E$9+1,1))</f>
        <v>354.71367224254021</v>
      </c>
      <c r="T83" s="62">
        <f t="shared" si="88"/>
        <v>490.074370133397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116.58373740494504</v>
      </c>
      <c r="AA83" s="23">
        <f>EXP(-LN(2)/25)*AA82+(1-EXP(-LN(2)/25))/(LN(2)/25)*Calculateur!V83*Calculateur!X83*VLOOKUP('Données projet'!$B$9,Paramètres!$A$1:$I$88,3,0)*0.475*44/12</f>
        <v>21.277963723924913</v>
      </c>
      <c r="AB83" s="23">
        <f>EXP(-LN(2)/2)*AB82+(1-EXP(-LN(2)/2))/(LN(2)/2)*V83*Y83*VLOOKUP('Données projet'!$B$9,Paramètres!$A$1:$I$88,3,0)*0.475*44/12</f>
        <v>5.5587064932991273E-4</v>
      </c>
      <c r="AC83" s="24">
        <f t="shared" si="57"/>
        <v>137.86225699951927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67.965575047481749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2.2737367544323206E-13</v>
      </c>
      <c r="AJ83" s="14">
        <f>AI83*VLOOKUP('Données projet'!$B$10,Paramètres!$A$1:$I$88,3,0)*VLOOKUP('Données projet'!$B$10,Paramètres!$A$1:$I$88,5,0)</f>
        <v>1.3596945791505279E-13</v>
      </c>
      <c r="AK83" s="14">
        <f t="shared" si="89"/>
        <v>1.9708830566360721E-12</v>
      </c>
      <c r="AL83" s="22">
        <f t="shared" si="58"/>
        <v>3.669434796176543E-12</v>
      </c>
      <c r="AM83" s="62">
        <f t="shared" si="59"/>
        <v>285.87377517410346</v>
      </c>
      <c r="AN83" s="62">
        <f ca="1">AVERAGE(OFFSET($AM$3,0,0,'Données projet'!$E$10+1,1))-AVERAGE(OFFSET($H$3,0,0,'Données projet'!$E$10+1,1))</f>
        <v>264.73276096087574</v>
      </c>
      <c r="AO83" s="62">
        <f t="shared" si="90"/>
        <v>381.84464918049662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projet'!$B$10,Paramètres!$A$1:$I$88,3,0)*0.475*44/12</f>
        <v>81.760915849868951</v>
      </c>
      <c r="AV83" s="23">
        <f>EXP(-LN(2)/25)*AV82+(1-EXP(-LN(2)/25))/(LN(2)/25)*Calculateur!AQ83*Calculateur!AS83*VLOOKUP('Données projet'!$B$10,Paramètres!$A$1:$I$88,3,0)*0.475*44/12</f>
        <v>14.948453912725217</v>
      </c>
      <c r="AW83" s="23">
        <f>EXP(-LN(2)/2)*AW82+(1-EXP(-LN(2)/2))/(LN(2)/2)*AQ83*AT83*VLOOKUP('Données projet'!$B$10,Paramètres!$A$1:$I$88,3,0)*0.475*44/12</f>
        <v>3.8922523455353056E-4</v>
      </c>
      <c r="AX83" s="23">
        <f t="shared" si="60"/>
        <v>96.709758987828721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67.965575047481749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261</v>
      </c>
      <c r="BB83" s="13">
        <f>VLOOKUP(A83,'Données projet'!$A$87:$I$107,9,0)</f>
        <v>6</v>
      </c>
      <c r="BC83" s="13">
        <f t="array" ref="BC83">INDEX(BB:BB,MIN(IF(ISNUMBER(BB83:BB279),ROW(BB83:BB279),"")))</f>
        <v>6</v>
      </c>
      <c r="BD83" s="13">
        <f>IF('Données projet'!$A$88&gt;35,BD82+BC83-BL82,IF(A83&lt;'Données projet'!$A$88,$BA$205^A83,IF(A83='Données projet'!$A$88,'Données projet'!$B$88,BD82+BC83-BL82)))</f>
        <v>260.99999999999989</v>
      </c>
      <c r="BE83" s="14">
        <f>BD83*VLOOKUP('Données projet'!$B$11,Paramètres!$A$1:$I$88,3,0)*VLOOKUP('Données projet'!$B$11,Paramètres!$A$1:$I$88,5,0)</f>
        <v>297.22679999999986</v>
      </c>
      <c r="BF83" s="14">
        <f t="shared" si="91"/>
        <v>70.59478037753864</v>
      </c>
      <c r="BG83" s="22">
        <f t="shared" si="61"/>
        <v>640.62258582421282</v>
      </c>
      <c r="BH83" s="62">
        <f t="shared" si="62"/>
        <v>926.49636099831264</v>
      </c>
      <c r="BI83" s="62">
        <f ca="1">AVERAGE(OFFSET($BH$3,0,0,'Données projet'!$E$11+1,1))-AVERAGE(OFFSET($H$3,0,0,'Données projet'!$E$11+1,1))</f>
        <v>470.57532875732056</v>
      </c>
      <c r="BJ83" s="62">
        <f t="shared" si="92"/>
        <v>286.63787681165888</v>
      </c>
      <c r="BK83" s="16">
        <f>IF(ISNA(VLOOKUP(A83,'Données projet'!$A$87:$I$107,3,0)),0,VLOOKUP(A83,'Données projet'!$A$87:$I$107,3,0))</f>
        <v>13</v>
      </c>
      <c r="BL83" s="23">
        <f>IF(ISNA(VLOOKUP(A83,'Données projet'!$A$87:$I$107,4,0)),0,VLOOKUP(A83,'Données projet'!$A$87:$I$107,4,0))</f>
        <v>21</v>
      </c>
      <c r="BM83" s="17">
        <f>IF(ISNA(VLOOKUP(A83,'Données projet'!$A$87:$I$107,5,0)),0%,VLOOKUP(A83,'Données projet'!$A$87:$I$107,5,0)*VLOOKUP('Données projet'!$B$11,Paramètres!$A$1:$I$88,7,0))</f>
        <v>0.215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projet'!$B$11,Paramètres!$A$1:$I$88,3,0)*0.475*44/12</f>
        <v>23.168919257398461</v>
      </c>
      <c r="BQ83" s="23">
        <f>EXP(-LN(2)/25)*BQ82+(1-EXP(-LN(2)/25))/(LN(2)/25)*Calculateur!BL83*Calculateur!BN83*VLOOKUP('Données projet'!$B$11,Paramètres!$A$1:$I$88,3,0)*0.475*44/12</f>
        <v>0</v>
      </c>
      <c r="BR83" s="23">
        <f>EXP(-LN(2)/2)*BR82+(1-EXP(-LN(2)/2))/(LN(2)/2)*BL83*BO83*VLOOKUP('Données projet'!$B$11,Paramètres!$A$1:$I$88,3,0)*0.475*44/12</f>
        <v>0</v>
      </c>
      <c r="BS83" s="24">
        <f t="shared" si="63"/>
        <v>23.168919257398461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67.965575047481749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330</v>
      </c>
      <c r="BW83" s="13">
        <f>VLOOKUP(A83,'Données projet'!$A$113:$I$133,9,0)</f>
        <v>3.4</v>
      </c>
      <c r="BX83" s="13">
        <f t="array" ref="BX83">INDEX(BW:BW,MIN(IF(ISNUMBER(BW83:BW279),ROW(BW83:BW279),"")))</f>
        <v>3.4</v>
      </c>
      <c r="BY83" s="13">
        <f>IF('Données projet'!$A$114&gt;35,BY82+BX83-CG82,IF(A83&lt;'Données projet'!$A$114,$BV$205^A83,IF(A83='Données projet'!$A$114,'Données projet'!$B$114,BY82+BX83-CG82)))</f>
        <v>329.99999999999977</v>
      </c>
      <c r="BZ83" s="14">
        <f>BY83*VLOOKUP('Données projet'!$B$12,Paramètres!$A$1:$I$88,3,0)*VLOOKUP('Données projet'!$B$12,Paramètres!$A$1:$I$88,5,0)</f>
        <v>216.21599999999987</v>
      </c>
      <c r="CA83" s="14">
        <f t="shared" si="93"/>
        <v>53.291623409472983</v>
      </c>
      <c r="CB83" s="22">
        <f t="shared" si="64"/>
        <v>469.39244410483184</v>
      </c>
      <c r="CC83" s="62">
        <f t="shared" si="65"/>
        <v>755.26621927893166</v>
      </c>
      <c r="CD83" s="62">
        <f ca="1">AVERAGE(OFFSET($CC$3,0,0,'Données projet'!$E$12+1,1))-AVERAGE(OFFSET($H$3,0,0,'Données projet'!$E$12+1,1))</f>
        <v>305.38855494899906</v>
      </c>
      <c r="CE83" s="62">
        <f t="shared" si="94"/>
        <v>298.48106301229177</v>
      </c>
      <c r="CF83" s="16">
        <f>IF(ISNA(VLOOKUP(A83,'Données projet'!$A$113:$I$133,3,0)),0,VLOOKUP(A83,'Données projet'!$A$113:$I$133,3,0))</f>
        <v>15</v>
      </c>
      <c r="CG83" s="16">
        <f>IF(ISNA(VLOOKUP(A83,'Données projet'!$A$113:$I$133,4,0)),0,VLOOKUP(A83,'Données projet'!$A$113:$I$133,4,0))</f>
        <v>330</v>
      </c>
      <c r="CH83" s="17">
        <f>IF(ISNA(VLOOKUP(A83,'Données projet'!$A$113:$I$133,5,0)),0%,VLOOKUP(A83,'Données projet'!$A$113:$I$133,5,0)*VLOOKUP('Données projet'!$B$12,Paramètres!$A$1:$I$88,7,0))</f>
        <v>0.30099999999999999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projet'!$B$12,Paramètres!$A$1:$I$88,3,0)*0.475*44/12</f>
        <v>84.789095886636503</v>
      </c>
      <c r="CL83" s="23">
        <f>EXP(-LN(2)/25)*CL82+(1-EXP(-LN(2)/25))/(LN(2)/25)*Calculateur!CG83*Calculateur!CI83*VLOOKUP('Données projet'!$B$12,Paramètres!$A$1:$I$88,3,0)*0.475*44/12</f>
        <v>0</v>
      </c>
      <c r="CM83" s="23">
        <f>EXP(-LN(2)/2)*CM82+(1-EXP(-LN(2)/2))/(LN(2)/2)*CG83*CJ83*VLOOKUP('Données projet'!$B$12,Paramètres!$A$1:$I$88,3,0)*0.475*44/12</f>
        <v>0</v>
      </c>
      <c r="CN83" s="24">
        <f t="shared" si="66"/>
        <v>84.789095886636503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67.965575047481749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330</v>
      </c>
      <c r="CR83" s="13">
        <f>VLOOKUP(A83,'Données projet'!$A$139:$I$159,9,0)</f>
        <v>3.4</v>
      </c>
      <c r="CS83" s="13">
        <f t="array" ref="CS83">INDEX(CR:CR,MIN(IF(ISNUMBER(CR83:CR279),ROW(CR83:CR279),"")))</f>
        <v>3.4</v>
      </c>
      <c r="CT83" s="13">
        <f>IF('Données projet'!$A$140&gt;35,CT82+CS83-DB82,IF(A83&lt;'Données projet'!$A$140,$CQ$205^A83,IF(A83='Données projet'!$A$140,'Données projet'!$B$140,CT82+CS83-DB82)))</f>
        <v>329.99999999999977</v>
      </c>
      <c r="CU83" s="18">
        <f>CT83*VLOOKUP('Données projet'!$B$13,Paramètres!$A$1:$I$88,3,0)*VLOOKUP('Données projet'!$B$13,Paramètres!$A$1:$I$88,5,0)</f>
        <v>262.54799999999983</v>
      </c>
      <c r="CV83" s="14">
        <f t="shared" si="95"/>
        <v>63.265199933079387</v>
      </c>
      <c r="CW83" s="22">
        <f t="shared" si="67"/>
        <v>567.4579898834462</v>
      </c>
      <c r="CX83" s="62">
        <f t="shared" si="68"/>
        <v>853.33176505754591</v>
      </c>
      <c r="CY83" s="62">
        <f ca="1">AVERAGE(OFFSET($CX$3,0,0,'Données projet'!$E$13+1,1))-AVERAGE(OFFSET($H$3,0,0,'Données projet'!$E$13+1,1))</f>
        <v>361.30066984973894</v>
      </c>
      <c r="CZ83" s="62">
        <f t="shared" si="96"/>
        <v>351.78053157121622</v>
      </c>
      <c r="DA83" s="16">
        <f>IF(ISNA(VLOOKUP(A83,'Données projet'!$A$139:$I$159,3,0)),0,VLOOKUP(A83,'Données projet'!$A$139:$I$159,3,0))</f>
        <v>15</v>
      </c>
      <c r="DB83" s="16">
        <f>IF(ISNA(VLOOKUP(A83,'Données projet'!$A$139:$I$159,4,0)),0,VLOOKUP(A83,'Données projet'!$A$139:$I$159,4,0))</f>
        <v>330</v>
      </c>
      <c r="DC83" s="17">
        <f>IF(ISNA(VLOOKUP(A83,'Données projet'!$A$139:$I$159,5,0)),0%,VLOOKUP(A83,'Données projet'!$A$139:$I$159,5,0)*VLOOKUP('Données projet'!$B$13,Paramètres!$A$1:$I$88,7,0))</f>
        <v>0.371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projet'!$B$13,Paramètres!$A$1:$I$88,3,0)*0.475*44/12</f>
        <v>126.90195248149415</v>
      </c>
      <c r="DG83" s="23">
        <f>EXP(-LN(2)/25)*DG82+(1-EXP(-LN(2)/25))/(LN(2)/25)*Calculateur!DB83*Calculateur!DD83*VLOOKUP('Données projet'!$B$13,Paramètres!$A$1:$I$88,3,0)*0.475*44/12</f>
        <v>0</v>
      </c>
      <c r="DH83" s="23">
        <f>EXP(-LN(2)/2)*DH82+(1-EXP(-LN(2)/2))/(LN(2)/2)*DB83*DE83*VLOOKUP('Données projet'!$B$13,Paramètres!$A$1:$I$88,3,0)*0.475*44/12</f>
        <v>0</v>
      </c>
      <c r="DI83" s="24">
        <f t="shared" si="69"/>
        <v>126.90195248149415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67.965575047481749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>
        <f>DO83*VLOOKUP('Données projet'!$B$14,Paramètres!$A$1:$I$88,3,0)*VLOOKUP('Données projet'!$B$14,Paramètres!$A$1:$I$88,5,0)</f>
        <v>0</v>
      </c>
      <c r="DQ83" s="14" t="e">
        <f t="shared" si="97"/>
        <v>#NUM!</v>
      </c>
      <c r="DR83" s="22" t="e">
        <f t="shared" si="70"/>
        <v>#NUM!</v>
      </c>
      <c r="DS83" s="62" t="e">
        <f t="shared" si="71"/>
        <v>#NUM!</v>
      </c>
      <c r="DT83" s="62">
        <f ca="1">AVERAGE(OFFSET($DS$3,0,0,'Données projet'!$E$14+1,1))-AVERAGE(OFFSET($H$3,0,0,'Données projet'!$E$14+1,1))</f>
        <v>91.201152634762423</v>
      </c>
      <c r="DU83" s="62">
        <f t="shared" si="98"/>
        <v>233.36981992862445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projet'!$B$14,Paramètres!$A$1:$I$88,3,0)*0.475*44/12</f>
        <v>15.401156861428481</v>
      </c>
      <c r="EB83" s="23">
        <f>EXP(-LN(2)/25)*EB82+(1-EXP(-LN(2)/25))/(LN(2)/25)*Calculateur!DW83*Calculateur!DY83*VLOOKUP('Données projet'!$B$14,Paramètres!$A$1:$I$88,3,0)*0.475*44/12</f>
        <v>0</v>
      </c>
      <c r="EC83" s="23">
        <f>EXP(-LN(2)/2)*EC82+(1-EXP(-LN(2)/2))/(LN(2)/2)*DW83*DZ83*VLOOKUP('Données projet'!$B$14,Paramètres!$A$1:$I$88,3,0)*0.475*44/12</f>
        <v>0</v>
      </c>
      <c r="ED83" s="24">
        <f t="shared" si="72"/>
        <v>15.401156861428481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67.965575047481749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projet'!$B$15,Paramètres!$A$1:$I$88,3,0)*0.475*44/12</f>
        <v>#N/A</v>
      </c>
      <c r="EW83" s="23" t="e">
        <f>EXP(-LN(2)/25)*EW82+(1-EXP(-LN(2)/25))/(LN(2)/25)*Calculateur!ER83*Calculateur!ET83*VLOOKUP('Données projet'!$B$15,Paramètres!$A$1:$I$88,3,0)*0.475*44/12</f>
        <v>#N/A</v>
      </c>
      <c r="EX83" s="23" t="e">
        <f>EXP(-LN(2)/2)*EX82+(1-EXP(-LN(2)/2))/(LN(2)/2)*ER83*EU83*VLOOKUP('Données projet'!$B$15,Paramètres!$A$1:$I$88,3,0)*0.475*44/12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67.965575047481749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projet'!$B$16,Paramètres!$A$1:$I$88,3,0)*0.475*44/12</f>
        <v>#N/A</v>
      </c>
      <c r="FR83" s="23" t="e">
        <f>EXP(-LN(2)/25)*FR82+(1-EXP(-LN(2)/25))/(LN(2)/25)*Calculateur!FM83*Calculateur!FO83*VLOOKUP('Données projet'!$B$16,Paramètres!$A$1:$I$88,3,0)*0.475*44/12</f>
        <v>#N/A</v>
      </c>
      <c r="FS83" s="23" t="e">
        <f>EXP(-LN(2)/2)*FS82+(1-EXP(-LN(2)/2))/(LN(2)/2)*FM83*FP83*VLOOKUP('Données projet'!$B$16,Paramètres!$A$1:$I$88,3,0)*0.475*44/12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67.965575047481749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projet'!$B$17,Paramètres!$A$1:$I$88,3,0)*0.475*44/12</f>
        <v>#N/A</v>
      </c>
      <c r="GM83" s="23" t="e">
        <f>EXP(-LN(2)/25)*GM82+(1-EXP(-LN(2)/25))/(LN(2)/25)*Calculateur!GH83*Calculateur!GJ83*VLOOKUP('Données projet'!$B$17,Paramètres!$A$1:$I$88,3,0)*0.475*44/12</f>
        <v>#N/A</v>
      </c>
      <c r="GN83" s="23" t="e">
        <f>EXP(-LN(2)/2)*GN82+(1-EXP(-LN(2)/2))/(LN(2)/2)*GH83*GK83*VLOOKUP('Données projet'!$B$17,Paramètres!$A$1:$I$88,3,0)*0.475*44/12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67.965575047481749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projet'!$B$18,Paramètres!$A$1:$I$88,3,0)*0.475*44/12</f>
        <v>#N/A</v>
      </c>
      <c r="HH83" s="23" t="e">
        <f>EXP(-LN(2)/25)*HH82+(1-EXP(-LN(2)/25))/(LN(2)/25)*Calculateur!HC83*Calculateur!HE83*VLOOKUP('Données projet'!$B$18,Paramètres!$A$1:$I$88,3,0)*0.475*44/12</f>
        <v>#N/A</v>
      </c>
      <c r="HI83" s="23" t="e">
        <f>EXP(-LN(2)/2)*HI82+(1-EXP(-LN(2)/2))/(LN(2)/2)*HC83*HF83*VLOOKUP('Données projet'!$B$18,Paramètres!$A$1:$I$88,3,0)*0.475*44/12</f>
        <v>#N/A</v>
      </c>
      <c r="HJ83" s="24" t="e">
        <f t="shared" si="84"/>
        <v>#N/A</v>
      </c>
    </row>
    <row r="84" spans="1:218" s="5" customFormat="1" x14ac:dyDescent="0.2">
      <c r="A84" s="11">
        <f t="shared" si="85"/>
        <v>81</v>
      </c>
      <c r="B84" s="77">
        <f>'Scénario référence'!$B$16*5+'Scénario référence'!$B$17*0+'Scénario référence'!$B$18*5</f>
        <v>1.6500000000000001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6.0500000000000007</v>
      </c>
      <c r="H84" s="70">
        <f t="shared" si="56"/>
        <v>232.4666666666667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68.000867772115129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projet'!$B$9,Paramètres!$A$1:$I$88,3,0)*VLOOKUP('Données projet'!$B$9,Paramètres!$A$1:$I$88,5,0)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286.00318183109079</v>
      </c>
      <c r="S84" s="62">
        <f ca="1">AVERAGE(OFFSET($R$3,0,0,'Données projet'!$E$9+1,1))-AVERAGE(OFFSET($H$3,0,0,'Données projet'!$E$9+1,1))</f>
        <v>354.71367224254021</v>
      </c>
      <c r="T84" s="62">
        <f t="shared" si="88"/>
        <v>490.074370133397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114.29760142349245</v>
      </c>
      <c r="AA84" s="23">
        <f>EXP(-LN(2)/25)*AA83+(1-EXP(-LN(2)/25))/(LN(2)/25)*Calculateur!V84*Calculateur!X84*VLOOKUP('Données projet'!$B$9,Paramètres!$A$1:$I$88,3,0)*0.475*44/12</f>
        <v>20.696116686934705</v>
      </c>
      <c r="AB84" s="23">
        <f>EXP(-LN(2)/2)*AB83+(1-EXP(-LN(2)/2))/(LN(2)/2)*V84*Y84*VLOOKUP('Données projet'!$B$9,Paramètres!$A$1:$I$88,3,0)*0.475*44/12</f>
        <v>3.930599056037507E-4</v>
      </c>
      <c r="AC84" s="24">
        <f t="shared" si="57"/>
        <v>134.99411117033276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68.000867772115129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2.2737367544323206E-13</v>
      </c>
      <c r="AJ84" s="14">
        <f>AI84*VLOOKUP('Données projet'!$B$10,Paramètres!$A$1:$I$88,3,0)*VLOOKUP('Données projet'!$B$10,Paramètres!$A$1:$I$88,5,0)</f>
        <v>1.3596945791505279E-13</v>
      </c>
      <c r="AK84" s="14">
        <f t="shared" si="89"/>
        <v>1.9708830566360721E-12</v>
      </c>
      <c r="AL84" s="22">
        <f t="shared" si="58"/>
        <v>3.669434796176543E-12</v>
      </c>
      <c r="AM84" s="62">
        <f t="shared" si="59"/>
        <v>286.00318183109249</v>
      </c>
      <c r="AN84" s="62">
        <f ca="1">AVERAGE(OFFSET($AM$3,0,0,'Données projet'!$E$10+1,1))-AVERAGE(OFFSET($H$3,0,0,'Données projet'!$E$10+1,1))</f>
        <v>264.73276096087574</v>
      </c>
      <c r="AO84" s="62">
        <f t="shared" si="90"/>
        <v>381.84464918049662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projet'!$B$10,Paramètres!$A$1:$I$88,3,0)*0.475*44/12</f>
        <v>80.157634159287511</v>
      </c>
      <c r="AV84" s="23">
        <f>EXP(-LN(2)/25)*AV83+(1-EXP(-LN(2)/25))/(LN(2)/25)*Calculateur!AQ84*Calculateur!AS84*VLOOKUP('Données projet'!$B$10,Paramètres!$A$1:$I$88,3,0)*0.475*44/12</f>
        <v>14.539687654376721</v>
      </c>
      <c r="AW84" s="23">
        <f>EXP(-LN(2)/2)*AW83+(1-EXP(-LN(2)/2))/(LN(2)/2)*AQ84*AT84*VLOOKUP('Données projet'!$B$10,Paramètres!$A$1:$I$88,3,0)*0.475*44/12</f>
        <v>2.7522380276172597E-4</v>
      </c>
      <c r="AX84" s="23">
        <f t="shared" si="60"/>
        <v>94.697597037466991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68.000867772115129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5.8</v>
      </c>
      <c r="BD84" s="13">
        <f>IF('Données projet'!$A$88&gt;35,BD83+BC84-BL83,IF(A84&lt;'Données projet'!$A$88,$BA$205^A84,IF(A84='Données projet'!$A$88,'Données projet'!$B$88,BD83+BC84-BL83)))</f>
        <v>245.7999999999999</v>
      </c>
      <c r="BE84" s="14">
        <f>BD84*VLOOKUP('Données projet'!$B$11,Paramètres!$A$1:$I$88,3,0)*VLOOKUP('Données projet'!$B$11,Paramètres!$A$1:$I$88,5,0)</f>
        <v>279.91703999999987</v>
      </c>
      <c r="BF84" s="14">
        <f t="shared" si="91"/>
        <v>66.949476745940956</v>
      </c>
      <c r="BG84" s="22">
        <f t="shared" si="61"/>
        <v>604.12584999918022</v>
      </c>
      <c r="BH84" s="62">
        <f t="shared" si="62"/>
        <v>890.12903183026901</v>
      </c>
      <c r="BI84" s="62">
        <f ca="1">AVERAGE(OFFSET($BH$3,0,0,'Données projet'!$E$11+1,1))-AVERAGE(OFFSET($H$3,0,0,'Données projet'!$E$11+1,1))</f>
        <v>470.57532875732056</v>
      </c>
      <c r="BJ84" s="62">
        <f t="shared" si="92"/>
        <v>286.63787681165888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projet'!$B$11,Paramètres!$A$1:$I$88,3,0)*0.475*44/12</f>
        <v>22.714590882406238</v>
      </c>
      <c r="BQ84" s="23">
        <f>EXP(-LN(2)/25)*BQ83+(1-EXP(-LN(2)/25))/(LN(2)/25)*Calculateur!BL84*Calculateur!BN84*VLOOKUP('Données projet'!$B$11,Paramètres!$A$1:$I$88,3,0)*0.475*44/12</f>
        <v>0</v>
      </c>
      <c r="BR84" s="23">
        <f>EXP(-LN(2)/2)*BR83+(1-EXP(-LN(2)/2))/(LN(2)/2)*BL84*BO84*VLOOKUP('Données projet'!$B$11,Paramètres!$A$1:$I$88,3,0)*0.475*44/12</f>
        <v>0</v>
      </c>
      <c r="BS84" s="24">
        <f t="shared" si="63"/>
        <v>22.714590882406238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68.000867772115129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-2.2737367544323206E-13</v>
      </c>
      <c r="BZ84" s="14">
        <f>BY84*VLOOKUP('Données projet'!$B$12,Paramètres!$A$1:$I$88,3,0)*VLOOKUP('Données projet'!$B$12,Paramètres!$A$1:$I$88,5,0)</f>
        <v>-1.4897523215040565E-13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305.38855494899906</v>
      </c>
      <c r="CE84" s="62">
        <f t="shared" si="94"/>
        <v>298.48106301229177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projet'!$B$12,Paramètres!$A$1:$I$88,3,0)*0.475*44/12</f>
        <v>83.126433432541504</v>
      </c>
      <c r="CL84" s="23">
        <f>EXP(-LN(2)/25)*CL83+(1-EXP(-LN(2)/25))/(LN(2)/25)*Calculateur!CG84*Calculateur!CI84*VLOOKUP('Données projet'!$B$12,Paramètres!$A$1:$I$88,3,0)*0.475*44/12</f>
        <v>0</v>
      </c>
      <c r="CM84" s="23">
        <f>EXP(-LN(2)/2)*CM83+(1-EXP(-LN(2)/2))/(LN(2)/2)*CG84*CJ84*VLOOKUP('Données projet'!$B$12,Paramètres!$A$1:$I$88,3,0)*0.475*44/12</f>
        <v>0</v>
      </c>
      <c r="CN84" s="24">
        <f t="shared" si="66"/>
        <v>83.126433432541504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68.000867772115129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-2.2737367544323206E-13</v>
      </c>
      <c r="CU84" s="18">
        <f>CT84*VLOOKUP('Données projet'!$B$13,Paramètres!$A$1:$I$88,3,0)*VLOOKUP('Données projet'!$B$13,Paramètres!$A$1:$I$88,5,0)</f>
        <v>-1.8089849618263545E-13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361.30066984973894</v>
      </c>
      <c r="CZ84" s="62">
        <f t="shared" si="96"/>
        <v>351.78053157121622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projet'!$B$13,Paramètres!$A$1:$I$88,3,0)*0.475*44/12</f>
        <v>124.4134825958802</v>
      </c>
      <c r="DG84" s="23">
        <f>EXP(-LN(2)/25)*DG83+(1-EXP(-LN(2)/25))/(LN(2)/25)*Calculateur!DB84*Calculateur!DD84*VLOOKUP('Données projet'!$B$13,Paramètres!$A$1:$I$88,3,0)*0.475*44/12</f>
        <v>0</v>
      </c>
      <c r="DH84" s="23">
        <f>EXP(-LN(2)/2)*DH83+(1-EXP(-LN(2)/2))/(LN(2)/2)*DB84*DE84*VLOOKUP('Données projet'!$B$13,Paramètres!$A$1:$I$88,3,0)*0.475*44/12</f>
        <v>0</v>
      </c>
      <c r="DI84" s="24">
        <f t="shared" si="69"/>
        <v>124.4134825958802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68.000867772115129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>
        <f>DO84*VLOOKUP('Données projet'!$B$14,Paramètres!$A$1:$I$88,3,0)*VLOOKUP('Données projet'!$B$14,Paramètres!$A$1:$I$88,5,0)</f>
        <v>0</v>
      </c>
      <c r="DQ84" s="14" t="e">
        <f t="shared" si="97"/>
        <v>#NUM!</v>
      </c>
      <c r="DR84" s="22" t="e">
        <f t="shared" si="70"/>
        <v>#NUM!</v>
      </c>
      <c r="DS84" s="62" t="e">
        <f t="shared" si="71"/>
        <v>#NUM!</v>
      </c>
      <c r="DT84" s="62">
        <f ca="1">AVERAGE(OFFSET($DS$3,0,0,'Données projet'!$E$14+1,1))-AVERAGE(OFFSET($H$3,0,0,'Données projet'!$E$14+1,1))</f>
        <v>91.201152634762423</v>
      </c>
      <c r="DU84" s="62">
        <f t="shared" si="98"/>
        <v>233.36981992862445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projet'!$B$14,Paramètres!$A$1:$I$88,3,0)*0.475*44/12</f>
        <v>15.099149569153996</v>
      </c>
      <c r="EB84" s="23">
        <f>EXP(-LN(2)/25)*EB83+(1-EXP(-LN(2)/25))/(LN(2)/25)*Calculateur!DW84*Calculateur!DY84*VLOOKUP('Données projet'!$B$14,Paramètres!$A$1:$I$88,3,0)*0.475*44/12</f>
        <v>0</v>
      </c>
      <c r="EC84" s="23">
        <f>EXP(-LN(2)/2)*EC83+(1-EXP(-LN(2)/2))/(LN(2)/2)*DW84*DZ84*VLOOKUP('Données projet'!$B$14,Paramètres!$A$1:$I$88,3,0)*0.475*44/12</f>
        <v>0</v>
      </c>
      <c r="ED84" s="24">
        <f t="shared" si="72"/>
        <v>15.099149569153996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68.000867772115129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projet'!$B$15,Paramètres!$A$1:$I$88,3,0)*0.475*44/12</f>
        <v>#N/A</v>
      </c>
      <c r="EW84" s="23" t="e">
        <f>EXP(-LN(2)/25)*EW83+(1-EXP(-LN(2)/25))/(LN(2)/25)*Calculateur!ER84*Calculateur!ET84*VLOOKUP('Données projet'!$B$15,Paramètres!$A$1:$I$88,3,0)*0.475*44/12</f>
        <v>#N/A</v>
      </c>
      <c r="EX84" s="23" t="e">
        <f>EXP(-LN(2)/2)*EX83+(1-EXP(-LN(2)/2))/(LN(2)/2)*ER84*EU84*VLOOKUP('Données projet'!$B$15,Paramètres!$A$1:$I$88,3,0)*0.475*44/12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68.000867772115129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projet'!$B$16,Paramètres!$A$1:$I$88,3,0)*0.475*44/12</f>
        <v>#N/A</v>
      </c>
      <c r="FR84" s="23" t="e">
        <f>EXP(-LN(2)/25)*FR83+(1-EXP(-LN(2)/25))/(LN(2)/25)*Calculateur!FM84*Calculateur!FO84*VLOOKUP('Données projet'!$B$16,Paramètres!$A$1:$I$88,3,0)*0.475*44/12</f>
        <v>#N/A</v>
      </c>
      <c r="FS84" s="23" t="e">
        <f>EXP(-LN(2)/2)*FS83+(1-EXP(-LN(2)/2))/(LN(2)/2)*FM84*FP84*VLOOKUP('Données projet'!$B$16,Paramètres!$A$1:$I$88,3,0)*0.475*44/12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68.000867772115129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projet'!$B$17,Paramètres!$A$1:$I$88,3,0)*0.475*44/12</f>
        <v>#N/A</v>
      </c>
      <c r="GM84" s="23" t="e">
        <f>EXP(-LN(2)/25)*GM83+(1-EXP(-LN(2)/25))/(LN(2)/25)*Calculateur!GH84*Calculateur!GJ84*VLOOKUP('Données projet'!$B$17,Paramètres!$A$1:$I$88,3,0)*0.475*44/12</f>
        <v>#N/A</v>
      </c>
      <c r="GN84" s="23" t="e">
        <f>EXP(-LN(2)/2)*GN83+(1-EXP(-LN(2)/2))/(LN(2)/2)*GH84*GK84*VLOOKUP('Données projet'!$B$17,Paramètres!$A$1:$I$88,3,0)*0.475*44/12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68.000867772115129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projet'!$B$18,Paramètres!$A$1:$I$88,3,0)*0.475*44/12</f>
        <v>#N/A</v>
      </c>
      <c r="HH84" s="23" t="e">
        <f>EXP(-LN(2)/25)*HH83+(1-EXP(-LN(2)/25))/(LN(2)/25)*Calculateur!HC84*Calculateur!HE84*VLOOKUP('Données projet'!$B$18,Paramètres!$A$1:$I$88,3,0)*0.475*44/12</f>
        <v>#N/A</v>
      </c>
      <c r="HI84" s="23" t="e">
        <f>EXP(-LN(2)/2)*HI83+(1-EXP(-LN(2)/2))/(LN(2)/2)*HC84*HF84*VLOOKUP('Données projet'!$B$18,Paramètres!$A$1:$I$88,3,0)*0.475*44/12</f>
        <v>#N/A</v>
      </c>
      <c r="HJ84" s="24" t="e">
        <f t="shared" si="84"/>
        <v>#N/A</v>
      </c>
    </row>
    <row r="85" spans="1:218" s="5" customFormat="1" x14ac:dyDescent="0.2">
      <c r="A85" s="11">
        <f t="shared" si="85"/>
        <v>82</v>
      </c>
      <c r="B85" s="77">
        <f>'Scénario référence'!$B$16*5+'Scénario référence'!$B$17*0+'Scénario référence'!$B$18*5</f>
        <v>1.6500000000000001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6.0500000000000007</v>
      </c>
      <c r="H85" s="70">
        <f t="shared" si="56"/>
        <v>232.4666666666667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68.035548246878847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projet'!$B$9,Paramètres!$A$1:$I$88,3,0)*VLOOKUP('Données projet'!$B$9,Paramètres!$A$1:$I$88,5,0)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286.1303435718911</v>
      </c>
      <c r="S85" s="62">
        <f ca="1">AVERAGE(OFFSET($R$3,0,0,'Données projet'!$E$9+1,1))-AVERAGE(OFFSET($H$3,0,0,'Données projet'!$E$9+1,1))</f>
        <v>354.71367224254021</v>
      </c>
      <c r="T85" s="62">
        <f t="shared" si="88"/>
        <v>490.074370133397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112.05629517423088</v>
      </c>
      <c r="AA85" s="23">
        <f>EXP(-LN(2)/25)*AA84+(1-EXP(-LN(2)/25))/(LN(2)/25)*Calculateur!V85*Calculateur!X85*VLOOKUP('Données projet'!$B$9,Paramètres!$A$1:$I$88,3,0)*0.475*44/12</f>
        <v>20.130180287769001</v>
      </c>
      <c r="AB85" s="23">
        <f>EXP(-LN(2)/2)*AB84+(1-EXP(-LN(2)/2))/(LN(2)/2)*V85*Y85*VLOOKUP('Données projet'!$B$9,Paramètres!$A$1:$I$88,3,0)*0.475*44/12</f>
        <v>2.7793532466495637E-4</v>
      </c>
      <c r="AC85" s="24">
        <f t="shared" si="57"/>
        <v>132.18675339732457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68.035548246878847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2.2737367544323206E-13</v>
      </c>
      <c r="AJ85" s="14">
        <f>AI85*VLOOKUP('Données projet'!$B$10,Paramètres!$A$1:$I$88,3,0)*VLOOKUP('Données projet'!$B$10,Paramètres!$A$1:$I$88,5,0)</f>
        <v>1.3596945791505279E-13</v>
      </c>
      <c r="AK85" s="14">
        <f t="shared" si="89"/>
        <v>1.9708830566360721E-12</v>
      </c>
      <c r="AL85" s="22">
        <f t="shared" si="58"/>
        <v>3.669434796176543E-12</v>
      </c>
      <c r="AM85" s="62">
        <f t="shared" si="59"/>
        <v>286.13034357189281</v>
      </c>
      <c r="AN85" s="62">
        <f ca="1">AVERAGE(OFFSET($AM$3,0,0,'Données projet'!$E$10+1,1))-AVERAGE(OFFSET($H$3,0,0,'Données projet'!$E$10+1,1))</f>
        <v>264.73276096087574</v>
      </c>
      <c r="AO85" s="62">
        <f t="shared" si="90"/>
        <v>381.84464918049662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projet'!$B$10,Paramètres!$A$1:$I$88,3,0)*0.475*44/12</f>
        <v>78.585791844753103</v>
      </c>
      <c r="AV85" s="23">
        <f>EXP(-LN(2)/25)*AV84+(1-EXP(-LN(2)/25))/(LN(2)/25)*Calculateur!AQ85*Calculateur!AS85*VLOOKUP('Données projet'!$B$10,Paramètres!$A$1:$I$88,3,0)*0.475*44/12</f>
        <v>14.142099130858846</v>
      </c>
      <c r="AW85" s="23">
        <f>EXP(-LN(2)/2)*AW84+(1-EXP(-LN(2)/2))/(LN(2)/2)*AQ85*AT85*VLOOKUP('Données projet'!$B$10,Paramètres!$A$1:$I$88,3,0)*0.475*44/12</f>
        <v>1.9461261727676528E-4</v>
      </c>
      <c r="AX85" s="23">
        <f t="shared" si="60"/>
        <v>92.728085588229234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68.035548246878847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5.8</v>
      </c>
      <c r="BD85" s="13">
        <f>IF('Données projet'!$A$88&gt;35,BD84+BC85-BL84,IF(A85&lt;'Données projet'!$A$88,$BA$205^A85,IF(A85='Données projet'!$A$88,'Données projet'!$B$88,BD84+BC85-BL84)))</f>
        <v>251.59999999999991</v>
      </c>
      <c r="BE85" s="14">
        <f>BD85*VLOOKUP('Données projet'!$B$11,Paramètres!$A$1:$I$88,3,0)*VLOOKUP('Données projet'!$B$11,Paramètres!$A$1:$I$88,5,0)</f>
        <v>286.5220799999999</v>
      </c>
      <c r="BF85" s="14">
        <f t="shared" si="91"/>
        <v>68.343459361010702</v>
      </c>
      <c r="BG85" s="22">
        <f t="shared" si="61"/>
        <v>618.05748105376017</v>
      </c>
      <c r="BH85" s="62">
        <f t="shared" si="62"/>
        <v>904.18782462564923</v>
      </c>
      <c r="BI85" s="62">
        <f ca="1">AVERAGE(OFFSET($BH$3,0,0,'Données projet'!$E$11+1,1))-AVERAGE(OFFSET($H$3,0,0,'Données projet'!$E$11+1,1))</f>
        <v>470.57532875732056</v>
      </c>
      <c r="BJ85" s="62">
        <f t="shared" si="92"/>
        <v>286.63787681165888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projet'!$B$11,Paramètres!$A$1:$I$88,3,0)*0.475*44/12</f>
        <v>22.26917160973467</v>
      </c>
      <c r="BQ85" s="23">
        <f>EXP(-LN(2)/25)*BQ84+(1-EXP(-LN(2)/25))/(LN(2)/25)*Calculateur!BL85*Calculateur!BN85*VLOOKUP('Données projet'!$B$11,Paramètres!$A$1:$I$88,3,0)*0.475*44/12</f>
        <v>0</v>
      </c>
      <c r="BR85" s="23">
        <f>EXP(-LN(2)/2)*BR84+(1-EXP(-LN(2)/2))/(LN(2)/2)*BL85*BO85*VLOOKUP('Données projet'!$B$11,Paramètres!$A$1:$I$88,3,0)*0.475*44/12</f>
        <v>0</v>
      </c>
      <c r="BS85" s="24">
        <f t="shared" si="63"/>
        <v>22.26917160973467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68.035548246878847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-2.2737367544323206E-13</v>
      </c>
      <c r="BZ85" s="14">
        <f>BY85*VLOOKUP('Données projet'!$B$12,Paramètres!$A$1:$I$88,3,0)*VLOOKUP('Données projet'!$B$12,Paramètres!$A$1:$I$88,5,0)</f>
        <v>-1.4897523215040565E-13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305.38855494899906</v>
      </c>
      <c r="CE85" s="62">
        <f t="shared" si="94"/>
        <v>298.48106301229177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projet'!$B$12,Paramètres!$A$1:$I$88,3,0)*0.475*44/12</f>
        <v>81.496374775047343</v>
      </c>
      <c r="CL85" s="23">
        <f>EXP(-LN(2)/25)*CL84+(1-EXP(-LN(2)/25))/(LN(2)/25)*Calculateur!CG85*Calculateur!CI85*VLOOKUP('Données projet'!$B$12,Paramètres!$A$1:$I$88,3,0)*0.475*44/12</f>
        <v>0</v>
      </c>
      <c r="CM85" s="23">
        <f>EXP(-LN(2)/2)*CM84+(1-EXP(-LN(2)/2))/(LN(2)/2)*CG85*CJ85*VLOOKUP('Données projet'!$B$12,Paramètres!$A$1:$I$88,3,0)*0.475*44/12</f>
        <v>0</v>
      </c>
      <c r="CN85" s="24">
        <f t="shared" si="66"/>
        <v>81.496374775047343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68.035548246878847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-2.2737367544323206E-13</v>
      </c>
      <c r="CU85" s="18">
        <f>CT85*VLOOKUP('Données projet'!$B$13,Paramètres!$A$1:$I$88,3,0)*VLOOKUP('Données projet'!$B$13,Paramètres!$A$1:$I$88,5,0)</f>
        <v>-1.8089849618263545E-13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361.30066984973894</v>
      </c>
      <c r="CZ85" s="62">
        <f t="shared" si="96"/>
        <v>351.78053157121622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projet'!$B$13,Paramètres!$A$1:$I$88,3,0)*0.475*44/12</f>
        <v>121.97381008690637</v>
      </c>
      <c r="DG85" s="23">
        <f>EXP(-LN(2)/25)*DG84+(1-EXP(-LN(2)/25))/(LN(2)/25)*Calculateur!DB85*Calculateur!DD85*VLOOKUP('Données projet'!$B$13,Paramètres!$A$1:$I$88,3,0)*0.475*44/12</f>
        <v>0</v>
      </c>
      <c r="DH85" s="23">
        <f>EXP(-LN(2)/2)*DH84+(1-EXP(-LN(2)/2))/(LN(2)/2)*DB85*DE85*VLOOKUP('Données projet'!$B$13,Paramètres!$A$1:$I$88,3,0)*0.475*44/12</f>
        <v>0</v>
      </c>
      <c r="DI85" s="24">
        <f t="shared" si="69"/>
        <v>121.97381008690637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68.035548246878847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>
        <f>DO85*VLOOKUP('Données projet'!$B$14,Paramètres!$A$1:$I$88,3,0)*VLOOKUP('Données projet'!$B$14,Paramètres!$A$1:$I$88,5,0)</f>
        <v>0</v>
      </c>
      <c r="DQ85" s="14" t="e">
        <f t="shared" si="97"/>
        <v>#NUM!</v>
      </c>
      <c r="DR85" s="22" t="e">
        <f t="shared" si="70"/>
        <v>#NUM!</v>
      </c>
      <c r="DS85" s="62" t="e">
        <f t="shared" si="71"/>
        <v>#NUM!</v>
      </c>
      <c r="DT85" s="62">
        <f ca="1">AVERAGE(OFFSET($DS$3,0,0,'Données projet'!$E$14+1,1))-AVERAGE(OFFSET($H$3,0,0,'Données projet'!$E$14+1,1))</f>
        <v>91.201152634762423</v>
      </c>
      <c r="DU85" s="62">
        <f t="shared" si="98"/>
        <v>233.36981992862445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projet'!$B$14,Paramètres!$A$1:$I$88,3,0)*0.475*44/12</f>
        <v>14.803064455674754</v>
      </c>
      <c r="EB85" s="23">
        <f>EXP(-LN(2)/25)*EB84+(1-EXP(-LN(2)/25))/(LN(2)/25)*Calculateur!DW85*Calculateur!DY85*VLOOKUP('Données projet'!$B$14,Paramètres!$A$1:$I$88,3,0)*0.475*44/12</f>
        <v>0</v>
      </c>
      <c r="EC85" s="23">
        <f>EXP(-LN(2)/2)*EC84+(1-EXP(-LN(2)/2))/(LN(2)/2)*DW85*DZ85*VLOOKUP('Données projet'!$B$14,Paramètres!$A$1:$I$88,3,0)*0.475*44/12</f>
        <v>0</v>
      </c>
      <c r="ED85" s="24">
        <f t="shared" si="72"/>
        <v>14.803064455674754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68.035548246878847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projet'!$B$15,Paramètres!$A$1:$I$88,3,0)*0.475*44/12</f>
        <v>#N/A</v>
      </c>
      <c r="EW85" s="23" t="e">
        <f>EXP(-LN(2)/25)*EW84+(1-EXP(-LN(2)/25))/(LN(2)/25)*Calculateur!ER85*Calculateur!ET85*VLOOKUP('Données projet'!$B$15,Paramètres!$A$1:$I$88,3,0)*0.475*44/12</f>
        <v>#N/A</v>
      </c>
      <c r="EX85" s="23" t="e">
        <f>EXP(-LN(2)/2)*EX84+(1-EXP(-LN(2)/2))/(LN(2)/2)*ER85*EU85*VLOOKUP('Données projet'!$B$15,Paramètres!$A$1:$I$88,3,0)*0.475*44/12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68.035548246878847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projet'!$B$16,Paramètres!$A$1:$I$88,3,0)*0.475*44/12</f>
        <v>#N/A</v>
      </c>
      <c r="FR85" s="23" t="e">
        <f>EXP(-LN(2)/25)*FR84+(1-EXP(-LN(2)/25))/(LN(2)/25)*Calculateur!FM85*Calculateur!FO85*VLOOKUP('Données projet'!$B$16,Paramètres!$A$1:$I$88,3,0)*0.475*44/12</f>
        <v>#N/A</v>
      </c>
      <c r="FS85" s="23" t="e">
        <f>EXP(-LN(2)/2)*FS84+(1-EXP(-LN(2)/2))/(LN(2)/2)*FM85*FP85*VLOOKUP('Données projet'!$B$16,Paramètres!$A$1:$I$88,3,0)*0.475*44/12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68.035548246878847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projet'!$B$17,Paramètres!$A$1:$I$88,3,0)*0.475*44/12</f>
        <v>#N/A</v>
      </c>
      <c r="GM85" s="23" t="e">
        <f>EXP(-LN(2)/25)*GM84+(1-EXP(-LN(2)/25))/(LN(2)/25)*Calculateur!GH85*Calculateur!GJ85*VLOOKUP('Données projet'!$B$17,Paramètres!$A$1:$I$88,3,0)*0.475*44/12</f>
        <v>#N/A</v>
      </c>
      <c r="GN85" s="23" t="e">
        <f>EXP(-LN(2)/2)*GN84+(1-EXP(-LN(2)/2))/(LN(2)/2)*GH85*GK85*VLOOKUP('Données projet'!$B$17,Paramètres!$A$1:$I$88,3,0)*0.475*44/12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68.035548246878847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projet'!$B$18,Paramètres!$A$1:$I$88,3,0)*0.475*44/12</f>
        <v>#N/A</v>
      </c>
      <c r="HH85" s="23" t="e">
        <f>EXP(-LN(2)/25)*HH84+(1-EXP(-LN(2)/25))/(LN(2)/25)*Calculateur!HC85*Calculateur!HE85*VLOOKUP('Données projet'!$B$18,Paramètres!$A$1:$I$88,3,0)*0.475*44/12</f>
        <v>#N/A</v>
      </c>
      <c r="HI85" s="23" t="e">
        <f>EXP(-LN(2)/2)*HI84+(1-EXP(-LN(2)/2))/(LN(2)/2)*HC85*HF85*VLOOKUP('Données projet'!$B$18,Paramètres!$A$1:$I$88,3,0)*0.475*44/12</f>
        <v>#N/A</v>
      </c>
      <c r="HJ85" s="24" t="e">
        <f t="shared" si="84"/>
        <v>#N/A</v>
      </c>
    </row>
    <row r="86" spans="1:218" s="5" customFormat="1" x14ac:dyDescent="0.2">
      <c r="A86" s="11">
        <f t="shared" si="85"/>
        <v>83</v>
      </c>
      <c r="B86" s="77">
        <f>'Scénario référence'!$B$16*5+'Scénario référence'!$B$17*0+'Scénario référence'!$B$18*5</f>
        <v>1.6500000000000001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6.0500000000000007</v>
      </c>
      <c r="H86" s="70">
        <f t="shared" si="56"/>
        <v>232.4666666666667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68.069627092939328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projet'!$B$9,Paramètres!$A$1:$I$88,3,0)*VLOOKUP('Données projet'!$B$9,Paramètres!$A$1:$I$88,5,0)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286.25529934077952</v>
      </c>
      <c r="S86" s="62">
        <f ca="1">AVERAGE(OFFSET($R$3,0,0,'Données projet'!$E$9+1,1))-AVERAGE(OFFSET($H$3,0,0,'Données projet'!$E$9+1,1))</f>
        <v>354.71367224254021</v>
      </c>
      <c r="T86" s="62">
        <f t="shared" si="88"/>
        <v>490.074370133397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109.8589395734555</v>
      </c>
      <c r="AA86" s="23">
        <f>EXP(-LN(2)/25)*AA85+(1-EXP(-LN(2)/25))/(LN(2)/25)*Calculateur!V86*Calculateur!X86*VLOOKUP('Données projet'!$B$9,Paramètres!$A$1:$I$88,3,0)*0.475*44/12</f>
        <v>19.579719449199786</v>
      </c>
      <c r="AB86" s="23">
        <f>EXP(-LN(2)/2)*AB85+(1-EXP(-LN(2)/2))/(LN(2)/2)*V86*Y86*VLOOKUP('Données projet'!$B$9,Paramètres!$A$1:$I$88,3,0)*0.475*44/12</f>
        <v>1.9652995280187535E-4</v>
      </c>
      <c r="AC86" s="24">
        <f t="shared" si="57"/>
        <v>129.43885555260809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68.069627092939328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2.2737367544323206E-13</v>
      </c>
      <c r="AJ86" s="14">
        <f>AI86*VLOOKUP('Données projet'!$B$10,Paramètres!$A$1:$I$88,3,0)*VLOOKUP('Données projet'!$B$10,Paramètres!$A$1:$I$88,5,0)</f>
        <v>1.3596945791505279E-13</v>
      </c>
      <c r="AK86" s="14">
        <f t="shared" si="89"/>
        <v>1.9708830566360721E-12</v>
      </c>
      <c r="AL86" s="22">
        <f t="shared" si="58"/>
        <v>3.669434796176543E-12</v>
      </c>
      <c r="AM86" s="62">
        <f t="shared" si="59"/>
        <v>286.25529934078122</v>
      </c>
      <c r="AN86" s="62">
        <f ca="1">AVERAGE(OFFSET($AM$3,0,0,'Données projet'!$E$10+1,1))-AVERAGE(OFFSET($H$3,0,0,'Données projet'!$E$10+1,1))</f>
        <v>264.73276096087574</v>
      </c>
      <c r="AO86" s="62">
        <f t="shared" si="90"/>
        <v>381.84464918049662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projet'!$B$10,Paramètres!$A$1:$I$88,3,0)*0.475*44/12</f>
        <v>77.044772399277562</v>
      </c>
      <c r="AV86" s="23">
        <f>EXP(-LN(2)/25)*AV85+(1-EXP(-LN(2)/25))/(LN(2)/25)*Calculateur!AQ86*Calculateur!AS86*VLOOKUP('Données projet'!$B$10,Paramètres!$A$1:$I$88,3,0)*0.475*44/12</f>
        <v>13.75538268642484</v>
      </c>
      <c r="AW86" s="23">
        <f>EXP(-LN(2)/2)*AW85+(1-EXP(-LN(2)/2))/(LN(2)/2)*AQ86*AT86*VLOOKUP('Données projet'!$B$10,Paramètres!$A$1:$I$88,3,0)*0.475*44/12</f>
        <v>1.3761190138086298E-4</v>
      </c>
      <c r="AX86" s="23">
        <f t="shared" si="60"/>
        <v>90.80029269760378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68.069627092939328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5.8</v>
      </c>
      <c r="BD86" s="13">
        <f>IF('Données projet'!$A$88&gt;35,BD85+BC86-BL85,IF(A86&lt;'Données projet'!$A$88,$BA$205^A86,IF(A86='Données projet'!$A$88,'Données projet'!$B$88,BD85+BC86-BL85)))</f>
        <v>257.39999999999992</v>
      </c>
      <c r="BE86" s="14">
        <f>BD86*VLOOKUP('Données projet'!$B$11,Paramètres!$A$1:$I$88,3,0)*VLOOKUP('Données projet'!$B$11,Paramètres!$A$1:$I$88,5,0)</f>
        <v>293.12711999999988</v>
      </c>
      <c r="BF86" s="14">
        <f t="shared" si="91"/>
        <v>69.733706157234295</v>
      </c>
      <c r="BG86" s="22">
        <f t="shared" si="61"/>
        <v>631.98260555718286</v>
      </c>
      <c r="BH86" s="62">
        <f t="shared" si="62"/>
        <v>918.23790489796033</v>
      </c>
      <c r="BI86" s="62">
        <f ca="1">AVERAGE(OFFSET($BH$3,0,0,'Données projet'!$E$11+1,1))-AVERAGE(OFFSET($H$3,0,0,'Données projet'!$E$11+1,1))</f>
        <v>470.57532875732056</v>
      </c>
      <c r="BJ86" s="62">
        <f t="shared" si="92"/>
        <v>286.63787681165888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projet'!$B$11,Paramètres!$A$1:$I$88,3,0)*0.475*44/12</f>
        <v>21.832486737321261</v>
      </c>
      <c r="BQ86" s="23">
        <f>EXP(-LN(2)/25)*BQ85+(1-EXP(-LN(2)/25))/(LN(2)/25)*Calculateur!BL86*Calculateur!BN86*VLOOKUP('Données projet'!$B$11,Paramètres!$A$1:$I$88,3,0)*0.475*44/12</f>
        <v>0</v>
      </c>
      <c r="BR86" s="23">
        <f>EXP(-LN(2)/2)*BR85+(1-EXP(-LN(2)/2))/(LN(2)/2)*BL86*BO86*VLOOKUP('Données projet'!$B$11,Paramètres!$A$1:$I$88,3,0)*0.475*44/12</f>
        <v>0</v>
      </c>
      <c r="BS86" s="24">
        <f t="shared" si="63"/>
        <v>21.832486737321261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68.069627092939328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-2.2737367544323206E-13</v>
      </c>
      <c r="BZ86" s="14">
        <f>BY86*VLOOKUP('Données projet'!$B$12,Paramètres!$A$1:$I$88,3,0)*VLOOKUP('Données projet'!$B$12,Paramètres!$A$1:$I$88,5,0)</f>
        <v>-1.4897523215040565E-13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305.38855494899906</v>
      </c>
      <c r="CE86" s="62">
        <f t="shared" si="94"/>
        <v>298.48106301229177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projet'!$B$12,Paramètres!$A$1:$I$88,3,0)*0.475*44/12</f>
        <v>79.898280573589034</v>
      </c>
      <c r="CL86" s="23">
        <f>EXP(-LN(2)/25)*CL85+(1-EXP(-LN(2)/25))/(LN(2)/25)*Calculateur!CG86*Calculateur!CI86*VLOOKUP('Données projet'!$B$12,Paramètres!$A$1:$I$88,3,0)*0.475*44/12</f>
        <v>0</v>
      </c>
      <c r="CM86" s="23">
        <f>EXP(-LN(2)/2)*CM85+(1-EXP(-LN(2)/2))/(LN(2)/2)*CG86*CJ86*VLOOKUP('Données projet'!$B$12,Paramètres!$A$1:$I$88,3,0)*0.475*44/12</f>
        <v>0</v>
      </c>
      <c r="CN86" s="24">
        <f t="shared" si="66"/>
        <v>79.898280573589034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68.069627092939328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-2.2737367544323206E-13</v>
      </c>
      <c r="CU86" s="18">
        <f>CT86*VLOOKUP('Données projet'!$B$13,Paramètres!$A$1:$I$88,3,0)*VLOOKUP('Données projet'!$B$13,Paramètres!$A$1:$I$88,5,0)</f>
        <v>-1.8089849618263545E-13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361.30066984973894</v>
      </c>
      <c r="CZ86" s="62">
        <f t="shared" si="96"/>
        <v>351.78053157121622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projet'!$B$13,Paramètres!$A$1:$I$88,3,0)*0.475*44/12</f>
        <v>119.58197806778023</v>
      </c>
      <c r="DG86" s="23">
        <f>EXP(-LN(2)/25)*DG85+(1-EXP(-LN(2)/25))/(LN(2)/25)*Calculateur!DB86*Calculateur!DD86*VLOOKUP('Données projet'!$B$13,Paramètres!$A$1:$I$88,3,0)*0.475*44/12</f>
        <v>0</v>
      </c>
      <c r="DH86" s="23">
        <f>EXP(-LN(2)/2)*DH85+(1-EXP(-LN(2)/2))/(LN(2)/2)*DB86*DE86*VLOOKUP('Données projet'!$B$13,Paramètres!$A$1:$I$88,3,0)*0.475*44/12</f>
        <v>0</v>
      </c>
      <c r="DI86" s="24">
        <f t="shared" si="69"/>
        <v>119.58197806778023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68.069627092939328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>
        <f>DO86*VLOOKUP('Données projet'!$B$14,Paramètres!$A$1:$I$88,3,0)*VLOOKUP('Données projet'!$B$14,Paramètres!$A$1:$I$88,5,0)</f>
        <v>0</v>
      </c>
      <c r="DQ86" s="14" t="e">
        <f t="shared" si="97"/>
        <v>#NUM!</v>
      </c>
      <c r="DR86" s="22" t="e">
        <f t="shared" si="70"/>
        <v>#NUM!</v>
      </c>
      <c r="DS86" s="62" t="e">
        <f t="shared" si="71"/>
        <v>#NUM!</v>
      </c>
      <c r="DT86" s="62">
        <f ca="1">AVERAGE(OFFSET($DS$3,0,0,'Données projet'!$E$14+1,1))-AVERAGE(OFFSET($H$3,0,0,'Données projet'!$E$14+1,1))</f>
        <v>91.201152634762423</v>
      </c>
      <c r="DU86" s="62">
        <f t="shared" si="98"/>
        <v>233.36981992862445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projet'!$B$14,Paramètres!$A$1:$I$88,3,0)*0.475*44/12</f>
        <v>14.512785390676752</v>
      </c>
      <c r="EB86" s="23">
        <f>EXP(-LN(2)/25)*EB85+(1-EXP(-LN(2)/25))/(LN(2)/25)*Calculateur!DW86*Calculateur!DY86*VLOOKUP('Données projet'!$B$14,Paramètres!$A$1:$I$88,3,0)*0.475*44/12</f>
        <v>0</v>
      </c>
      <c r="EC86" s="23">
        <f>EXP(-LN(2)/2)*EC85+(1-EXP(-LN(2)/2))/(LN(2)/2)*DW86*DZ86*VLOOKUP('Données projet'!$B$14,Paramètres!$A$1:$I$88,3,0)*0.475*44/12</f>
        <v>0</v>
      </c>
      <c r="ED86" s="24">
        <f t="shared" si="72"/>
        <v>14.512785390676752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68.069627092939328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projet'!$B$15,Paramètres!$A$1:$I$88,3,0)*0.475*44/12</f>
        <v>#N/A</v>
      </c>
      <c r="EW86" s="23" t="e">
        <f>EXP(-LN(2)/25)*EW85+(1-EXP(-LN(2)/25))/(LN(2)/25)*Calculateur!ER86*Calculateur!ET86*VLOOKUP('Données projet'!$B$15,Paramètres!$A$1:$I$88,3,0)*0.475*44/12</f>
        <v>#N/A</v>
      </c>
      <c r="EX86" s="23" t="e">
        <f>EXP(-LN(2)/2)*EX85+(1-EXP(-LN(2)/2))/(LN(2)/2)*ER86*EU86*VLOOKUP('Données projet'!$B$15,Paramètres!$A$1:$I$88,3,0)*0.475*44/12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68.069627092939328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projet'!$B$16,Paramètres!$A$1:$I$88,3,0)*0.475*44/12</f>
        <v>#N/A</v>
      </c>
      <c r="FR86" s="23" t="e">
        <f>EXP(-LN(2)/25)*FR85+(1-EXP(-LN(2)/25))/(LN(2)/25)*Calculateur!FM86*Calculateur!FO86*VLOOKUP('Données projet'!$B$16,Paramètres!$A$1:$I$88,3,0)*0.475*44/12</f>
        <v>#N/A</v>
      </c>
      <c r="FS86" s="23" t="e">
        <f>EXP(-LN(2)/2)*FS85+(1-EXP(-LN(2)/2))/(LN(2)/2)*FM86*FP86*VLOOKUP('Données projet'!$B$16,Paramètres!$A$1:$I$88,3,0)*0.475*44/12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68.069627092939328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projet'!$B$17,Paramètres!$A$1:$I$88,3,0)*0.475*44/12</f>
        <v>#N/A</v>
      </c>
      <c r="GM86" s="23" t="e">
        <f>EXP(-LN(2)/25)*GM85+(1-EXP(-LN(2)/25))/(LN(2)/25)*Calculateur!GH86*Calculateur!GJ86*VLOOKUP('Données projet'!$B$17,Paramètres!$A$1:$I$88,3,0)*0.475*44/12</f>
        <v>#N/A</v>
      </c>
      <c r="GN86" s="23" t="e">
        <f>EXP(-LN(2)/2)*GN85+(1-EXP(-LN(2)/2))/(LN(2)/2)*GH86*GK86*VLOOKUP('Données projet'!$B$17,Paramètres!$A$1:$I$88,3,0)*0.475*44/12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68.069627092939328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projet'!$B$18,Paramètres!$A$1:$I$88,3,0)*0.475*44/12</f>
        <v>#N/A</v>
      </c>
      <c r="HH86" s="23" t="e">
        <f>EXP(-LN(2)/25)*HH85+(1-EXP(-LN(2)/25))/(LN(2)/25)*Calculateur!HC86*Calculateur!HE86*VLOOKUP('Données projet'!$B$18,Paramètres!$A$1:$I$88,3,0)*0.475*44/12</f>
        <v>#N/A</v>
      </c>
      <c r="HI86" s="23" t="e">
        <f>EXP(-LN(2)/2)*HI85+(1-EXP(-LN(2)/2))/(LN(2)/2)*HC86*HF86*VLOOKUP('Données projet'!$B$18,Paramètres!$A$1:$I$88,3,0)*0.475*44/12</f>
        <v>#N/A</v>
      </c>
      <c r="HJ86" s="24" t="e">
        <f t="shared" si="84"/>
        <v>#N/A</v>
      </c>
    </row>
    <row r="87" spans="1:218" s="5" customFormat="1" x14ac:dyDescent="0.2">
      <c r="A87" s="11">
        <f t="shared" si="85"/>
        <v>84</v>
      </c>
      <c r="B87" s="77">
        <f>'Scénario référence'!$B$16*5+'Scénario référence'!$B$17*0+'Scénario référence'!$B$18*5</f>
        <v>1.6500000000000001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6.0500000000000007</v>
      </c>
      <c r="H87" s="70">
        <f t="shared" si="56"/>
        <v>232.4666666666667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68.103114747209531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projet'!$B$9,Paramètres!$A$1:$I$88,3,0)*VLOOKUP('Données projet'!$B$9,Paramètres!$A$1:$I$88,5,0)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286.37808740643698</v>
      </c>
      <c r="S87" s="62">
        <f ca="1">AVERAGE(OFFSET($R$3,0,0,'Données projet'!$E$9+1,1))-AVERAGE(OFFSET($H$3,0,0,'Données projet'!$E$9+1,1))</f>
        <v>354.71367224254021</v>
      </c>
      <c r="T87" s="62">
        <f t="shared" si="88"/>
        <v>490.074370133397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107.70467277575675</v>
      </c>
      <c r="AA87" s="23">
        <f>EXP(-LN(2)/25)*AA86+(1-EXP(-LN(2)/25))/(LN(2)/25)*Calculateur!V87*Calculateur!X87*VLOOKUP('Données projet'!$B$9,Paramètres!$A$1:$I$88,3,0)*0.475*44/12</f>
        <v>19.044310991208722</v>
      </c>
      <c r="AB87" s="23">
        <f>EXP(-LN(2)/2)*AB86+(1-EXP(-LN(2)/2))/(LN(2)/2)*V87*Y87*VLOOKUP('Données projet'!$B$9,Paramètres!$A$1:$I$88,3,0)*0.475*44/12</f>
        <v>1.3896766233247818E-4</v>
      </c>
      <c r="AC87" s="24">
        <f t="shared" si="57"/>
        <v>126.7491227346278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68.103114747209531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2.2737367544323206E-13</v>
      </c>
      <c r="AJ87" s="14">
        <f>AI87*VLOOKUP('Données projet'!$B$10,Paramètres!$A$1:$I$88,3,0)*VLOOKUP('Données projet'!$B$10,Paramètres!$A$1:$I$88,5,0)</f>
        <v>1.3596945791505279E-13</v>
      </c>
      <c r="AK87" s="14">
        <f t="shared" si="89"/>
        <v>1.9708830566360721E-12</v>
      </c>
      <c r="AL87" s="22">
        <f t="shared" si="58"/>
        <v>3.669434796176543E-12</v>
      </c>
      <c r="AM87" s="62">
        <f t="shared" si="59"/>
        <v>286.37808740643868</v>
      </c>
      <c r="AN87" s="62">
        <f ca="1">AVERAGE(OFFSET($AM$3,0,0,'Données projet'!$E$10+1,1))-AVERAGE(OFFSET($H$3,0,0,'Données projet'!$E$10+1,1))</f>
        <v>264.73276096087574</v>
      </c>
      <c r="AO87" s="62">
        <f t="shared" si="90"/>
        <v>381.84464918049662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projet'!$B$10,Paramètres!$A$1:$I$88,3,0)*0.475*44/12</f>
        <v>75.533971405198756</v>
      </c>
      <c r="AV87" s="23">
        <f>EXP(-LN(2)/25)*AV86+(1-EXP(-LN(2)/25))/(LN(2)/25)*Calculateur!AQ87*Calculateur!AS87*VLOOKUP('Données projet'!$B$10,Paramètres!$A$1:$I$88,3,0)*0.475*44/12</f>
        <v>13.379241023500414</v>
      </c>
      <c r="AW87" s="23">
        <f>EXP(-LN(2)/2)*AW86+(1-EXP(-LN(2)/2))/(LN(2)/2)*AQ87*AT87*VLOOKUP('Données projet'!$B$10,Paramètres!$A$1:$I$88,3,0)*0.475*44/12</f>
        <v>9.7306308638382639E-5</v>
      </c>
      <c r="AX87" s="23">
        <f t="shared" si="60"/>
        <v>88.9133097350078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68.103114747209531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5.8</v>
      </c>
      <c r="BD87" s="13">
        <f>IF('Données projet'!$A$88&gt;35,BD86+BC87-BL86,IF(A87&lt;'Données projet'!$A$88,$BA$205^A87,IF(A87='Données projet'!$A$88,'Données projet'!$B$88,BD86+BC87-BL86)))</f>
        <v>263.19999999999993</v>
      </c>
      <c r="BE87" s="14">
        <f>BD87*VLOOKUP('Données projet'!$B$11,Paramètres!$A$1:$I$88,3,0)*VLOOKUP('Données projet'!$B$11,Paramètres!$A$1:$I$88,5,0)</f>
        <v>299.73215999999991</v>
      </c>
      <c r="BF87" s="14">
        <f t="shared" si="91"/>
        <v>71.120311005285956</v>
      </c>
      <c r="BG87" s="22">
        <f t="shared" si="61"/>
        <v>645.90138700087289</v>
      </c>
      <c r="BH87" s="62">
        <f t="shared" si="62"/>
        <v>932.27947440730782</v>
      </c>
      <c r="BI87" s="62">
        <f ca="1">AVERAGE(OFFSET($BH$3,0,0,'Données projet'!$E$11+1,1))-AVERAGE(OFFSET($H$3,0,0,'Données projet'!$E$11+1,1))</f>
        <v>470.57532875732056</v>
      </c>
      <c r="BJ87" s="62">
        <f t="shared" si="92"/>
        <v>286.63787681165888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projet'!$B$11,Paramètres!$A$1:$I$88,3,0)*0.475*44/12</f>
        <v>21.404364988904405</v>
      </c>
      <c r="BQ87" s="23">
        <f>EXP(-LN(2)/25)*BQ86+(1-EXP(-LN(2)/25))/(LN(2)/25)*Calculateur!BL87*Calculateur!BN87*VLOOKUP('Données projet'!$B$11,Paramètres!$A$1:$I$88,3,0)*0.475*44/12</f>
        <v>0</v>
      </c>
      <c r="BR87" s="23">
        <f>EXP(-LN(2)/2)*BR86+(1-EXP(-LN(2)/2))/(LN(2)/2)*BL87*BO87*VLOOKUP('Données projet'!$B$11,Paramètres!$A$1:$I$88,3,0)*0.475*44/12</f>
        <v>0</v>
      </c>
      <c r="BS87" s="24">
        <f t="shared" si="63"/>
        <v>21.404364988904405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68.103114747209531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-2.2737367544323206E-13</v>
      </c>
      <c r="BZ87" s="14">
        <f>BY87*VLOOKUP('Données projet'!$B$12,Paramètres!$A$1:$I$88,3,0)*VLOOKUP('Données projet'!$B$12,Paramètres!$A$1:$I$88,5,0)</f>
        <v>-1.4897523215040565E-13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305.38855494899906</v>
      </c>
      <c r="CE87" s="62">
        <f t="shared" si="94"/>
        <v>298.48106301229177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projet'!$B$12,Paramètres!$A$1:$I$88,3,0)*0.475*44/12</f>
        <v>78.331524024680107</v>
      </c>
      <c r="CL87" s="23">
        <f>EXP(-LN(2)/25)*CL86+(1-EXP(-LN(2)/25))/(LN(2)/25)*Calculateur!CG87*Calculateur!CI87*VLOOKUP('Données projet'!$B$12,Paramètres!$A$1:$I$88,3,0)*0.475*44/12</f>
        <v>0</v>
      </c>
      <c r="CM87" s="23">
        <f>EXP(-LN(2)/2)*CM86+(1-EXP(-LN(2)/2))/(LN(2)/2)*CG87*CJ87*VLOOKUP('Données projet'!$B$12,Paramètres!$A$1:$I$88,3,0)*0.475*44/12</f>
        <v>0</v>
      </c>
      <c r="CN87" s="24">
        <f t="shared" si="66"/>
        <v>78.331524024680107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68.103114747209531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-2.2737367544323206E-13</v>
      </c>
      <c r="CU87" s="18">
        <f>CT87*VLOOKUP('Données projet'!$B$13,Paramètres!$A$1:$I$88,3,0)*VLOOKUP('Données projet'!$B$13,Paramètres!$A$1:$I$88,5,0)</f>
        <v>-1.8089849618263545E-13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361.30066984973894</v>
      </c>
      <c r="CZ87" s="62">
        <f t="shared" si="96"/>
        <v>351.78053157121622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projet'!$B$13,Paramètres!$A$1:$I$88,3,0)*0.475*44/12</f>
        <v>117.23704841567567</v>
      </c>
      <c r="DG87" s="23">
        <f>EXP(-LN(2)/25)*DG86+(1-EXP(-LN(2)/25))/(LN(2)/25)*Calculateur!DB87*Calculateur!DD87*VLOOKUP('Données projet'!$B$13,Paramètres!$A$1:$I$88,3,0)*0.475*44/12</f>
        <v>0</v>
      </c>
      <c r="DH87" s="23">
        <f>EXP(-LN(2)/2)*DH86+(1-EXP(-LN(2)/2))/(LN(2)/2)*DB87*DE87*VLOOKUP('Données projet'!$B$13,Paramètres!$A$1:$I$88,3,0)*0.475*44/12</f>
        <v>0</v>
      </c>
      <c r="DI87" s="24">
        <f t="shared" si="69"/>
        <v>117.23704841567567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68.103114747209531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>
        <f>DO87*VLOOKUP('Données projet'!$B$14,Paramètres!$A$1:$I$88,3,0)*VLOOKUP('Données projet'!$B$14,Paramètres!$A$1:$I$88,5,0)</f>
        <v>0</v>
      </c>
      <c r="DQ87" s="14" t="e">
        <f t="shared" si="97"/>
        <v>#NUM!</v>
      </c>
      <c r="DR87" s="22" t="e">
        <f t="shared" si="70"/>
        <v>#NUM!</v>
      </c>
      <c r="DS87" s="62" t="e">
        <f t="shared" si="71"/>
        <v>#NUM!</v>
      </c>
      <c r="DT87" s="62">
        <f ca="1">AVERAGE(OFFSET($DS$3,0,0,'Données projet'!$E$14+1,1))-AVERAGE(OFFSET($H$3,0,0,'Données projet'!$E$14+1,1))</f>
        <v>91.201152634762423</v>
      </c>
      <c r="DU87" s="62">
        <f t="shared" si="98"/>
        <v>233.36981992862445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projet'!$B$14,Paramètres!$A$1:$I$88,3,0)*0.475*44/12</f>
        <v>14.228198521090615</v>
      </c>
      <c r="EB87" s="23">
        <f>EXP(-LN(2)/25)*EB86+(1-EXP(-LN(2)/25))/(LN(2)/25)*Calculateur!DW87*Calculateur!DY87*VLOOKUP('Données projet'!$B$14,Paramètres!$A$1:$I$88,3,0)*0.475*44/12</f>
        <v>0</v>
      </c>
      <c r="EC87" s="23">
        <f>EXP(-LN(2)/2)*EC86+(1-EXP(-LN(2)/2))/(LN(2)/2)*DW87*DZ87*VLOOKUP('Données projet'!$B$14,Paramètres!$A$1:$I$88,3,0)*0.475*44/12</f>
        <v>0</v>
      </c>
      <c r="ED87" s="24">
        <f t="shared" si="72"/>
        <v>14.228198521090615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68.103114747209531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projet'!$B$15,Paramètres!$A$1:$I$88,3,0)*0.475*44/12</f>
        <v>#N/A</v>
      </c>
      <c r="EW87" s="23" t="e">
        <f>EXP(-LN(2)/25)*EW86+(1-EXP(-LN(2)/25))/(LN(2)/25)*Calculateur!ER87*Calculateur!ET87*VLOOKUP('Données projet'!$B$15,Paramètres!$A$1:$I$88,3,0)*0.475*44/12</f>
        <v>#N/A</v>
      </c>
      <c r="EX87" s="23" t="e">
        <f>EXP(-LN(2)/2)*EX86+(1-EXP(-LN(2)/2))/(LN(2)/2)*ER87*EU87*VLOOKUP('Données projet'!$B$15,Paramètres!$A$1:$I$88,3,0)*0.475*44/12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68.103114747209531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projet'!$B$16,Paramètres!$A$1:$I$88,3,0)*0.475*44/12</f>
        <v>#N/A</v>
      </c>
      <c r="FR87" s="23" t="e">
        <f>EXP(-LN(2)/25)*FR86+(1-EXP(-LN(2)/25))/(LN(2)/25)*Calculateur!FM87*Calculateur!FO87*VLOOKUP('Données projet'!$B$16,Paramètres!$A$1:$I$88,3,0)*0.475*44/12</f>
        <v>#N/A</v>
      </c>
      <c r="FS87" s="23" t="e">
        <f>EXP(-LN(2)/2)*FS86+(1-EXP(-LN(2)/2))/(LN(2)/2)*FM87*FP87*VLOOKUP('Données projet'!$B$16,Paramètres!$A$1:$I$88,3,0)*0.475*44/12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68.103114747209531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projet'!$B$17,Paramètres!$A$1:$I$88,3,0)*0.475*44/12</f>
        <v>#N/A</v>
      </c>
      <c r="GM87" s="23" t="e">
        <f>EXP(-LN(2)/25)*GM86+(1-EXP(-LN(2)/25))/(LN(2)/25)*Calculateur!GH87*Calculateur!GJ87*VLOOKUP('Données projet'!$B$17,Paramètres!$A$1:$I$88,3,0)*0.475*44/12</f>
        <v>#N/A</v>
      </c>
      <c r="GN87" s="23" t="e">
        <f>EXP(-LN(2)/2)*GN86+(1-EXP(-LN(2)/2))/(LN(2)/2)*GH87*GK87*VLOOKUP('Données projet'!$B$17,Paramètres!$A$1:$I$88,3,0)*0.475*44/12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68.103114747209531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projet'!$B$18,Paramètres!$A$1:$I$88,3,0)*0.475*44/12</f>
        <v>#N/A</v>
      </c>
      <c r="HH87" s="23" t="e">
        <f>EXP(-LN(2)/25)*HH86+(1-EXP(-LN(2)/25))/(LN(2)/25)*Calculateur!HC87*Calculateur!HE87*VLOOKUP('Données projet'!$B$18,Paramètres!$A$1:$I$88,3,0)*0.475*44/12</f>
        <v>#N/A</v>
      </c>
      <c r="HI87" s="23" t="e">
        <f>EXP(-LN(2)/2)*HI86+(1-EXP(-LN(2)/2))/(LN(2)/2)*HC87*HF87*VLOOKUP('Données projet'!$B$18,Paramètres!$A$1:$I$88,3,0)*0.475*44/12</f>
        <v>#N/A</v>
      </c>
      <c r="HJ87" s="24" t="e">
        <f t="shared" si="84"/>
        <v>#N/A</v>
      </c>
    </row>
    <row r="88" spans="1:218" s="5" customFormat="1" x14ac:dyDescent="0.2">
      <c r="A88" s="11">
        <f t="shared" si="85"/>
        <v>85</v>
      </c>
      <c r="B88" s="77">
        <f>'Scénario référence'!$B$16*5+'Scénario référence'!$B$17*0+'Scénario référence'!$B$18*5</f>
        <v>1.6500000000000001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6.0500000000000007</v>
      </c>
      <c r="H88" s="70">
        <f t="shared" si="56"/>
        <v>232.4666666666667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68.13602146554534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projet'!$B$9,Paramètres!$A$1:$I$88,3,0)*VLOOKUP('Données projet'!$B$9,Paramètres!$A$1:$I$88,5,0)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286.49874537366827</v>
      </c>
      <c r="S88" s="62">
        <f ca="1">AVERAGE(OFFSET($R$3,0,0,'Données projet'!$E$9+1,1))-AVERAGE(OFFSET($H$3,0,0,'Données projet'!$E$9+1,1))</f>
        <v>354.71367224254021</v>
      </c>
      <c r="T88" s="62">
        <f t="shared" si="88"/>
        <v>490.074370133397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105.59264983598787</v>
      </c>
      <c r="AA88" s="23">
        <f>EXP(-LN(2)/25)*AA87+(1-EXP(-LN(2)/25))/(LN(2)/25)*Calculateur!V88*Calculateur!X88*VLOOKUP('Données projet'!$B$9,Paramètres!$A$1:$I$88,3,0)*0.475*44/12</f>
        <v>18.523543305657331</v>
      </c>
      <c r="AB88" s="23">
        <f>EXP(-LN(2)/2)*AB87+(1-EXP(-LN(2)/2))/(LN(2)/2)*V88*Y88*VLOOKUP('Données projet'!$B$9,Paramètres!$A$1:$I$88,3,0)*0.475*44/12</f>
        <v>9.8264976400937675E-5</v>
      </c>
      <c r="AC88" s="24">
        <f t="shared" si="57"/>
        <v>124.1162914066216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68.13602146554534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2.2737367544323206E-13</v>
      </c>
      <c r="AJ88" s="14">
        <f>AI88*VLOOKUP('Données projet'!$B$10,Paramètres!$A$1:$I$88,3,0)*VLOOKUP('Données projet'!$B$10,Paramètres!$A$1:$I$88,5,0)</f>
        <v>1.3596945791505279E-13</v>
      </c>
      <c r="AK88" s="14">
        <f t="shared" si="89"/>
        <v>1.9708830566360721E-12</v>
      </c>
      <c r="AL88" s="22">
        <f t="shared" si="58"/>
        <v>3.669434796176543E-12</v>
      </c>
      <c r="AM88" s="62">
        <f t="shared" si="59"/>
        <v>286.49874537366998</v>
      </c>
      <c r="AN88" s="62">
        <f ca="1">AVERAGE(OFFSET($AM$3,0,0,'Données projet'!$E$10+1,1))-AVERAGE(OFFSET($H$3,0,0,'Données projet'!$E$10+1,1))</f>
        <v>264.73276096087574</v>
      </c>
      <c r="AO88" s="62">
        <f t="shared" si="90"/>
        <v>381.84464918049662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projet'!$B$10,Paramètres!$A$1:$I$88,3,0)*0.475*44/12</f>
        <v>74.052796297116217</v>
      </c>
      <c r="AV88" s="23">
        <f>EXP(-LN(2)/25)*AV87+(1-EXP(-LN(2)/25))/(LN(2)/25)*Calculateur!AQ88*Calculateur!AS88*VLOOKUP('Données projet'!$B$10,Paramètres!$A$1:$I$88,3,0)*0.475*44/12</f>
        <v>13.013384974129089</v>
      </c>
      <c r="AW88" s="23">
        <f>EXP(-LN(2)/2)*AW87+(1-EXP(-LN(2)/2))/(LN(2)/2)*AQ88*AT88*VLOOKUP('Données projet'!$B$10,Paramètres!$A$1:$I$88,3,0)*0.475*44/12</f>
        <v>6.8805950690431492E-5</v>
      </c>
      <c r="AX88" s="23">
        <f t="shared" si="60"/>
        <v>87.066250077196003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68.13602146554534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269</v>
      </c>
      <c r="BB88" s="13">
        <f>VLOOKUP(A88,'Données projet'!$A$87:$I$107,9,0)</f>
        <v>5.8</v>
      </c>
      <c r="BC88" s="13">
        <f t="array" ref="BC88">INDEX(BB:BB,MIN(IF(ISNUMBER(BB88:BB284),ROW(BB88:BB284),"")))</f>
        <v>5.8</v>
      </c>
      <c r="BD88" s="13">
        <f>IF('Données projet'!$A$88&gt;35,BD87+BC88-BL87,IF(A88&lt;'Données projet'!$A$88,$BA$205^A88,IF(A88='Données projet'!$A$88,'Données projet'!$B$88,BD87+BC88-BL87)))</f>
        <v>268.99999999999994</v>
      </c>
      <c r="BE88" s="14">
        <f>BD88*VLOOKUP('Données projet'!$B$11,Paramètres!$A$1:$I$88,3,0)*VLOOKUP('Données projet'!$B$11,Paramètres!$A$1:$I$88,5,0)</f>
        <v>306.33719999999994</v>
      </c>
      <c r="BF88" s="14">
        <f t="shared" si="91"/>
        <v>72.503363402445913</v>
      </c>
      <c r="BG88" s="22">
        <f t="shared" si="61"/>
        <v>659.81398125925989</v>
      </c>
      <c r="BH88" s="62">
        <f t="shared" si="62"/>
        <v>946.31272663292611</v>
      </c>
      <c r="BI88" s="62">
        <f ca="1">AVERAGE(OFFSET($BH$3,0,0,'Données projet'!$E$11+1,1))-AVERAGE(OFFSET($H$3,0,0,'Données projet'!$E$11+1,1))</f>
        <v>470.57532875732056</v>
      </c>
      <c r="BJ88" s="62">
        <f t="shared" si="92"/>
        <v>286.63787681165888</v>
      </c>
      <c r="BK88" s="16">
        <f>IF(ISNA(VLOOKUP(A88,'Données projet'!$A$87:$I$107,3,0)),0,VLOOKUP(A88,'Données projet'!$A$87:$I$107,3,0))</f>
        <v>14</v>
      </c>
      <c r="BL88" s="16">
        <f>IF(ISNA(VLOOKUP(A88,'Données projet'!$A$87:$I$107,4,0)),0,VLOOKUP(A88,'Données projet'!$A$87:$I$107,4,0))</f>
        <v>21</v>
      </c>
      <c r="BM88" s="17">
        <f>IF(ISNA(VLOOKUP(A88,'Données projet'!$A$87:$I$107,5,0)),0%,VLOOKUP(A88,'Données projet'!$A$87:$I$107,5,0)*VLOOKUP('Données projet'!$B$11,Paramètres!$A$1:$I$88,7,0))</f>
        <v>0.215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projet'!$B$11,Paramètres!$A$1:$I$88,3,0)*0.475*44/12</f>
        <v>26.668615598823262</v>
      </c>
      <c r="BQ88" s="23">
        <f>EXP(-LN(2)/25)*BQ87+(1-EXP(-LN(2)/25))/(LN(2)/25)*Calculateur!BL88*Calculateur!BN88*VLOOKUP('Données projet'!$B$11,Paramètres!$A$1:$I$88,3,0)*0.475*44/12</f>
        <v>0</v>
      </c>
      <c r="BR88" s="23">
        <f>EXP(-LN(2)/2)*BR87+(1-EXP(-LN(2)/2))/(LN(2)/2)*BL88*BO88*VLOOKUP('Données projet'!$B$11,Paramètres!$A$1:$I$88,3,0)*0.475*44/12</f>
        <v>0</v>
      </c>
      <c r="BS88" s="24">
        <f t="shared" si="63"/>
        <v>26.668615598823262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68.13602146554534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-2.2737367544323206E-13</v>
      </c>
      <c r="BZ88" s="14">
        <f>BY88*VLOOKUP('Données projet'!$B$12,Paramètres!$A$1:$I$88,3,0)*VLOOKUP('Données projet'!$B$12,Paramètres!$A$1:$I$88,5,0)</f>
        <v>-1.4897523215040565E-13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305.38855494899906</v>
      </c>
      <c r="CE88" s="62">
        <f t="shared" si="94"/>
        <v>298.48106301229177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projet'!$B$12,Paramètres!$A$1:$I$88,3,0)*0.475*44/12</f>
        <v>76.79549061606815</v>
      </c>
      <c r="CL88" s="23">
        <f>EXP(-LN(2)/25)*CL87+(1-EXP(-LN(2)/25))/(LN(2)/25)*Calculateur!CG88*Calculateur!CI88*VLOOKUP('Données projet'!$B$12,Paramètres!$A$1:$I$88,3,0)*0.475*44/12</f>
        <v>0</v>
      </c>
      <c r="CM88" s="23">
        <f>EXP(-LN(2)/2)*CM87+(1-EXP(-LN(2)/2))/(LN(2)/2)*CG88*CJ88*VLOOKUP('Données projet'!$B$12,Paramètres!$A$1:$I$88,3,0)*0.475*44/12</f>
        <v>0</v>
      </c>
      <c r="CN88" s="24">
        <f t="shared" si="66"/>
        <v>76.79549061606815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68.13602146554534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-2.2737367544323206E-13</v>
      </c>
      <c r="CU88" s="18">
        <f>CT88*VLOOKUP('Données projet'!$B$13,Paramètres!$A$1:$I$88,3,0)*VLOOKUP('Données projet'!$B$13,Paramètres!$A$1:$I$88,5,0)</f>
        <v>-1.8089849618263545E-13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361.30066984973894</v>
      </c>
      <c r="CZ88" s="62">
        <f t="shared" si="96"/>
        <v>351.78053157121622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projet'!$B$13,Paramètres!$A$1:$I$88,3,0)*0.475*44/12</f>
        <v>114.93810140378302</v>
      </c>
      <c r="DG88" s="23">
        <f>EXP(-LN(2)/25)*DG87+(1-EXP(-LN(2)/25))/(LN(2)/25)*Calculateur!DB88*Calculateur!DD88*VLOOKUP('Données projet'!$B$13,Paramètres!$A$1:$I$88,3,0)*0.475*44/12</f>
        <v>0</v>
      </c>
      <c r="DH88" s="23">
        <f>EXP(-LN(2)/2)*DH87+(1-EXP(-LN(2)/2))/(LN(2)/2)*DB88*DE88*VLOOKUP('Données projet'!$B$13,Paramètres!$A$1:$I$88,3,0)*0.475*44/12</f>
        <v>0</v>
      </c>
      <c r="DI88" s="24">
        <f t="shared" si="69"/>
        <v>114.93810140378302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68.13602146554534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>
        <f>DO88*VLOOKUP('Données projet'!$B$14,Paramètres!$A$1:$I$88,3,0)*VLOOKUP('Données projet'!$B$14,Paramètres!$A$1:$I$88,5,0)</f>
        <v>0</v>
      </c>
      <c r="DQ88" s="14" t="e">
        <f t="shared" si="97"/>
        <v>#NUM!</v>
      </c>
      <c r="DR88" s="22" t="e">
        <f t="shared" si="70"/>
        <v>#NUM!</v>
      </c>
      <c r="DS88" s="62" t="e">
        <f t="shared" si="71"/>
        <v>#NUM!</v>
      </c>
      <c r="DT88" s="62">
        <f ca="1">AVERAGE(OFFSET($DS$3,0,0,'Données projet'!$E$14+1,1))-AVERAGE(OFFSET($H$3,0,0,'Données projet'!$E$14+1,1))</f>
        <v>91.201152634762423</v>
      </c>
      <c r="DU88" s="62">
        <f t="shared" si="98"/>
        <v>233.36981992862445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projet'!$B$14,Paramètres!$A$1:$I$88,3,0)*0.475*44/12</f>
        <v>13.94919222643621</v>
      </c>
      <c r="EB88" s="23">
        <f>EXP(-LN(2)/25)*EB87+(1-EXP(-LN(2)/25))/(LN(2)/25)*Calculateur!DW88*Calculateur!DY88*VLOOKUP('Données projet'!$B$14,Paramètres!$A$1:$I$88,3,0)*0.475*44/12</f>
        <v>0</v>
      </c>
      <c r="EC88" s="23">
        <f>EXP(-LN(2)/2)*EC87+(1-EXP(-LN(2)/2))/(LN(2)/2)*DW88*DZ88*VLOOKUP('Données projet'!$B$14,Paramètres!$A$1:$I$88,3,0)*0.475*44/12</f>
        <v>0</v>
      </c>
      <c r="ED88" s="24">
        <f t="shared" si="72"/>
        <v>13.94919222643621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68.13602146554534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projet'!$B$15,Paramètres!$A$1:$I$88,3,0)*0.475*44/12</f>
        <v>#N/A</v>
      </c>
      <c r="EW88" s="23" t="e">
        <f>EXP(-LN(2)/25)*EW87+(1-EXP(-LN(2)/25))/(LN(2)/25)*Calculateur!ER88*Calculateur!ET88*VLOOKUP('Données projet'!$B$15,Paramètres!$A$1:$I$88,3,0)*0.475*44/12</f>
        <v>#N/A</v>
      </c>
      <c r="EX88" s="23" t="e">
        <f>EXP(-LN(2)/2)*EX87+(1-EXP(-LN(2)/2))/(LN(2)/2)*ER88*EU88*VLOOKUP('Données projet'!$B$15,Paramètres!$A$1:$I$88,3,0)*0.475*44/12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68.13602146554534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projet'!$B$16,Paramètres!$A$1:$I$88,3,0)*0.475*44/12</f>
        <v>#N/A</v>
      </c>
      <c r="FR88" s="23" t="e">
        <f>EXP(-LN(2)/25)*FR87+(1-EXP(-LN(2)/25))/(LN(2)/25)*Calculateur!FM88*Calculateur!FO88*VLOOKUP('Données projet'!$B$16,Paramètres!$A$1:$I$88,3,0)*0.475*44/12</f>
        <v>#N/A</v>
      </c>
      <c r="FS88" s="23" t="e">
        <f>EXP(-LN(2)/2)*FS87+(1-EXP(-LN(2)/2))/(LN(2)/2)*FM88*FP88*VLOOKUP('Données projet'!$B$16,Paramètres!$A$1:$I$88,3,0)*0.475*44/12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68.13602146554534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projet'!$B$17,Paramètres!$A$1:$I$88,3,0)*0.475*44/12</f>
        <v>#N/A</v>
      </c>
      <c r="GM88" s="23" t="e">
        <f>EXP(-LN(2)/25)*GM87+(1-EXP(-LN(2)/25))/(LN(2)/25)*Calculateur!GH88*Calculateur!GJ88*VLOOKUP('Données projet'!$B$17,Paramètres!$A$1:$I$88,3,0)*0.475*44/12</f>
        <v>#N/A</v>
      </c>
      <c r="GN88" s="23" t="e">
        <f>EXP(-LN(2)/2)*GN87+(1-EXP(-LN(2)/2))/(LN(2)/2)*GH88*GK88*VLOOKUP('Données projet'!$B$17,Paramètres!$A$1:$I$88,3,0)*0.475*44/12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68.13602146554534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projet'!$B$18,Paramètres!$A$1:$I$88,3,0)*0.475*44/12</f>
        <v>#N/A</v>
      </c>
      <c r="HH88" s="23" t="e">
        <f>EXP(-LN(2)/25)*HH87+(1-EXP(-LN(2)/25))/(LN(2)/25)*Calculateur!HC88*Calculateur!HE88*VLOOKUP('Données projet'!$B$18,Paramètres!$A$1:$I$88,3,0)*0.475*44/12</f>
        <v>#N/A</v>
      </c>
      <c r="HI88" s="23" t="e">
        <f>EXP(-LN(2)/2)*HI87+(1-EXP(-LN(2)/2))/(LN(2)/2)*HC88*HF88*VLOOKUP('Données projet'!$B$18,Paramètres!$A$1:$I$88,3,0)*0.475*44/12</f>
        <v>#N/A</v>
      </c>
      <c r="HJ88" s="24" t="e">
        <f t="shared" si="84"/>
        <v>#N/A</v>
      </c>
    </row>
    <row r="89" spans="1:218" s="5" customFormat="1" x14ac:dyDescent="0.2">
      <c r="A89" s="11">
        <f t="shared" si="85"/>
        <v>86</v>
      </c>
      <c r="B89" s="77">
        <f>'Scénario référence'!$B$16*5+'Scénario référence'!$B$17*0+'Scénario référence'!$B$18*5</f>
        <v>1.6500000000000001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6.0500000000000007</v>
      </c>
      <c r="H89" s="70">
        <f t="shared" si="56"/>
        <v>232.4666666666667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68.168357325886433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projet'!$B$9,Paramètres!$A$1:$I$88,3,0)*VLOOKUP('Données projet'!$B$9,Paramètres!$A$1:$I$88,5,0)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286.6173101949189</v>
      </c>
      <c r="S89" s="62">
        <f ca="1">AVERAGE(OFFSET($R$3,0,0,'Données projet'!$E$9+1,1))-AVERAGE(OFFSET($H$3,0,0,'Données projet'!$E$9+1,1))</f>
        <v>354.71367224254021</v>
      </c>
      <c r="T89" s="62">
        <f t="shared" si="88"/>
        <v>490.074370133397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103.52204237786107</v>
      </c>
      <c r="AA89" s="23">
        <f>EXP(-LN(2)/25)*AA88+(1-EXP(-LN(2)/25))/(LN(2)/25)*Calculateur!V89*Calculateur!X89*VLOOKUP('Données projet'!$B$9,Paramètres!$A$1:$I$88,3,0)*0.475*44/12</f>
        <v>18.017016039853324</v>
      </c>
      <c r="AB89" s="23">
        <f>EXP(-LN(2)/2)*AB88+(1-EXP(-LN(2)/2))/(LN(2)/2)*V89*Y89*VLOOKUP('Données projet'!$B$9,Paramètres!$A$1:$I$88,3,0)*0.475*44/12</f>
        <v>6.9483831166239091E-5</v>
      </c>
      <c r="AC89" s="24">
        <f t="shared" si="57"/>
        <v>121.53912790154556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68.168357325886433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2.2737367544323206E-13</v>
      </c>
      <c r="AJ89" s="14">
        <f>AI89*VLOOKUP('Données projet'!$B$10,Paramètres!$A$1:$I$88,3,0)*VLOOKUP('Données projet'!$B$10,Paramètres!$A$1:$I$88,5,0)</f>
        <v>1.3596945791505279E-13</v>
      </c>
      <c r="AK89" s="14">
        <f t="shared" si="89"/>
        <v>1.9708830566360721E-12</v>
      </c>
      <c r="AL89" s="22">
        <f t="shared" si="58"/>
        <v>3.669434796176543E-12</v>
      </c>
      <c r="AM89" s="62">
        <f t="shared" si="59"/>
        <v>286.61731019492061</v>
      </c>
      <c r="AN89" s="62">
        <f ca="1">AVERAGE(OFFSET($AM$3,0,0,'Données projet'!$E$10+1,1))-AVERAGE(OFFSET($H$3,0,0,'Données projet'!$E$10+1,1))</f>
        <v>264.73276096087574</v>
      </c>
      <c r="AO89" s="62">
        <f t="shared" si="90"/>
        <v>381.84464918049662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projet'!$B$10,Paramètres!$A$1:$I$88,3,0)*0.475*44/12</f>
        <v>72.60066612947557</v>
      </c>
      <c r="AV89" s="23">
        <f>EXP(-LN(2)/25)*AV88+(1-EXP(-LN(2)/25))/(LN(2)/25)*Calculateur!AQ89*Calculateur!AS89*VLOOKUP('Données projet'!$B$10,Paramètres!$A$1:$I$88,3,0)*0.475*44/12</f>
        <v>12.657533277667355</v>
      </c>
      <c r="AW89" s="23">
        <f>EXP(-LN(2)/2)*AW88+(1-EXP(-LN(2)/2))/(LN(2)/2)*AQ89*AT89*VLOOKUP('Données projet'!$B$10,Paramètres!$A$1:$I$88,3,0)*0.475*44/12</f>
        <v>4.865315431919132E-5</v>
      </c>
      <c r="AX89" s="23">
        <f t="shared" si="60"/>
        <v>85.258248060297248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68.168357325886433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5.4</v>
      </c>
      <c r="BD89" s="13">
        <f>IF('Données projet'!$A$88&gt;35,BD88+BC89-BL88,IF(A89&lt;'Données projet'!$A$88,$BA$205^A89,IF(A89='Données projet'!$A$88,'Données projet'!$B$88,BD88+BC89-BL88)))</f>
        <v>253.39999999999992</v>
      </c>
      <c r="BE89" s="14">
        <f>BD89*VLOOKUP('Données projet'!$B$11,Paramètres!$A$1:$I$88,3,0)*VLOOKUP('Données projet'!$B$11,Paramètres!$A$1:$I$88,5,0)</f>
        <v>288.57191999999992</v>
      </c>
      <c r="BF89" s="14">
        <f t="shared" si="91"/>
        <v>68.775310576263252</v>
      </c>
      <c r="BG89" s="22">
        <f t="shared" si="61"/>
        <v>622.37975992032511</v>
      </c>
      <c r="BH89" s="62">
        <f t="shared" si="62"/>
        <v>908.99707011524197</v>
      </c>
      <c r="BI89" s="62">
        <f ca="1">AVERAGE(OFFSET($BH$3,0,0,'Données projet'!$E$11+1,1))-AVERAGE(OFFSET($H$3,0,0,'Données projet'!$E$11+1,1))</f>
        <v>470.57532875732056</v>
      </c>
      <c r="BJ89" s="62">
        <f t="shared" si="92"/>
        <v>286.63787681165888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projet'!$B$11,Paramètres!$A$1:$I$88,3,0)*0.475*44/12</f>
        <v>26.145660313179693</v>
      </c>
      <c r="BQ89" s="23">
        <f>EXP(-LN(2)/25)*BQ88+(1-EXP(-LN(2)/25))/(LN(2)/25)*Calculateur!BL89*Calculateur!BN89*VLOOKUP('Données projet'!$B$11,Paramètres!$A$1:$I$88,3,0)*0.475*44/12</f>
        <v>0</v>
      </c>
      <c r="BR89" s="23">
        <f>EXP(-LN(2)/2)*BR88+(1-EXP(-LN(2)/2))/(LN(2)/2)*BL89*BO89*VLOOKUP('Données projet'!$B$11,Paramètres!$A$1:$I$88,3,0)*0.475*44/12</f>
        <v>0</v>
      </c>
      <c r="BS89" s="24">
        <f t="shared" si="63"/>
        <v>26.145660313179693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68.168357325886433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-2.2737367544323206E-13</v>
      </c>
      <c r="BZ89" s="14">
        <f>BY89*VLOOKUP('Données projet'!$B$12,Paramètres!$A$1:$I$88,3,0)*VLOOKUP('Données projet'!$B$12,Paramètres!$A$1:$I$88,5,0)</f>
        <v>-1.4897523215040565E-13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305.38855494899906</v>
      </c>
      <c r="CE89" s="62">
        <f t="shared" si="94"/>
        <v>298.48106301229177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projet'!$B$12,Paramètres!$A$1:$I$88,3,0)*0.475*44/12</f>
        <v>75.289577885711196</v>
      </c>
      <c r="CL89" s="23">
        <f>EXP(-LN(2)/25)*CL88+(1-EXP(-LN(2)/25))/(LN(2)/25)*Calculateur!CG89*Calculateur!CI89*VLOOKUP('Données projet'!$B$12,Paramètres!$A$1:$I$88,3,0)*0.475*44/12</f>
        <v>0</v>
      </c>
      <c r="CM89" s="23">
        <f>EXP(-LN(2)/2)*CM88+(1-EXP(-LN(2)/2))/(LN(2)/2)*CG89*CJ89*VLOOKUP('Données projet'!$B$12,Paramètres!$A$1:$I$88,3,0)*0.475*44/12</f>
        <v>0</v>
      </c>
      <c r="CN89" s="24">
        <f t="shared" si="66"/>
        <v>75.289577885711196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68.168357325886433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-2.2737367544323206E-13</v>
      </c>
      <c r="CU89" s="18">
        <f>CT89*VLOOKUP('Données projet'!$B$13,Paramètres!$A$1:$I$88,3,0)*VLOOKUP('Données projet'!$B$13,Paramètres!$A$1:$I$88,5,0)</f>
        <v>-1.8089849618263545E-13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361.30066984973894</v>
      </c>
      <c r="CZ89" s="62">
        <f t="shared" si="96"/>
        <v>351.78053157121622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projet'!$B$13,Paramètres!$A$1:$I$88,3,0)*0.475*44/12</f>
        <v>112.68423534057438</v>
      </c>
      <c r="DG89" s="23">
        <f>EXP(-LN(2)/25)*DG88+(1-EXP(-LN(2)/25))/(LN(2)/25)*Calculateur!DB89*Calculateur!DD89*VLOOKUP('Données projet'!$B$13,Paramètres!$A$1:$I$88,3,0)*0.475*44/12</f>
        <v>0</v>
      </c>
      <c r="DH89" s="23">
        <f>EXP(-LN(2)/2)*DH88+(1-EXP(-LN(2)/2))/(LN(2)/2)*DB89*DE89*VLOOKUP('Données projet'!$B$13,Paramètres!$A$1:$I$88,3,0)*0.475*44/12</f>
        <v>0</v>
      </c>
      <c r="DI89" s="24">
        <f t="shared" si="69"/>
        <v>112.68423534057438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68.168357325886433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>
        <f>DO89*VLOOKUP('Données projet'!$B$14,Paramètres!$A$1:$I$88,3,0)*VLOOKUP('Données projet'!$B$14,Paramètres!$A$1:$I$88,5,0)</f>
        <v>0</v>
      </c>
      <c r="DQ89" s="14" t="e">
        <f t="shared" si="97"/>
        <v>#NUM!</v>
      </c>
      <c r="DR89" s="22" t="e">
        <f t="shared" si="70"/>
        <v>#NUM!</v>
      </c>
      <c r="DS89" s="62" t="e">
        <f t="shared" si="71"/>
        <v>#NUM!</v>
      </c>
      <c r="DT89" s="62">
        <f ca="1">AVERAGE(OFFSET($DS$3,0,0,'Données projet'!$E$14+1,1))-AVERAGE(OFFSET($H$3,0,0,'Données projet'!$E$14+1,1))</f>
        <v>91.201152634762423</v>
      </c>
      <c r="DU89" s="62">
        <f t="shared" si="98"/>
        <v>233.36981992862445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projet'!$B$14,Paramètres!$A$1:$I$88,3,0)*0.475*44/12</f>
        <v>13.675657075042942</v>
      </c>
      <c r="EB89" s="23">
        <f>EXP(-LN(2)/25)*EB88+(1-EXP(-LN(2)/25))/(LN(2)/25)*Calculateur!DW89*Calculateur!DY89*VLOOKUP('Données projet'!$B$14,Paramètres!$A$1:$I$88,3,0)*0.475*44/12</f>
        <v>0</v>
      </c>
      <c r="EC89" s="23">
        <f>EXP(-LN(2)/2)*EC88+(1-EXP(-LN(2)/2))/(LN(2)/2)*DW89*DZ89*VLOOKUP('Données projet'!$B$14,Paramètres!$A$1:$I$88,3,0)*0.475*44/12</f>
        <v>0</v>
      </c>
      <c r="ED89" s="24">
        <f t="shared" si="72"/>
        <v>13.675657075042942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68.168357325886433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projet'!$B$15,Paramètres!$A$1:$I$88,3,0)*0.475*44/12</f>
        <v>#N/A</v>
      </c>
      <c r="EW89" s="23" t="e">
        <f>EXP(-LN(2)/25)*EW88+(1-EXP(-LN(2)/25))/(LN(2)/25)*Calculateur!ER89*Calculateur!ET89*VLOOKUP('Données projet'!$B$15,Paramètres!$A$1:$I$88,3,0)*0.475*44/12</f>
        <v>#N/A</v>
      </c>
      <c r="EX89" s="23" t="e">
        <f>EXP(-LN(2)/2)*EX88+(1-EXP(-LN(2)/2))/(LN(2)/2)*ER89*EU89*VLOOKUP('Données projet'!$B$15,Paramètres!$A$1:$I$88,3,0)*0.475*44/12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68.168357325886433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projet'!$B$16,Paramètres!$A$1:$I$88,3,0)*0.475*44/12</f>
        <v>#N/A</v>
      </c>
      <c r="FR89" s="23" t="e">
        <f>EXP(-LN(2)/25)*FR88+(1-EXP(-LN(2)/25))/(LN(2)/25)*Calculateur!FM89*Calculateur!FO89*VLOOKUP('Données projet'!$B$16,Paramètres!$A$1:$I$88,3,0)*0.475*44/12</f>
        <v>#N/A</v>
      </c>
      <c r="FS89" s="23" t="e">
        <f>EXP(-LN(2)/2)*FS88+(1-EXP(-LN(2)/2))/(LN(2)/2)*FM89*FP89*VLOOKUP('Données projet'!$B$16,Paramètres!$A$1:$I$88,3,0)*0.475*44/12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68.168357325886433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projet'!$B$17,Paramètres!$A$1:$I$88,3,0)*0.475*44/12</f>
        <v>#N/A</v>
      </c>
      <c r="GM89" s="23" t="e">
        <f>EXP(-LN(2)/25)*GM88+(1-EXP(-LN(2)/25))/(LN(2)/25)*Calculateur!GH89*Calculateur!GJ89*VLOOKUP('Données projet'!$B$17,Paramètres!$A$1:$I$88,3,0)*0.475*44/12</f>
        <v>#N/A</v>
      </c>
      <c r="GN89" s="23" t="e">
        <f>EXP(-LN(2)/2)*GN88+(1-EXP(-LN(2)/2))/(LN(2)/2)*GH89*GK89*VLOOKUP('Données projet'!$B$17,Paramètres!$A$1:$I$88,3,0)*0.475*44/12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68.168357325886433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projet'!$B$18,Paramètres!$A$1:$I$88,3,0)*0.475*44/12</f>
        <v>#N/A</v>
      </c>
      <c r="HH89" s="23" t="e">
        <f>EXP(-LN(2)/25)*HH88+(1-EXP(-LN(2)/25))/(LN(2)/25)*Calculateur!HC89*Calculateur!HE89*VLOOKUP('Données projet'!$B$18,Paramètres!$A$1:$I$88,3,0)*0.475*44/12</f>
        <v>#N/A</v>
      </c>
      <c r="HI89" s="23" t="e">
        <f>EXP(-LN(2)/2)*HI88+(1-EXP(-LN(2)/2))/(LN(2)/2)*HC89*HF89*VLOOKUP('Données projet'!$B$18,Paramètres!$A$1:$I$88,3,0)*0.475*44/12</f>
        <v>#N/A</v>
      </c>
      <c r="HJ89" s="24" t="e">
        <f t="shared" si="84"/>
        <v>#N/A</v>
      </c>
    </row>
    <row r="90" spans="1:218" s="5" customFormat="1" x14ac:dyDescent="0.2">
      <c r="A90" s="11">
        <f t="shared" si="85"/>
        <v>87</v>
      </c>
      <c r="B90" s="77">
        <f>'Scénario référence'!$B$16*5+'Scénario référence'!$B$17*0+'Scénario référence'!$B$18*5</f>
        <v>1.6500000000000001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6.0500000000000007</v>
      </c>
      <c r="H90" s="70">
        <f t="shared" si="56"/>
        <v>232.4666666666667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68.200132231342735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projet'!$B$9,Paramètres!$A$1:$I$88,3,0)*VLOOKUP('Données projet'!$B$9,Paramètres!$A$1:$I$88,5,0)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286.73381818159203</v>
      </c>
      <c r="S90" s="62">
        <f ca="1">AVERAGE(OFFSET($R$3,0,0,'Données projet'!$E$9+1,1))-AVERAGE(OFFSET($H$3,0,0,'Données projet'!$E$9+1,1))</f>
        <v>354.71367224254021</v>
      </c>
      <c r="T90" s="62">
        <f t="shared" si="88"/>
        <v>490.074370133397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101.49203826904228</v>
      </c>
      <c r="AA90" s="23">
        <f>EXP(-LN(2)/25)*AA89+(1-EXP(-LN(2)/25))/(LN(2)/25)*Calculateur!V90*Calculateur!X90*VLOOKUP('Données projet'!$B$9,Paramètres!$A$1:$I$88,3,0)*0.475*44/12</f>
        <v>17.52433978876984</v>
      </c>
      <c r="AB90" s="23">
        <f>EXP(-LN(2)/2)*AB89+(1-EXP(-LN(2)/2))/(LN(2)/2)*V90*Y90*VLOOKUP('Données projet'!$B$9,Paramètres!$A$1:$I$88,3,0)*0.475*44/12</f>
        <v>4.9132488200468837E-5</v>
      </c>
      <c r="AC90" s="24">
        <f t="shared" si="57"/>
        <v>119.01642719030032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68.200132231342735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2.2737367544323206E-13</v>
      </c>
      <c r="AJ90" s="14">
        <f>AI90*VLOOKUP('Données projet'!$B$10,Paramètres!$A$1:$I$88,3,0)*VLOOKUP('Données projet'!$B$10,Paramètres!$A$1:$I$88,5,0)</f>
        <v>1.3596945791505279E-13</v>
      </c>
      <c r="AK90" s="14">
        <f t="shared" si="89"/>
        <v>1.9708830566360721E-12</v>
      </c>
      <c r="AL90" s="22">
        <f t="shared" si="58"/>
        <v>3.669434796176543E-12</v>
      </c>
      <c r="AM90" s="62">
        <f t="shared" si="59"/>
        <v>286.73381818159373</v>
      </c>
      <c r="AN90" s="62">
        <f ca="1">AVERAGE(OFFSET($AM$3,0,0,'Données projet'!$E$10+1,1))-AVERAGE(OFFSET($H$3,0,0,'Données projet'!$E$10+1,1))</f>
        <v>264.73276096087574</v>
      </c>
      <c r="AO90" s="62">
        <f t="shared" si="90"/>
        <v>381.84464918049662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projet'!$B$10,Paramètres!$A$1:$I$88,3,0)*0.475*44/12</f>
        <v>71.177011348710408</v>
      </c>
      <c r="AV90" s="23">
        <f>EXP(-LN(2)/25)*AV89+(1-EXP(-LN(2)/25))/(LN(2)/25)*Calculateur!AQ90*Calculateur!AS90*VLOOKUP('Données projet'!$B$10,Paramètres!$A$1:$I$88,3,0)*0.475*44/12</f>
        <v>12.311412364558795</v>
      </c>
      <c r="AW90" s="23">
        <f>EXP(-LN(2)/2)*AW89+(1-EXP(-LN(2)/2))/(LN(2)/2)*AQ90*AT90*VLOOKUP('Données projet'!$B$10,Paramètres!$A$1:$I$88,3,0)*0.475*44/12</f>
        <v>3.4402975345215746E-5</v>
      </c>
      <c r="AX90" s="23">
        <f t="shared" si="60"/>
        <v>83.488458116244544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68.200132231342735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5.4</v>
      </c>
      <c r="BD90" s="13">
        <f>IF('Données projet'!$A$88&gt;35,BD89+BC90-BL89,IF(A90&lt;'Données projet'!$A$88,$BA$205^A90,IF(A90='Données projet'!$A$88,'Données projet'!$B$88,BD89+BC90-BL89)))</f>
        <v>258.7999999999999</v>
      </c>
      <c r="BE90" s="14">
        <f>BD90*VLOOKUP('Données projet'!$B$11,Paramètres!$A$1:$I$88,3,0)*VLOOKUP('Données projet'!$B$11,Paramètres!$A$1:$I$88,5,0)</f>
        <v>294.72143999999986</v>
      </c>
      <c r="BF90" s="14">
        <f t="shared" si="91"/>
        <v>70.068733866215311</v>
      </c>
      <c r="BG90" s="22">
        <f t="shared" si="61"/>
        <v>635.34288615032472</v>
      </c>
      <c r="BH90" s="62">
        <f t="shared" si="62"/>
        <v>922.0767043319147</v>
      </c>
      <c r="BI90" s="62">
        <f ca="1">AVERAGE(OFFSET($BH$3,0,0,'Données projet'!$E$11+1,1))-AVERAGE(OFFSET($H$3,0,0,'Données projet'!$E$11+1,1))</f>
        <v>470.57532875732056</v>
      </c>
      <c r="BJ90" s="62">
        <f t="shared" si="92"/>
        <v>286.63787681165888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projet'!$B$11,Paramètres!$A$1:$I$88,3,0)*0.475*44/12</f>
        <v>25.632959861716369</v>
      </c>
      <c r="BQ90" s="23">
        <f>EXP(-LN(2)/25)*BQ89+(1-EXP(-LN(2)/25))/(LN(2)/25)*Calculateur!BL90*Calculateur!BN90*VLOOKUP('Données projet'!$B$11,Paramètres!$A$1:$I$88,3,0)*0.475*44/12</f>
        <v>0</v>
      </c>
      <c r="BR90" s="23">
        <f>EXP(-LN(2)/2)*BR89+(1-EXP(-LN(2)/2))/(LN(2)/2)*BL90*BO90*VLOOKUP('Données projet'!$B$11,Paramètres!$A$1:$I$88,3,0)*0.475*44/12</f>
        <v>0</v>
      </c>
      <c r="BS90" s="24">
        <f t="shared" si="63"/>
        <v>25.632959861716369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68.200132231342735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-2.2737367544323206E-13</v>
      </c>
      <c r="BZ90" s="14">
        <f>BY90*VLOOKUP('Données projet'!$B$12,Paramètres!$A$1:$I$88,3,0)*VLOOKUP('Données projet'!$B$12,Paramètres!$A$1:$I$88,5,0)</f>
        <v>-1.4897523215040565E-13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305.38855494899906</v>
      </c>
      <c r="CE90" s="62">
        <f t="shared" si="94"/>
        <v>298.48106301229177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projet'!$B$12,Paramètres!$A$1:$I$88,3,0)*0.475*44/12</f>
        <v>73.813195185480481</v>
      </c>
      <c r="CL90" s="23">
        <f>EXP(-LN(2)/25)*CL89+(1-EXP(-LN(2)/25))/(LN(2)/25)*Calculateur!CG90*Calculateur!CI90*VLOOKUP('Données projet'!$B$12,Paramètres!$A$1:$I$88,3,0)*0.475*44/12</f>
        <v>0</v>
      </c>
      <c r="CM90" s="23">
        <f>EXP(-LN(2)/2)*CM89+(1-EXP(-LN(2)/2))/(LN(2)/2)*CG90*CJ90*VLOOKUP('Données projet'!$B$12,Paramètres!$A$1:$I$88,3,0)*0.475*44/12</f>
        <v>0</v>
      </c>
      <c r="CN90" s="24">
        <f t="shared" si="66"/>
        <v>73.813195185480481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68.200132231342735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-2.2737367544323206E-13</v>
      </c>
      <c r="CU90" s="18">
        <f>CT90*VLOOKUP('Données projet'!$B$13,Paramètres!$A$1:$I$88,3,0)*VLOOKUP('Données projet'!$B$13,Paramètres!$A$1:$I$88,5,0)</f>
        <v>-1.8089849618263545E-13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361.30066984973894</v>
      </c>
      <c r="CZ90" s="62">
        <f t="shared" si="96"/>
        <v>351.78053157121622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projet'!$B$13,Paramètres!$A$1:$I$88,3,0)*0.475*44/12</f>
        <v>110.47456621614269</v>
      </c>
      <c r="DG90" s="23">
        <f>EXP(-LN(2)/25)*DG89+(1-EXP(-LN(2)/25))/(LN(2)/25)*Calculateur!DB90*Calculateur!DD90*VLOOKUP('Données projet'!$B$13,Paramètres!$A$1:$I$88,3,0)*0.475*44/12</f>
        <v>0</v>
      </c>
      <c r="DH90" s="23">
        <f>EXP(-LN(2)/2)*DH89+(1-EXP(-LN(2)/2))/(LN(2)/2)*DB90*DE90*VLOOKUP('Données projet'!$B$13,Paramètres!$A$1:$I$88,3,0)*0.475*44/12</f>
        <v>0</v>
      </c>
      <c r="DI90" s="24">
        <f t="shared" si="69"/>
        <v>110.47456621614269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68.200132231342735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>
        <f>DO90*VLOOKUP('Données projet'!$B$14,Paramètres!$A$1:$I$88,3,0)*VLOOKUP('Données projet'!$B$14,Paramètres!$A$1:$I$88,5,0)</f>
        <v>0</v>
      </c>
      <c r="DQ90" s="14" t="e">
        <f t="shared" si="97"/>
        <v>#NUM!</v>
      </c>
      <c r="DR90" s="22" t="e">
        <f t="shared" si="70"/>
        <v>#NUM!</v>
      </c>
      <c r="DS90" s="62" t="e">
        <f t="shared" si="71"/>
        <v>#NUM!</v>
      </c>
      <c r="DT90" s="62">
        <f ca="1">AVERAGE(OFFSET($DS$3,0,0,'Données projet'!$E$14+1,1))-AVERAGE(OFFSET($H$3,0,0,'Données projet'!$E$14+1,1))</f>
        <v>91.201152634762423</v>
      </c>
      <c r="DU90" s="62">
        <f t="shared" si="98"/>
        <v>233.36981992862445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projet'!$B$14,Paramètres!$A$1:$I$88,3,0)*0.475*44/12</f>
        <v>13.407485781128528</v>
      </c>
      <c r="EB90" s="23">
        <f>EXP(-LN(2)/25)*EB89+(1-EXP(-LN(2)/25))/(LN(2)/25)*Calculateur!DW90*Calculateur!DY90*VLOOKUP('Données projet'!$B$14,Paramètres!$A$1:$I$88,3,0)*0.475*44/12</f>
        <v>0</v>
      </c>
      <c r="EC90" s="23">
        <f>EXP(-LN(2)/2)*EC89+(1-EXP(-LN(2)/2))/(LN(2)/2)*DW90*DZ90*VLOOKUP('Données projet'!$B$14,Paramètres!$A$1:$I$88,3,0)*0.475*44/12</f>
        <v>0</v>
      </c>
      <c r="ED90" s="24">
        <f t="shared" si="72"/>
        <v>13.407485781128528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68.200132231342735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projet'!$B$15,Paramètres!$A$1:$I$88,3,0)*0.475*44/12</f>
        <v>#N/A</v>
      </c>
      <c r="EW90" s="23" t="e">
        <f>EXP(-LN(2)/25)*EW89+(1-EXP(-LN(2)/25))/(LN(2)/25)*Calculateur!ER90*Calculateur!ET90*VLOOKUP('Données projet'!$B$15,Paramètres!$A$1:$I$88,3,0)*0.475*44/12</f>
        <v>#N/A</v>
      </c>
      <c r="EX90" s="23" t="e">
        <f>EXP(-LN(2)/2)*EX89+(1-EXP(-LN(2)/2))/(LN(2)/2)*ER90*EU90*VLOOKUP('Données projet'!$B$15,Paramètres!$A$1:$I$88,3,0)*0.475*44/12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68.200132231342735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projet'!$B$16,Paramètres!$A$1:$I$88,3,0)*0.475*44/12</f>
        <v>#N/A</v>
      </c>
      <c r="FR90" s="23" t="e">
        <f>EXP(-LN(2)/25)*FR89+(1-EXP(-LN(2)/25))/(LN(2)/25)*Calculateur!FM90*Calculateur!FO90*VLOOKUP('Données projet'!$B$16,Paramètres!$A$1:$I$88,3,0)*0.475*44/12</f>
        <v>#N/A</v>
      </c>
      <c r="FS90" s="23" t="e">
        <f>EXP(-LN(2)/2)*FS89+(1-EXP(-LN(2)/2))/(LN(2)/2)*FM90*FP90*VLOOKUP('Données projet'!$B$16,Paramètres!$A$1:$I$88,3,0)*0.475*44/12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68.200132231342735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projet'!$B$17,Paramètres!$A$1:$I$88,3,0)*0.475*44/12</f>
        <v>#N/A</v>
      </c>
      <c r="GM90" s="23" t="e">
        <f>EXP(-LN(2)/25)*GM89+(1-EXP(-LN(2)/25))/(LN(2)/25)*Calculateur!GH90*Calculateur!GJ90*VLOOKUP('Données projet'!$B$17,Paramètres!$A$1:$I$88,3,0)*0.475*44/12</f>
        <v>#N/A</v>
      </c>
      <c r="GN90" s="23" t="e">
        <f>EXP(-LN(2)/2)*GN89+(1-EXP(-LN(2)/2))/(LN(2)/2)*GH90*GK90*VLOOKUP('Données projet'!$B$17,Paramètres!$A$1:$I$88,3,0)*0.475*44/12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68.200132231342735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projet'!$B$18,Paramètres!$A$1:$I$88,3,0)*0.475*44/12</f>
        <v>#N/A</v>
      </c>
      <c r="HH90" s="23" t="e">
        <f>EXP(-LN(2)/25)*HH89+(1-EXP(-LN(2)/25))/(LN(2)/25)*Calculateur!HC90*Calculateur!HE90*VLOOKUP('Données projet'!$B$18,Paramètres!$A$1:$I$88,3,0)*0.475*44/12</f>
        <v>#N/A</v>
      </c>
      <c r="HI90" s="23" t="e">
        <f>EXP(-LN(2)/2)*HI89+(1-EXP(-LN(2)/2))/(LN(2)/2)*HC90*HF90*VLOOKUP('Données projet'!$B$18,Paramètres!$A$1:$I$88,3,0)*0.475*44/12</f>
        <v>#N/A</v>
      </c>
      <c r="HJ90" s="24" t="e">
        <f t="shared" si="84"/>
        <v>#N/A</v>
      </c>
    </row>
    <row r="91" spans="1:218" s="5" customFormat="1" x14ac:dyDescent="0.2">
      <c r="A91" s="11">
        <f t="shared" si="85"/>
        <v>88</v>
      </c>
      <c r="B91" s="77">
        <f>'Scénario référence'!$B$16*5+'Scénario référence'!$B$17*0+'Scénario référence'!$B$18*5</f>
        <v>1.6500000000000001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6.0500000000000007</v>
      </c>
      <c r="H91" s="70">
        <f t="shared" si="56"/>
        <v>232.4666666666667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68.231355913227446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projet'!$B$9,Paramètres!$A$1:$I$88,3,0)*VLOOKUP('Données projet'!$B$9,Paramètres!$A$1:$I$88,5,0)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286.84830501516933</v>
      </c>
      <c r="S91" s="62">
        <f ca="1">AVERAGE(OFFSET($R$3,0,0,'Données projet'!$E$9+1,1))-AVERAGE(OFFSET($H$3,0,0,'Données projet'!$E$9+1,1))</f>
        <v>354.71367224254021</v>
      </c>
      <c r="T91" s="62">
        <f t="shared" si="88"/>
        <v>490.074370133397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99.501841302617194</v>
      </c>
      <c r="AA91" s="23">
        <f>EXP(-LN(2)/25)*AA90+(1-EXP(-LN(2)/25))/(LN(2)/25)*Calculateur!V91*Calculateur!X91*VLOOKUP('Données projet'!$B$9,Paramètres!$A$1:$I$88,3,0)*0.475*44/12</f>
        <v>17.045135795680952</v>
      </c>
      <c r="AB91" s="23">
        <f>EXP(-LN(2)/2)*AB90+(1-EXP(-LN(2)/2))/(LN(2)/2)*V91*Y91*VLOOKUP('Données projet'!$B$9,Paramètres!$A$1:$I$88,3,0)*0.475*44/12</f>
        <v>3.4741915583119546E-5</v>
      </c>
      <c r="AC91" s="24">
        <f t="shared" si="57"/>
        <v>116.54701184021373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68.231355913227446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2.2737367544323206E-13</v>
      </c>
      <c r="AJ91" s="14">
        <f>AI91*VLOOKUP('Données projet'!$B$10,Paramètres!$A$1:$I$88,3,0)*VLOOKUP('Données projet'!$B$10,Paramètres!$A$1:$I$88,5,0)</f>
        <v>1.3596945791505279E-13</v>
      </c>
      <c r="AK91" s="14">
        <f t="shared" si="89"/>
        <v>1.9708830566360721E-12</v>
      </c>
      <c r="AL91" s="22">
        <f t="shared" si="58"/>
        <v>3.669434796176543E-12</v>
      </c>
      <c r="AM91" s="62">
        <f t="shared" si="59"/>
        <v>286.84830501517104</v>
      </c>
      <c r="AN91" s="62">
        <f ca="1">AVERAGE(OFFSET($AM$3,0,0,'Données projet'!$E$10+1,1))-AVERAGE(OFFSET($H$3,0,0,'Données projet'!$E$10+1,1))</f>
        <v>264.73276096087574</v>
      </c>
      <c r="AO91" s="62">
        <f t="shared" si="90"/>
        <v>381.84464918049662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projet'!$B$10,Paramètres!$A$1:$I$88,3,0)*0.475*44/12</f>
        <v>69.781273569852374</v>
      </c>
      <c r="AV91" s="23">
        <f>EXP(-LN(2)/25)*AV90+(1-EXP(-LN(2)/25))/(LN(2)/25)*Calculateur!AQ91*Calculateur!AS91*VLOOKUP('Données projet'!$B$10,Paramètres!$A$1:$I$88,3,0)*0.475*44/12</f>
        <v>11.974756146020896</v>
      </c>
      <c r="AW91" s="23">
        <f>EXP(-LN(2)/2)*AW90+(1-EXP(-LN(2)/2))/(LN(2)/2)*AQ91*AT91*VLOOKUP('Données projet'!$B$10,Paramètres!$A$1:$I$88,3,0)*0.475*44/12</f>
        <v>2.432657715959566E-5</v>
      </c>
      <c r="AX91" s="23">
        <f t="shared" si="60"/>
        <v>81.75605404245043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68.231355913227446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5.4</v>
      </c>
      <c r="BD91" s="13">
        <f>IF('Données projet'!$A$88&gt;35,BD90+BC91-BL90,IF(A91&lt;'Données projet'!$A$88,$BA$205^A91,IF(A91='Données projet'!$A$88,'Données projet'!$B$88,BD90+BC91-BL90)))</f>
        <v>264.19999999999987</v>
      </c>
      <c r="BE91" s="14">
        <f>BD91*VLOOKUP('Données projet'!$B$11,Paramètres!$A$1:$I$88,3,0)*VLOOKUP('Données projet'!$B$11,Paramètres!$A$1:$I$88,5,0)</f>
        <v>300.87095999999985</v>
      </c>
      <c r="BF91" s="14">
        <f t="shared" si="91"/>
        <v>71.359019327927427</v>
      </c>
      <c r="BG91" s="22">
        <f t="shared" si="61"/>
        <v>648.30054732947326</v>
      </c>
      <c r="BH91" s="62">
        <f t="shared" si="62"/>
        <v>935.14885234464055</v>
      </c>
      <c r="BI91" s="62">
        <f ca="1">AVERAGE(OFFSET($BH$3,0,0,'Données projet'!$E$11+1,1))-AVERAGE(OFFSET($H$3,0,0,'Données projet'!$E$11+1,1))</f>
        <v>470.57532875732056</v>
      </c>
      <c r="BJ91" s="62">
        <f t="shared" si="92"/>
        <v>286.63787681165888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projet'!$B$11,Paramètres!$A$1:$I$88,3,0)*0.475*44/12</f>
        <v>25.130313153389842</v>
      </c>
      <c r="BQ91" s="23">
        <f>EXP(-LN(2)/25)*BQ90+(1-EXP(-LN(2)/25))/(LN(2)/25)*Calculateur!BL91*Calculateur!BN91*VLOOKUP('Données projet'!$B$11,Paramètres!$A$1:$I$88,3,0)*0.475*44/12</f>
        <v>0</v>
      </c>
      <c r="BR91" s="23">
        <f>EXP(-LN(2)/2)*BR90+(1-EXP(-LN(2)/2))/(LN(2)/2)*BL91*BO91*VLOOKUP('Données projet'!$B$11,Paramètres!$A$1:$I$88,3,0)*0.475*44/12</f>
        <v>0</v>
      </c>
      <c r="BS91" s="24">
        <f t="shared" si="63"/>
        <v>25.130313153389842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68.231355913227446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-2.2737367544323206E-13</v>
      </c>
      <c r="BZ91" s="14">
        <f>BY91*VLOOKUP('Données projet'!$B$12,Paramètres!$A$1:$I$88,3,0)*VLOOKUP('Données projet'!$B$12,Paramètres!$A$1:$I$88,5,0)</f>
        <v>-1.4897523215040565E-13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305.38855494899906</v>
      </c>
      <c r="CE91" s="62">
        <f t="shared" si="94"/>
        <v>298.48106301229177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projet'!$B$12,Paramètres!$A$1:$I$88,3,0)*0.475*44/12</f>
        <v>72.365763449496754</v>
      </c>
      <c r="CL91" s="23">
        <f>EXP(-LN(2)/25)*CL90+(1-EXP(-LN(2)/25))/(LN(2)/25)*Calculateur!CG91*Calculateur!CI91*VLOOKUP('Données projet'!$B$12,Paramètres!$A$1:$I$88,3,0)*0.475*44/12</f>
        <v>0</v>
      </c>
      <c r="CM91" s="23">
        <f>EXP(-LN(2)/2)*CM90+(1-EXP(-LN(2)/2))/(LN(2)/2)*CG91*CJ91*VLOOKUP('Données projet'!$B$12,Paramètres!$A$1:$I$88,3,0)*0.475*44/12</f>
        <v>0</v>
      </c>
      <c r="CN91" s="24">
        <f t="shared" si="66"/>
        <v>72.365763449496754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68.231355913227446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-2.2737367544323206E-13</v>
      </c>
      <c r="CU91" s="18">
        <f>CT91*VLOOKUP('Données projet'!$B$13,Paramètres!$A$1:$I$88,3,0)*VLOOKUP('Données projet'!$B$13,Paramètres!$A$1:$I$88,5,0)</f>
        <v>-1.8089849618263545E-13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361.30066984973894</v>
      </c>
      <c r="CZ91" s="62">
        <f t="shared" si="96"/>
        <v>351.78053157121622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projet'!$B$13,Paramètres!$A$1:$I$88,3,0)*0.475*44/12</f>
        <v>108.30822735547602</v>
      </c>
      <c r="DG91" s="23">
        <f>EXP(-LN(2)/25)*DG90+(1-EXP(-LN(2)/25))/(LN(2)/25)*Calculateur!DB91*Calculateur!DD91*VLOOKUP('Données projet'!$B$13,Paramètres!$A$1:$I$88,3,0)*0.475*44/12</f>
        <v>0</v>
      </c>
      <c r="DH91" s="23">
        <f>EXP(-LN(2)/2)*DH90+(1-EXP(-LN(2)/2))/(LN(2)/2)*DB91*DE91*VLOOKUP('Données projet'!$B$13,Paramètres!$A$1:$I$88,3,0)*0.475*44/12</f>
        <v>0</v>
      </c>
      <c r="DI91" s="24">
        <f t="shared" si="69"/>
        <v>108.30822735547602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68.231355913227446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>
        <f>DO91*VLOOKUP('Données projet'!$B$14,Paramètres!$A$1:$I$88,3,0)*VLOOKUP('Données projet'!$B$14,Paramètres!$A$1:$I$88,5,0)</f>
        <v>0</v>
      </c>
      <c r="DQ91" s="14" t="e">
        <f t="shared" si="97"/>
        <v>#NUM!</v>
      </c>
      <c r="DR91" s="22" t="e">
        <f t="shared" si="70"/>
        <v>#NUM!</v>
      </c>
      <c r="DS91" s="62" t="e">
        <f t="shared" si="71"/>
        <v>#NUM!</v>
      </c>
      <c r="DT91" s="62">
        <f ca="1">AVERAGE(OFFSET($DS$3,0,0,'Données projet'!$E$14+1,1))-AVERAGE(OFFSET($H$3,0,0,'Données projet'!$E$14+1,1))</f>
        <v>91.201152634762423</v>
      </c>
      <c r="DU91" s="62">
        <f t="shared" si="98"/>
        <v>233.36981992862445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projet'!$B$14,Paramètres!$A$1:$I$88,3,0)*0.475*44/12</f>
        <v>13.144573162719437</v>
      </c>
      <c r="EB91" s="23">
        <f>EXP(-LN(2)/25)*EB90+(1-EXP(-LN(2)/25))/(LN(2)/25)*Calculateur!DW91*Calculateur!DY91*VLOOKUP('Données projet'!$B$14,Paramètres!$A$1:$I$88,3,0)*0.475*44/12</f>
        <v>0</v>
      </c>
      <c r="EC91" s="23">
        <f>EXP(-LN(2)/2)*EC90+(1-EXP(-LN(2)/2))/(LN(2)/2)*DW91*DZ91*VLOOKUP('Données projet'!$B$14,Paramètres!$A$1:$I$88,3,0)*0.475*44/12</f>
        <v>0</v>
      </c>
      <c r="ED91" s="24">
        <f t="shared" si="72"/>
        <v>13.144573162719437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68.231355913227446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projet'!$B$15,Paramètres!$A$1:$I$88,3,0)*0.475*44/12</f>
        <v>#N/A</v>
      </c>
      <c r="EW91" s="23" t="e">
        <f>EXP(-LN(2)/25)*EW90+(1-EXP(-LN(2)/25))/(LN(2)/25)*Calculateur!ER91*Calculateur!ET91*VLOOKUP('Données projet'!$B$15,Paramètres!$A$1:$I$88,3,0)*0.475*44/12</f>
        <v>#N/A</v>
      </c>
      <c r="EX91" s="23" t="e">
        <f>EXP(-LN(2)/2)*EX90+(1-EXP(-LN(2)/2))/(LN(2)/2)*ER91*EU91*VLOOKUP('Données projet'!$B$15,Paramètres!$A$1:$I$88,3,0)*0.475*44/12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68.231355913227446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projet'!$B$16,Paramètres!$A$1:$I$88,3,0)*0.475*44/12</f>
        <v>#N/A</v>
      </c>
      <c r="FR91" s="23" t="e">
        <f>EXP(-LN(2)/25)*FR90+(1-EXP(-LN(2)/25))/(LN(2)/25)*Calculateur!FM91*Calculateur!FO91*VLOOKUP('Données projet'!$B$16,Paramètres!$A$1:$I$88,3,0)*0.475*44/12</f>
        <v>#N/A</v>
      </c>
      <c r="FS91" s="23" t="e">
        <f>EXP(-LN(2)/2)*FS90+(1-EXP(-LN(2)/2))/(LN(2)/2)*FM91*FP91*VLOOKUP('Données projet'!$B$16,Paramètres!$A$1:$I$88,3,0)*0.475*44/12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68.231355913227446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projet'!$B$17,Paramètres!$A$1:$I$88,3,0)*0.475*44/12</f>
        <v>#N/A</v>
      </c>
      <c r="GM91" s="23" t="e">
        <f>EXP(-LN(2)/25)*GM90+(1-EXP(-LN(2)/25))/(LN(2)/25)*Calculateur!GH91*Calculateur!GJ91*VLOOKUP('Données projet'!$B$17,Paramètres!$A$1:$I$88,3,0)*0.475*44/12</f>
        <v>#N/A</v>
      </c>
      <c r="GN91" s="23" t="e">
        <f>EXP(-LN(2)/2)*GN90+(1-EXP(-LN(2)/2))/(LN(2)/2)*GH91*GK91*VLOOKUP('Données projet'!$B$17,Paramètres!$A$1:$I$88,3,0)*0.475*44/12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68.231355913227446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projet'!$B$18,Paramètres!$A$1:$I$88,3,0)*0.475*44/12</f>
        <v>#N/A</v>
      </c>
      <c r="HH91" s="23" t="e">
        <f>EXP(-LN(2)/25)*HH90+(1-EXP(-LN(2)/25))/(LN(2)/25)*Calculateur!HC91*Calculateur!HE91*VLOOKUP('Données projet'!$B$18,Paramètres!$A$1:$I$88,3,0)*0.475*44/12</f>
        <v>#N/A</v>
      </c>
      <c r="HI91" s="23" t="e">
        <f>EXP(-LN(2)/2)*HI90+(1-EXP(-LN(2)/2))/(LN(2)/2)*HC91*HF91*VLOOKUP('Données projet'!$B$18,Paramètres!$A$1:$I$88,3,0)*0.475*44/12</f>
        <v>#N/A</v>
      </c>
      <c r="HJ91" s="24" t="e">
        <f t="shared" si="84"/>
        <v>#N/A</v>
      </c>
    </row>
    <row r="92" spans="1:218" s="5" customFormat="1" x14ac:dyDescent="0.2">
      <c r="A92" s="11">
        <f t="shared" si="85"/>
        <v>89</v>
      </c>
      <c r="B92" s="77">
        <f>'Scénario référence'!$B$16*5+'Scénario référence'!$B$17*0+'Scénario référence'!$B$18*5</f>
        <v>1.6500000000000001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6.0500000000000007</v>
      </c>
      <c r="H92" s="70">
        <f t="shared" si="56"/>
        <v>232.4666666666667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68.262037934037124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projet'!$B$9,Paramètres!$A$1:$I$88,3,0)*VLOOKUP('Données projet'!$B$9,Paramètres!$A$1:$I$88,5,0)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286.96080575813812</v>
      </c>
      <c r="S92" s="62">
        <f ca="1">AVERAGE(OFFSET($R$3,0,0,'Données projet'!$E$9+1,1))-AVERAGE(OFFSET($H$3,0,0,'Données projet'!$E$9+1,1))</f>
        <v>354.71367224254021</v>
      </c>
      <c r="T92" s="62">
        <f t="shared" si="88"/>
        <v>490.074370133397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97.550670884803409</v>
      </c>
      <c r="AA92" s="23">
        <f>EXP(-LN(2)/25)*AA91+(1-EXP(-LN(2)/25))/(LN(2)/25)*Calculateur!V92*Calculateur!X92*VLOOKUP('Données projet'!$B$9,Paramètres!$A$1:$I$88,3,0)*0.475*44/12</f>
        <v>16.579035660983322</v>
      </c>
      <c r="AB92" s="23">
        <f>EXP(-LN(2)/2)*AB91+(1-EXP(-LN(2)/2))/(LN(2)/2)*V92*Y92*VLOOKUP('Données projet'!$B$9,Paramètres!$A$1:$I$88,3,0)*0.475*44/12</f>
        <v>2.4566244100234419E-5</v>
      </c>
      <c r="AC92" s="24">
        <f t="shared" si="57"/>
        <v>114.12973111203083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68.262037934037124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2.2737367544323206E-13</v>
      </c>
      <c r="AJ92" s="14">
        <f>AI92*VLOOKUP('Données projet'!$B$10,Paramètres!$A$1:$I$88,3,0)*VLOOKUP('Données projet'!$B$10,Paramètres!$A$1:$I$88,5,0)</f>
        <v>1.3596945791505279E-13</v>
      </c>
      <c r="AK92" s="14">
        <f t="shared" si="89"/>
        <v>1.9708830566360721E-12</v>
      </c>
      <c r="AL92" s="22">
        <f t="shared" si="58"/>
        <v>3.669434796176543E-12</v>
      </c>
      <c r="AM92" s="62">
        <f t="shared" si="59"/>
        <v>286.96080575813983</v>
      </c>
      <c r="AN92" s="62">
        <f ca="1">AVERAGE(OFFSET($AM$3,0,0,'Données projet'!$E$10+1,1))-AVERAGE(OFFSET($H$3,0,0,'Données projet'!$E$10+1,1))</f>
        <v>264.73276096087574</v>
      </c>
      <c r="AO92" s="62">
        <f t="shared" si="90"/>
        <v>381.84464918049662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projet'!$B$10,Paramètres!$A$1:$I$88,3,0)*0.475*44/12</f>
        <v>68.412905357521765</v>
      </c>
      <c r="AV92" s="23">
        <f>EXP(-LN(2)/25)*AV91+(1-EXP(-LN(2)/25))/(LN(2)/25)*Calculateur!AQ92*Calculateur!AS92*VLOOKUP('Données projet'!$B$10,Paramètres!$A$1:$I$88,3,0)*0.475*44/12</f>
        <v>11.647305809482898</v>
      </c>
      <c r="AW92" s="23">
        <f>EXP(-LN(2)/2)*AW91+(1-EXP(-LN(2)/2))/(LN(2)/2)*AQ92*AT92*VLOOKUP('Données projet'!$B$10,Paramètres!$A$1:$I$88,3,0)*0.475*44/12</f>
        <v>1.7201487672607873E-5</v>
      </c>
      <c r="AX92" s="23">
        <f t="shared" si="60"/>
        <v>80.060228368492346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68.262037934037124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5.4</v>
      </c>
      <c r="BD92" s="13">
        <f>IF('Données projet'!$A$88&gt;35,BD91+BC92-BL91,IF(A92&lt;'Données projet'!$A$88,$BA$205^A92,IF(A92='Données projet'!$A$88,'Données projet'!$B$88,BD91+BC92-BL91)))</f>
        <v>269.59999999999985</v>
      </c>
      <c r="BE92" s="14">
        <f>BD92*VLOOKUP('Données projet'!$B$11,Paramètres!$A$1:$I$88,3,0)*VLOOKUP('Données projet'!$B$11,Paramètres!$A$1:$I$88,5,0)</f>
        <v>307.02047999999985</v>
      </c>
      <c r="BF92" s="14">
        <f t="shared" si="91"/>
        <v>72.646238485840655</v>
      </c>
      <c r="BG92" s="22">
        <f t="shared" si="61"/>
        <v>661.25286802950563</v>
      </c>
      <c r="BH92" s="62">
        <f t="shared" si="62"/>
        <v>948.21367378764171</v>
      </c>
      <c r="BI92" s="62">
        <f ca="1">AVERAGE(OFFSET($BH$3,0,0,'Données projet'!$E$11+1,1))-AVERAGE(OFFSET($H$3,0,0,'Données projet'!$E$11+1,1))</f>
        <v>470.57532875732056</v>
      </c>
      <c r="BJ92" s="62">
        <f t="shared" si="92"/>
        <v>286.63787681165888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projet'!$B$11,Paramètres!$A$1:$I$88,3,0)*0.475*44/12</f>
        <v>24.637523040429379</v>
      </c>
      <c r="BQ92" s="23">
        <f>EXP(-LN(2)/25)*BQ91+(1-EXP(-LN(2)/25))/(LN(2)/25)*Calculateur!BL92*Calculateur!BN92*VLOOKUP('Données projet'!$B$11,Paramètres!$A$1:$I$88,3,0)*0.475*44/12</f>
        <v>0</v>
      </c>
      <c r="BR92" s="23">
        <f>EXP(-LN(2)/2)*BR91+(1-EXP(-LN(2)/2))/(LN(2)/2)*BL92*BO92*VLOOKUP('Données projet'!$B$11,Paramètres!$A$1:$I$88,3,0)*0.475*44/12</f>
        <v>0</v>
      </c>
      <c r="BS92" s="24">
        <f t="shared" si="63"/>
        <v>24.637523040429379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68.262037934037124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-2.2737367544323206E-13</v>
      </c>
      <c r="BZ92" s="14">
        <f>BY92*VLOOKUP('Données projet'!$B$12,Paramètres!$A$1:$I$88,3,0)*VLOOKUP('Données projet'!$B$12,Paramètres!$A$1:$I$88,5,0)</f>
        <v>-1.4897523215040565E-13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305.38855494899906</v>
      </c>
      <c r="CE92" s="62">
        <f t="shared" si="94"/>
        <v>298.48106301229177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projet'!$B$12,Paramètres!$A$1:$I$88,3,0)*0.475*44/12</f>
        <v>70.946714967009484</v>
      </c>
      <c r="CL92" s="23">
        <f>EXP(-LN(2)/25)*CL91+(1-EXP(-LN(2)/25))/(LN(2)/25)*Calculateur!CG92*Calculateur!CI92*VLOOKUP('Données projet'!$B$12,Paramètres!$A$1:$I$88,3,0)*0.475*44/12</f>
        <v>0</v>
      </c>
      <c r="CM92" s="23">
        <f>EXP(-LN(2)/2)*CM91+(1-EXP(-LN(2)/2))/(LN(2)/2)*CG92*CJ92*VLOOKUP('Données projet'!$B$12,Paramètres!$A$1:$I$88,3,0)*0.475*44/12</f>
        <v>0</v>
      </c>
      <c r="CN92" s="24">
        <f t="shared" si="66"/>
        <v>70.946714967009484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68.262037934037124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-2.2737367544323206E-13</v>
      </c>
      <c r="CU92" s="18">
        <f>CT92*VLOOKUP('Données projet'!$B$13,Paramètres!$A$1:$I$88,3,0)*VLOOKUP('Données projet'!$B$13,Paramètres!$A$1:$I$88,5,0)</f>
        <v>-1.8089849618263545E-13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361.30066984973894</v>
      </c>
      <c r="CZ92" s="62">
        <f t="shared" si="96"/>
        <v>351.78053157121622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projet'!$B$13,Paramètres!$A$1:$I$88,3,0)*0.475*44/12</f>
        <v>106.18436907853079</v>
      </c>
      <c r="DG92" s="23">
        <f>EXP(-LN(2)/25)*DG91+(1-EXP(-LN(2)/25))/(LN(2)/25)*Calculateur!DB92*Calculateur!DD92*VLOOKUP('Données projet'!$B$13,Paramètres!$A$1:$I$88,3,0)*0.475*44/12</f>
        <v>0</v>
      </c>
      <c r="DH92" s="23">
        <f>EXP(-LN(2)/2)*DH91+(1-EXP(-LN(2)/2))/(LN(2)/2)*DB92*DE92*VLOOKUP('Données projet'!$B$13,Paramètres!$A$1:$I$88,3,0)*0.475*44/12</f>
        <v>0</v>
      </c>
      <c r="DI92" s="24">
        <f t="shared" si="69"/>
        <v>106.18436907853079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68.262037934037124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>
        <f>DO92*VLOOKUP('Données projet'!$B$14,Paramètres!$A$1:$I$88,3,0)*VLOOKUP('Données projet'!$B$14,Paramètres!$A$1:$I$88,5,0)</f>
        <v>0</v>
      </c>
      <c r="DQ92" s="14" t="e">
        <f t="shared" si="97"/>
        <v>#NUM!</v>
      </c>
      <c r="DR92" s="22" t="e">
        <f t="shared" si="70"/>
        <v>#NUM!</v>
      </c>
      <c r="DS92" s="62" t="e">
        <f t="shared" si="71"/>
        <v>#NUM!</v>
      </c>
      <c r="DT92" s="62">
        <f ca="1">AVERAGE(OFFSET($DS$3,0,0,'Données projet'!$E$14+1,1))-AVERAGE(OFFSET($H$3,0,0,'Données projet'!$E$14+1,1))</f>
        <v>91.201152634762423</v>
      </c>
      <c r="DU92" s="62">
        <f t="shared" si="98"/>
        <v>233.36981992862445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projet'!$B$14,Paramètres!$A$1:$I$88,3,0)*0.475*44/12</f>
        <v>12.886816100396485</v>
      </c>
      <c r="EB92" s="23">
        <f>EXP(-LN(2)/25)*EB91+(1-EXP(-LN(2)/25))/(LN(2)/25)*Calculateur!DW92*Calculateur!DY92*VLOOKUP('Données projet'!$B$14,Paramètres!$A$1:$I$88,3,0)*0.475*44/12</f>
        <v>0</v>
      </c>
      <c r="EC92" s="23">
        <f>EXP(-LN(2)/2)*EC91+(1-EXP(-LN(2)/2))/(LN(2)/2)*DW92*DZ92*VLOOKUP('Données projet'!$B$14,Paramètres!$A$1:$I$88,3,0)*0.475*44/12</f>
        <v>0</v>
      </c>
      <c r="ED92" s="24">
        <f t="shared" si="72"/>
        <v>12.886816100396485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68.262037934037124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projet'!$B$15,Paramètres!$A$1:$I$88,3,0)*0.475*44/12</f>
        <v>#N/A</v>
      </c>
      <c r="EW92" s="23" t="e">
        <f>EXP(-LN(2)/25)*EW91+(1-EXP(-LN(2)/25))/(LN(2)/25)*Calculateur!ER92*Calculateur!ET92*VLOOKUP('Données projet'!$B$15,Paramètres!$A$1:$I$88,3,0)*0.475*44/12</f>
        <v>#N/A</v>
      </c>
      <c r="EX92" s="23" t="e">
        <f>EXP(-LN(2)/2)*EX91+(1-EXP(-LN(2)/2))/(LN(2)/2)*ER92*EU92*VLOOKUP('Données projet'!$B$15,Paramètres!$A$1:$I$88,3,0)*0.475*44/12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68.262037934037124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projet'!$B$16,Paramètres!$A$1:$I$88,3,0)*0.475*44/12</f>
        <v>#N/A</v>
      </c>
      <c r="FR92" s="23" t="e">
        <f>EXP(-LN(2)/25)*FR91+(1-EXP(-LN(2)/25))/(LN(2)/25)*Calculateur!FM92*Calculateur!FO92*VLOOKUP('Données projet'!$B$16,Paramètres!$A$1:$I$88,3,0)*0.475*44/12</f>
        <v>#N/A</v>
      </c>
      <c r="FS92" s="23" t="e">
        <f>EXP(-LN(2)/2)*FS91+(1-EXP(-LN(2)/2))/(LN(2)/2)*FM92*FP92*VLOOKUP('Données projet'!$B$16,Paramètres!$A$1:$I$88,3,0)*0.475*44/12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68.262037934037124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projet'!$B$17,Paramètres!$A$1:$I$88,3,0)*0.475*44/12</f>
        <v>#N/A</v>
      </c>
      <c r="GM92" s="23" t="e">
        <f>EXP(-LN(2)/25)*GM91+(1-EXP(-LN(2)/25))/(LN(2)/25)*Calculateur!GH92*Calculateur!GJ92*VLOOKUP('Données projet'!$B$17,Paramètres!$A$1:$I$88,3,0)*0.475*44/12</f>
        <v>#N/A</v>
      </c>
      <c r="GN92" s="23" t="e">
        <f>EXP(-LN(2)/2)*GN91+(1-EXP(-LN(2)/2))/(LN(2)/2)*GH92*GK92*VLOOKUP('Données projet'!$B$17,Paramètres!$A$1:$I$88,3,0)*0.475*44/12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68.262037934037124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projet'!$B$18,Paramètres!$A$1:$I$88,3,0)*0.475*44/12</f>
        <v>#N/A</v>
      </c>
      <c r="HH92" s="23" t="e">
        <f>EXP(-LN(2)/25)*HH91+(1-EXP(-LN(2)/25))/(LN(2)/25)*Calculateur!HC92*Calculateur!HE92*VLOOKUP('Données projet'!$B$18,Paramètres!$A$1:$I$88,3,0)*0.475*44/12</f>
        <v>#N/A</v>
      </c>
      <c r="HI92" s="23" t="e">
        <f>EXP(-LN(2)/2)*HI91+(1-EXP(-LN(2)/2))/(LN(2)/2)*HC92*HF92*VLOOKUP('Données projet'!$B$18,Paramètres!$A$1:$I$88,3,0)*0.475*44/12</f>
        <v>#N/A</v>
      </c>
      <c r="HJ92" s="24" t="e">
        <f t="shared" si="84"/>
        <v>#N/A</v>
      </c>
    </row>
    <row r="93" spans="1:218" s="5" customFormat="1" x14ac:dyDescent="0.2">
      <c r="A93" s="11">
        <f t="shared" si="85"/>
        <v>90</v>
      </c>
      <c r="B93" s="77">
        <f>'Scénario référence'!$B$16*5+'Scénario référence'!$B$17*0+'Scénario référence'!$B$18*5</f>
        <v>1.6500000000000001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6.0500000000000007</v>
      </c>
      <c r="H93" s="70">
        <f t="shared" si="56"/>
        <v>232.4666666666667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68.292187690380501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projet'!$B$9,Paramètres!$A$1:$I$88,3,0)*VLOOKUP('Données projet'!$B$9,Paramètres!$A$1:$I$88,5,0)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287.07135486473049</v>
      </c>
      <c r="S93" s="62">
        <f ca="1">AVERAGE(OFFSET($R$3,0,0,'Données projet'!$E$9+1,1))-AVERAGE(OFFSET($H$3,0,0,'Données projet'!$E$9+1,1))</f>
        <v>354.71367224254021</v>
      </c>
      <c r="T93" s="62">
        <f t="shared" si="88"/>
        <v>490.074370133397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95.637761728786515</v>
      </c>
      <c r="AA93" s="23">
        <f>EXP(-LN(2)/25)*AA92+(1-EXP(-LN(2)/25))/(LN(2)/25)*Calculateur!V93*Calculateur!X93*VLOOKUP('Données projet'!$B$9,Paramètres!$A$1:$I$88,3,0)*0.475*44/12</f>
        <v>16.125681058980138</v>
      </c>
      <c r="AB93" s="23">
        <f>EXP(-LN(2)/2)*AB92+(1-EXP(-LN(2)/2))/(LN(2)/2)*V93*Y93*VLOOKUP('Données projet'!$B$9,Paramètres!$A$1:$I$88,3,0)*0.475*44/12</f>
        <v>1.7370957791559773E-5</v>
      </c>
      <c r="AC93" s="24">
        <f t="shared" si="57"/>
        <v>111.76346015872444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68.292187690380501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2.2737367544323206E-13</v>
      </c>
      <c r="AJ93" s="14">
        <f>AI93*VLOOKUP('Données projet'!$B$10,Paramètres!$A$1:$I$88,3,0)*VLOOKUP('Données projet'!$B$10,Paramètres!$A$1:$I$88,5,0)</f>
        <v>1.3596945791505279E-13</v>
      </c>
      <c r="AK93" s="14">
        <f t="shared" si="89"/>
        <v>1.9708830566360721E-12</v>
      </c>
      <c r="AL93" s="22">
        <f t="shared" si="58"/>
        <v>3.669434796176543E-12</v>
      </c>
      <c r="AM93" s="62">
        <f t="shared" si="59"/>
        <v>287.0713548647322</v>
      </c>
      <c r="AN93" s="62">
        <f ca="1">AVERAGE(OFFSET($AM$3,0,0,'Données projet'!$E$10+1,1))-AVERAGE(OFFSET($H$3,0,0,'Données projet'!$E$10+1,1))</f>
        <v>264.73276096087574</v>
      </c>
      <c r="AO93" s="62">
        <f t="shared" si="90"/>
        <v>381.84464918049662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projet'!$B$10,Paramètres!$A$1:$I$88,3,0)*0.475*44/12</f>
        <v>67.071370011212764</v>
      </c>
      <c r="AV93" s="23">
        <f>EXP(-LN(2)/25)*AV92+(1-EXP(-LN(2)/25))/(LN(2)/25)*Calculateur!AQ93*Calculateur!AS93*VLOOKUP('Données projet'!$B$10,Paramètres!$A$1:$I$88,3,0)*0.475*44/12</f>
        <v>11.328809619617395</v>
      </c>
      <c r="AW93" s="23">
        <f>EXP(-LN(2)/2)*AW92+(1-EXP(-LN(2)/2))/(LN(2)/2)*AQ93*AT93*VLOOKUP('Données projet'!$B$10,Paramètres!$A$1:$I$88,3,0)*0.475*44/12</f>
        <v>1.216328857979783E-5</v>
      </c>
      <c r="AX93" s="23">
        <f t="shared" si="60"/>
        <v>78.40019179411874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68.292187690380501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275</v>
      </c>
      <c r="BB93" s="13">
        <f>VLOOKUP(A93,'Données projet'!$A$87:$I$107,9,0)</f>
        <v>5.4</v>
      </c>
      <c r="BC93" s="13">
        <f t="array" ref="BC93">INDEX(BB:BB,MIN(IF(ISNUMBER(BB93:BB289),ROW(BB93:BB289),"")))</f>
        <v>5.4</v>
      </c>
      <c r="BD93" s="13">
        <f>IF('Données projet'!$A$88&gt;35,BD92+BC93-BL92,IF(A93&lt;'Données projet'!$A$88,$BA$205^A93,IF(A93='Données projet'!$A$88,'Données projet'!$B$88,BD92+BC93-BL92)))</f>
        <v>274.99999999999983</v>
      </c>
      <c r="BE93" s="14">
        <f>BD93*VLOOKUP('Données projet'!$B$11,Paramètres!$A$1:$I$88,3,0)*VLOOKUP('Données projet'!$B$11,Paramètres!$A$1:$I$88,5,0)</f>
        <v>313.16999999999979</v>
      </c>
      <c r="BF93" s="14">
        <f t="shared" si="91"/>
        <v>73.930459835341836</v>
      </c>
      <c r="BG93" s="22">
        <f t="shared" si="61"/>
        <v>674.19996754655324</v>
      </c>
      <c r="BH93" s="62">
        <f t="shared" si="62"/>
        <v>961.27132241128174</v>
      </c>
      <c r="BI93" s="62">
        <f ca="1">AVERAGE(OFFSET($BH$3,0,0,'Données projet'!$E$11+1,1))-AVERAGE(OFFSET($H$3,0,0,'Données projet'!$E$11+1,1))</f>
        <v>470.57532875732056</v>
      </c>
      <c r="BJ93" s="62">
        <f t="shared" si="92"/>
        <v>286.63787681165888</v>
      </c>
      <c r="BK93" s="16">
        <f>IF(ISNA(VLOOKUP(A93,'Données projet'!$A$87:$I$107,3,0)),0,VLOOKUP(A93,'Données projet'!$A$87:$I$107,3,0))</f>
        <v>15</v>
      </c>
      <c r="BL93" s="16">
        <f>IF(ISNA(VLOOKUP(A93,'Données projet'!$A$87:$I$107,4,0)),0,VLOOKUP(A93,'Données projet'!$A$87:$I$107,4,0))</f>
        <v>21</v>
      </c>
      <c r="BM93" s="17">
        <f>IF(ISNA(VLOOKUP(A93,'Données projet'!$A$87:$I$107,5,0)),0%,VLOOKUP(A93,'Données projet'!$A$87:$I$107,5,0)*VLOOKUP('Données projet'!$B$11,Paramètres!$A$1:$I$88,7,0))</f>
        <v>0.25800000000000001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projet'!$B$11,Paramètres!$A$1:$I$88,3,0)*0.475*44/12</f>
        <v>30.975168823385069</v>
      </c>
      <c r="BQ93" s="23">
        <f>EXP(-LN(2)/25)*BQ92+(1-EXP(-LN(2)/25))/(LN(2)/25)*Calculateur!BL93*Calculateur!BN93*VLOOKUP('Données projet'!$B$11,Paramètres!$A$1:$I$88,3,0)*0.475*44/12</f>
        <v>0</v>
      </c>
      <c r="BR93" s="23">
        <f>EXP(-LN(2)/2)*BR92+(1-EXP(-LN(2)/2))/(LN(2)/2)*BL93*BO93*VLOOKUP('Données projet'!$B$11,Paramètres!$A$1:$I$88,3,0)*0.475*44/12</f>
        <v>0</v>
      </c>
      <c r="BS93" s="24">
        <f t="shared" si="63"/>
        <v>30.975168823385069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68.292187690380501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-2.2737367544323206E-13</v>
      </c>
      <c r="BZ93" s="14">
        <f>BY93*VLOOKUP('Données projet'!$B$12,Paramètres!$A$1:$I$88,3,0)*VLOOKUP('Données projet'!$B$12,Paramètres!$A$1:$I$88,5,0)</f>
        <v>-1.4897523215040565E-13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305.38855494899906</v>
      </c>
      <c r="CE93" s="62">
        <f t="shared" si="94"/>
        <v>298.48106301229177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projet'!$B$12,Paramètres!$A$1:$I$88,3,0)*0.475*44/12</f>
        <v>69.555493159729679</v>
      </c>
      <c r="CL93" s="23">
        <f>EXP(-LN(2)/25)*CL92+(1-EXP(-LN(2)/25))/(LN(2)/25)*Calculateur!CG93*Calculateur!CI93*VLOOKUP('Données projet'!$B$12,Paramètres!$A$1:$I$88,3,0)*0.475*44/12</f>
        <v>0</v>
      </c>
      <c r="CM93" s="23">
        <f>EXP(-LN(2)/2)*CM92+(1-EXP(-LN(2)/2))/(LN(2)/2)*CG93*CJ93*VLOOKUP('Données projet'!$B$12,Paramètres!$A$1:$I$88,3,0)*0.475*44/12</f>
        <v>0</v>
      </c>
      <c r="CN93" s="24">
        <f t="shared" si="66"/>
        <v>69.555493159729679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68.292187690380501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-2.2737367544323206E-13</v>
      </c>
      <c r="CU93" s="18">
        <f>CT93*VLOOKUP('Données projet'!$B$13,Paramètres!$A$1:$I$88,3,0)*VLOOKUP('Données projet'!$B$13,Paramètres!$A$1:$I$88,5,0)</f>
        <v>-1.8089849618263545E-13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361.30066984973894</v>
      </c>
      <c r="CZ93" s="62">
        <f t="shared" si="96"/>
        <v>351.78053157121622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projet'!$B$13,Paramètres!$A$1:$I$88,3,0)*0.475*44/12</f>
        <v>104.10215836697083</v>
      </c>
      <c r="DG93" s="23">
        <f>EXP(-LN(2)/25)*DG92+(1-EXP(-LN(2)/25))/(LN(2)/25)*Calculateur!DB93*Calculateur!DD93*VLOOKUP('Données projet'!$B$13,Paramètres!$A$1:$I$88,3,0)*0.475*44/12</f>
        <v>0</v>
      </c>
      <c r="DH93" s="23">
        <f>EXP(-LN(2)/2)*DH92+(1-EXP(-LN(2)/2))/(LN(2)/2)*DB93*DE93*VLOOKUP('Données projet'!$B$13,Paramètres!$A$1:$I$88,3,0)*0.475*44/12</f>
        <v>0</v>
      </c>
      <c r="DI93" s="24">
        <f t="shared" si="69"/>
        <v>104.10215836697083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68.292187690380501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>
        <f>DO93*VLOOKUP('Données projet'!$B$14,Paramètres!$A$1:$I$88,3,0)*VLOOKUP('Données projet'!$B$14,Paramètres!$A$1:$I$88,5,0)</f>
        <v>0</v>
      </c>
      <c r="DQ93" s="14" t="e">
        <f t="shared" si="97"/>
        <v>#NUM!</v>
      </c>
      <c r="DR93" s="22" t="e">
        <f t="shared" si="70"/>
        <v>#NUM!</v>
      </c>
      <c r="DS93" s="62" t="e">
        <f t="shared" si="71"/>
        <v>#NUM!</v>
      </c>
      <c r="DT93" s="62">
        <f ca="1">AVERAGE(OFFSET($DS$3,0,0,'Données projet'!$E$14+1,1))-AVERAGE(OFFSET($H$3,0,0,'Données projet'!$E$14+1,1))</f>
        <v>91.201152634762423</v>
      </c>
      <c r="DU93" s="62">
        <f t="shared" si="98"/>
        <v>233.36981992862445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projet'!$B$14,Paramètres!$A$1:$I$88,3,0)*0.475*44/12</f>
        <v>12.634113496849404</v>
      </c>
      <c r="EB93" s="23">
        <f>EXP(-LN(2)/25)*EB92+(1-EXP(-LN(2)/25))/(LN(2)/25)*Calculateur!DW93*Calculateur!DY93*VLOOKUP('Données projet'!$B$14,Paramètres!$A$1:$I$88,3,0)*0.475*44/12</f>
        <v>0</v>
      </c>
      <c r="EC93" s="23">
        <f>EXP(-LN(2)/2)*EC92+(1-EXP(-LN(2)/2))/(LN(2)/2)*DW93*DZ93*VLOOKUP('Données projet'!$B$14,Paramètres!$A$1:$I$88,3,0)*0.475*44/12</f>
        <v>0</v>
      </c>
      <c r="ED93" s="24">
        <f t="shared" si="72"/>
        <v>12.634113496849404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68.292187690380501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projet'!$B$15,Paramètres!$A$1:$I$88,3,0)*0.475*44/12</f>
        <v>#N/A</v>
      </c>
      <c r="EW93" s="23" t="e">
        <f>EXP(-LN(2)/25)*EW92+(1-EXP(-LN(2)/25))/(LN(2)/25)*Calculateur!ER93*Calculateur!ET93*VLOOKUP('Données projet'!$B$15,Paramètres!$A$1:$I$88,3,0)*0.475*44/12</f>
        <v>#N/A</v>
      </c>
      <c r="EX93" s="23" t="e">
        <f>EXP(-LN(2)/2)*EX92+(1-EXP(-LN(2)/2))/(LN(2)/2)*ER93*EU93*VLOOKUP('Données projet'!$B$15,Paramètres!$A$1:$I$88,3,0)*0.475*44/12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68.292187690380501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projet'!$B$16,Paramètres!$A$1:$I$88,3,0)*0.475*44/12</f>
        <v>#N/A</v>
      </c>
      <c r="FR93" s="23" t="e">
        <f>EXP(-LN(2)/25)*FR92+(1-EXP(-LN(2)/25))/(LN(2)/25)*Calculateur!FM93*Calculateur!FO93*VLOOKUP('Données projet'!$B$16,Paramètres!$A$1:$I$88,3,0)*0.475*44/12</f>
        <v>#N/A</v>
      </c>
      <c r="FS93" s="23" t="e">
        <f>EXP(-LN(2)/2)*FS92+(1-EXP(-LN(2)/2))/(LN(2)/2)*FM93*FP93*VLOOKUP('Données projet'!$B$16,Paramètres!$A$1:$I$88,3,0)*0.475*44/12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68.292187690380501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projet'!$B$17,Paramètres!$A$1:$I$88,3,0)*0.475*44/12</f>
        <v>#N/A</v>
      </c>
      <c r="GM93" s="23" t="e">
        <f>EXP(-LN(2)/25)*GM92+(1-EXP(-LN(2)/25))/(LN(2)/25)*Calculateur!GH93*Calculateur!GJ93*VLOOKUP('Données projet'!$B$17,Paramètres!$A$1:$I$88,3,0)*0.475*44/12</f>
        <v>#N/A</v>
      </c>
      <c r="GN93" s="23" t="e">
        <f>EXP(-LN(2)/2)*GN92+(1-EXP(-LN(2)/2))/(LN(2)/2)*GH93*GK93*VLOOKUP('Données projet'!$B$17,Paramètres!$A$1:$I$88,3,0)*0.475*44/12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68.292187690380501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projet'!$B$18,Paramètres!$A$1:$I$88,3,0)*0.475*44/12</f>
        <v>#N/A</v>
      </c>
      <c r="HH93" s="23" t="e">
        <f>EXP(-LN(2)/25)*HH92+(1-EXP(-LN(2)/25))/(LN(2)/25)*Calculateur!HC93*Calculateur!HE93*VLOOKUP('Données projet'!$B$18,Paramètres!$A$1:$I$88,3,0)*0.475*44/12</f>
        <v>#N/A</v>
      </c>
      <c r="HI93" s="23" t="e">
        <f>EXP(-LN(2)/2)*HI92+(1-EXP(-LN(2)/2))/(LN(2)/2)*HC93*HF93*VLOOKUP('Données projet'!$B$18,Paramètres!$A$1:$I$88,3,0)*0.475*44/12</f>
        <v>#N/A</v>
      </c>
      <c r="HJ93" s="24" t="e">
        <f t="shared" si="84"/>
        <v>#N/A</v>
      </c>
    </row>
    <row r="94" spans="1:218" s="5" customFormat="1" x14ac:dyDescent="0.2">
      <c r="A94" s="11">
        <f t="shared" si="85"/>
        <v>91</v>
      </c>
      <c r="B94" s="77">
        <f>'Scénario référence'!$B$16*5+'Scénario référence'!$B$17*0+'Scénario référence'!$B$18*5</f>
        <v>1.6500000000000001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6.0500000000000007</v>
      </c>
      <c r="H94" s="70">
        <f t="shared" si="56"/>
        <v>232.4666666666667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68.321814415856068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projet'!$B$9,Paramètres!$A$1:$I$88,3,0)*VLOOKUP('Données projet'!$B$9,Paramètres!$A$1:$I$88,5,0)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287.1799861914742</v>
      </c>
      <c r="S94" s="62">
        <f ca="1">AVERAGE(OFFSET($R$3,0,0,'Données projet'!$E$9+1,1))-AVERAGE(OFFSET($H$3,0,0,'Données projet'!$E$9+1,1))</f>
        <v>354.71367224254021</v>
      </c>
      <c r="T94" s="62">
        <f t="shared" si="88"/>
        <v>490.074370133397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93.762363554559727</v>
      </c>
      <c r="AA94" s="23">
        <f>EXP(-LN(2)/25)*AA93+(1-EXP(-LN(2)/25))/(LN(2)/25)*Calculateur!V94*Calculateur!X94*VLOOKUP('Données projet'!$B$9,Paramètres!$A$1:$I$88,3,0)*0.475*44/12</f>
        <v>15.684723462409615</v>
      </c>
      <c r="AB94" s="23">
        <f>EXP(-LN(2)/2)*AB93+(1-EXP(-LN(2)/2))/(LN(2)/2)*V94*Y94*VLOOKUP('Données projet'!$B$9,Paramètres!$A$1:$I$88,3,0)*0.475*44/12</f>
        <v>1.2283122050117209E-5</v>
      </c>
      <c r="AC94" s="24">
        <f t="shared" si="57"/>
        <v>109.44709930009138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68.321814415856068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2.2737367544323206E-13</v>
      </c>
      <c r="AJ94" s="14">
        <f>AI94*VLOOKUP('Données projet'!$B$10,Paramètres!$A$1:$I$88,3,0)*VLOOKUP('Données projet'!$B$10,Paramètres!$A$1:$I$88,5,0)</f>
        <v>1.3596945791505279E-13</v>
      </c>
      <c r="AK94" s="14">
        <f t="shared" si="89"/>
        <v>1.9708830566360721E-12</v>
      </c>
      <c r="AL94" s="22">
        <f t="shared" si="58"/>
        <v>3.669434796176543E-12</v>
      </c>
      <c r="AM94" s="62">
        <f t="shared" si="59"/>
        <v>287.1799861914759</v>
      </c>
      <c r="AN94" s="62">
        <f ca="1">AVERAGE(OFFSET($AM$3,0,0,'Données projet'!$E$10+1,1))-AVERAGE(OFFSET($H$3,0,0,'Données projet'!$E$10+1,1))</f>
        <v>264.73276096087574</v>
      </c>
      <c r="AO94" s="62">
        <f t="shared" si="90"/>
        <v>381.84464918049662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projet'!$B$10,Paramètres!$A$1:$I$88,3,0)*0.475*44/12</f>
        <v>65.756141354789108</v>
      </c>
      <c r="AV94" s="23">
        <f>EXP(-LN(2)/25)*AV93+(1-EXP(-LN(2)/25))/(LN(2)/25)*Calculateur!AQ94*Calculateur!AS94*VLOOKUP('Données projet'!$B$10,Paramètres!$A$1:$I$88,3,0)*0.475*44/12</f>
        <v>11.019022724812752</v>
      </c>
      <c r="AW94" s="23">
        <f>EXP(-LN(2)/2)*AW93+(1-EXP(-LN(2)/2))/(LN(2)/2)*AQ94*AT94*VLOOKUP('Données projet'!$B$10,Paramètres!$A$1:$I$88,3,0)*0.475*44/12</f>
        <v>8.6007438363039365E-6</v>
      </c>
      <c r="AX94" s="23">
        <f t="shared" si="60"/>
        <v>76.775172680345705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68.321814415856068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</v>
      </c>
      <c r="BD94" s="13">
        <f>IF('Données projet'!$A$88&gt;35,BD93+BC94-BL93,IF(A94&lt;'Données projet'!$A$88,$BA$205^A94,IF(A94='Données projet'!$A$88,'Données projet'!$B$88,BD93+BC94-BL93)))</f>
        <v>258.99999999999983</v>
      </c>
      <c r="BE94" s="14">
        <f>BD94*VLOOKUP('Données projet'!$B$11,Paramètres!$A$1:$I$88,3,0)*VLOOKUP('Données projet'!$B$11,Paramètres!$A$1:$I$88,5,0)</f>
        <v>294.94919999999985</v>
      </c>
      <c r="BF94" s="14">
        <f t="shared" si="91"/>
        <v>70.116577722016714</v>
      </c>
      <c r="BG94" s="22">
        <f t="shared" si="61"/>
        <v>635.82289619917879</v>
      </c>
      <c r="BH94" s="62">
        <f t="shared" si="62"/>
        <v>923.00288239065094</v>
      </c>
      <c r="BI94" s="62">
        <f ca="1">AVERAGE(OFFSET($BH$3,0,0,'Données projet'!$E$11+1,1))-AVERAGE(OFFSET($H$3,0,0,'Données projet'!$E$11+1,1))</f>
        <v>470.57532875732056</v>
      </c>
      <c r="BJ94" s="62">
        <f t="shared" si="92"/>
        <v>286.63787681165888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projet'!$B$11,Paramètres!$A$1:$I$88,3,0)*0.475*44/12</f>
        <v>30.36776465574594</v>
      </c>
      <c r="BQ94" s="23">
        <f>EXP(-LN(2)/25)*BQ93+(1-EXP(-LN(2)/25))/(LN(2)/25)*Calculateur!BL94*Calculateur!BN94*VLOOKUP('Données projet'!$B$11,Paramètres!$A$1:$I$88,3,0)*0.475*44/12</f>
        <v>0</v>
      </c>
      <c r="BR94" s="23">
        <f>EXP(-LN(2)/2)*BR93+(1-EXP(-LN(2)/2))/(LN(2)/2)*BL94*BO94*VLOOKUP('Données projet'!$B$11,Paramètres!$A$1:$I$88,3,0)*0.475*44/12</f>
        <v>0</v>
      </c>
      <c r="BS94" s="24">
        <f t="shared" si="63"/>
        <v>30.36776465574594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68.321814415856068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-2.2737367544323206E-13</v>
      </c>
      <c r="BZ94" s="14">
        <f>BY94*VLOOKUP('Données projet'!$B$12,Paramètres!$A$1:$I$88,3,0)*VLOOKUP('Données projet'!$B$12,Paramètres!$A$1:$I$88,5,0)</f>
        <v>-1.4897523215040565E-13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305.38855494899906</v>
      </c>
      <c r="CE94" s="62">
        <f t="shared" si="94"/>
        <v>298.48106301229177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projet'!$B$12,Paramètres!$A$1:$I$88,3,0)*0.475*44/12</f>
        <v>68.191552363529127</v>
      </c>
      <c r="CL94" s="23">
        <f>EXP(-LN(2)/25)*CL93+(1-EXP(-LN(2)/25))/(LN(2)/25)*Calculateur!CG94*Calculateur!CI94*VLOOKUP('Données projet'!$B$12,Paramètres!$A$1:$I$88,3,0)*0.475*44/12</f>
        <v>0</v>
      </c>
      <c r="CM94" s="23">
        <f>EXP(-LN(2)/2)*CM93+(1-EXP(-LN(2)/2))/(LN(2)/2)*CG94*CJ94*VLOOKUP('Données projet'!$B$12,Paramètres!$A$1:$I$88,3,0)*0.475*44/12</f>
        <v>0</v>
      </c>
      <c r="CN94" s="24">
        <f t="shared" si="66"/>
        <v>68.191552363529127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68.321814415856068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-2.2737367544323206E-13</v>
      </c>
      <c r="CU94" s="18">
        <f>CT94*VLOOKUP('Données projet'!$B$13,Paramètres!$A$1:$I$88,3,0)*VLOOKUP('Données projet'!$B$13,Paramètres!$A$1:$I$88,5,0)</f>
        <v>-1.8089849618263545E-13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361.30066984973894</v>
      </c>
      <c r="CZ94" s="62">
        <f t="shared" si="96"/>
        <v>351.78053157121622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projet'!$B$13,Paramètres!$A$1:$I$88,3,0)*0.475*44/12</f>
        <v>102.06077853744142</v>
      </c>
      <c r="DG94" s="23">
        <f>EXP(-LN(2)/25)*DG93+(1-EXP(-LN(2)/25))/(LN(2)/25)*Calculateur!DB94*Calculateur!DD94*VLOOKUP('Données projet'!$B$13,Paramètres!$A$1:$I$88,3,0)*0.475*44/12</f>
        <v>0</v>
      </c>
      <c r="DH94" s="23">
        <f>EXP(-LN(2)/2)*DH93+(1-EXP(-LN(2)/2))/(LN(2)/2)*DB94*DE94*VLOOKUP('Données projet'!$B$13,Paramètres!$A$1:$I$88,3,0)*0.475*44/12</f>
        <v>0</v>
      </c>
      <c r="DI94" s="24">
        <f t="shared" si="69"/>
        <v>102.06077853744142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68.321814415856068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>
        <f>DO94*VLOOKUP('Données projet'!$B$14,Paramètres!$A$1:$I$88,3,0)*VLOOKUP('Données projet'!$B$14,Paramètres!$A$1:$I$88,5,0)</f>
        <v>0</v>
      </c>
      <c r="DQ94" s="14" t="e">
        <f t="shared" si="97"/>
        <v>#NUM!</v>
      </c>
      <c r="DR94" s="22" t="e">
        <f t="shared" si="70"/>
        <v>#NUM!</v>
      </c>
      <c r="DS94" s="62" t="e">
        <f t="shared" si="71"/>
        <v>#NUM!</v>
      </c>
      <c r="DT94" s="62">
        <f ca="1">AVERAGE(OFFSET($DS$3,0,0,'Données projet'!$E$14+1,1))-AVERAGE(OFFSET($H$3,0,0,'Données projet'!$E$14+1,1))</f>
        <v>91.201152634762423</v>
      </c>
      <c r="DU94" s="62">
        <f t="shared" si="98"/>
        <v>233.36981992862445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projet'!$B$14,Paramètres!$A$1:$I$88,3,0)*0.475*44/12</f>
        <v>12.386366237224511</v>
      </c>
      <c r="EB94" s="23">
        <f>EXP(-LN(2)/25)*EB93+(1-EXP(-LN(2)/25))/(LN(2)/25)*Calculateur!DW94*Calculateur!DY94*VLOOKUP('Données projet'!$B$14,Paramètres!$A$1:$I$88,3,0)*0.475*44/12</f>
        <v>0</v>
      </c>
      <c r="EC94" s="23">
        <f>EXP(-LN(2)/2)*EC93+(1-EXP(-LN(2)/2))/(LN(2)/2)*DW94*DZ94*VLOOKUP('Données projet'!$B$14,Paramètres!$A$1:$I$88,3,0)*0.475*44/12</f>
        <v>0</v>
      </c>
      <c r="ED94" s="24">
        <f t="shared" si="72"/>
        <v>12.386366237224511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68.321814415856068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projet'!$B$15,Paramètres!$A$1:$I$88,3,0)*0.475*44/12</f>
        <v>#N/A</v>
      </c>
      <c r="EW94" s="23" t="e">
        <f>EXP(-LN(2)/25)*EW93+(1-EXP(-LN(2)/25))/(LN(2)/25)*Calculateur!ER94*Calculateur!ET94*VLOOKUP('Données projet'!$B$15,Paramètres!$A$1:$I$88,3,0)*0.475*44/12</f>
        <v>#N/A</v>
      </c>
      <c r="EX94" s="23" t="e">
        <f>EXP(-LN(2)/2)*EX93+(1-EXP(-LN(2)/2))/(LN(2)/2)*ER94*EU94*VLOOKUP('Données projet'!$B$15,Paramètres!$A$1:$I$88,3,0)*0.475*44/12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68.321814415856068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projet'!$B$16,Paramètres!$A$1:$I$88,3,0)*0.475*44/12</f>
        <v>#N/A</v>
      </c>
      <c r="FR94" s="23" t="e">
        <f>EXP(-LN(2)/25)*FR93+(1-EXP(-LN(2)/25))/(LN(2)/25)*Calculateur!FM94*Calculateur!FO94*VLOOKUP('Données projet'!$B$16,Paramètres!$A$1:$I$88,3,0)*0.475*44/12</f>
        <v>#N/A</v>
      </c>
      <c r="FS94" s="23" t="e">
        <f>EXP(-LN(2)/2)*FS93+(1-EXP(-LN(2)/2))/(LN(2)/2)*FM94*FP94*VLOOKUP('Données projet'!$B$16,Paramètres!$A$1:$I$88,3,0)*0.475*44/12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68.321814415856068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projet'!$B$17,Paramètres!$A$1:$I$88,3,0)*0.475*44/12</f>
        <v>#N/A</v>
      </c>
      <c r="GM94" s="23" t="e">
        <f>EXP(-LN(2)/25)*GM93+(1-EXP(-LN(2)/25))/(LN(2)/25)*Calculateur!GH94*Calculateur!GJ94*VLOOKUP('Données projet'!$B$17,Paramètres!$A$1:$I$88,3,0)*0.475*44/12</f>
        <v>#N/A</v>
      </c>
      <c r="GN94" s="23" t="e">
        <f>EXP(-LN(2)/2)*GN93+(1-EXP(-LN(2)/2))/(LN(2)/2)*GH94*GK94*VLOOKUP('Données projet'!$B$17,Paramètres!$A$1:$I$88,3,0)*0.475*44/12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68.321814415856068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projet'!$B$18,Paramètres!$A$1:$I$88,3,0)*0.475*44/12</f>
        <v>#N/A</v>
      </c>
      <c r="HH94" s="23" t="e">
        <f>EXP(-LN(2)/25)*HH93+(1-EXP(-LN(2)/25))/(LN(2)/25)*Calculateur!HC94*Calculateur!HE94*VLOOKUP('Données projet'!$B$18,Paramètres!$A$1:$I$88,3,0)*0.475*44/12</f>
        <v>#N/A</v>
      </c>
      <c r="HI94" s="23" t="e">
        <f>EXP(-LN(2)/2)*HI93+(1-EXP(-LN(2)/2))/(LN(2)/2)*HC94*HF94*VLOOKUP('Données projet'!$B$18,Paramètres!$A$1:$I$88,3,0)*0.475*44/12</f>
        <v>#N/A</v>
      </c>
      <c r="HJ94" s="24" t="e">
        <f t="shared" si="84"/>
        <v>#N/A</v>
      </c>
    </row>
    <row r="95" spans="1:218" s="5" customFormat="1" x14ac:dyDescent="0.2">
      <c r="A95" s="11">
        <f t="shared" si="85"/>
        <v>92</v>
      </c>
      <c r="B95" s="77">
        <f>'Scénario référence'!$B$16*5+'Scénario référence'!$B$17*0+'Scénario référence'!$B$18*5</f>
        <v>1.6500000000000001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6.0500000000000007</v>
      </c>
      <c r="H95" s="70">
        <f t="shared" si="56"/>
        <v>232.4666666666667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68.35092718388006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projet'!$B$9,Paramètres!$A$1:$I$88,3,0)*VLOOKUP('Données projet'!$B$9,Paramètres!$A$1:$I$88,5,0)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287.28673300756225</v>
      </c>
      <c r="S95" s="62">
        <f ca="1">AVERAGE(OFFSET($R$3,0,0,'Données projet'!$E$9+1,1))-AVERAGE(OFFSET($H$3,0,0,'Données projet'!$E$9+1,1))</f>
        <v>354.71367224254021</v>
      </c>
      <c r="T95" s="62">
        <f t="shared" si="88"/>
        <v>490.074370133397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91.923740794649589</v>
      </c>
      <c r="AA95" s="23">
        <f>EXP(-LN(2)/25)*AA94+(1-EXP(-LN(2)/25))/(LN(2)/25)*Calculateur!V95*Calculateur!X95*VLOOKUP('Données projet'!$B$9,Paramètres!$A$1:$I$88,3,0)*0.475*44/12</f>
        <v>15.255823874506264</v>
      </c>
      <c r="AB95" s="23">
        <f>EXP(-LN(2)/2)*AB94+(1-EXP(-LN(2)/2))/(LN(2)/2)*V95*Y95*VLOOKUP('Données projet'!$B$9,Paramètres!$A$1:$I$88,3,0)*0.475*44/12</f>
        <v>8.6854788957798864E-6</v>
      </c>
      <c r="AC95" s="24">
        <f t="shared" si="57"/>
        <v>107.17957335463474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68.35092718388006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2.2737367544323206E-13</v>
      </c>
      <c r="AJ95" s="14">
        <f>AI95*VLOOKUP('Données projet'!$B$10,Paramètres!$A$1:$I$88,3,0)*VLOOKUP('Données projet'!$B$10,Paramètres!$A$1:$I$88,5,0)</f>
        <v>1.3596945791505279E-13</v>
      </c>
      <c r="AK95" s="14">
        <f t="shared" si="89"/>
        <v>1.9708830566360721E-12</v>
      </c>
      <c r="AL95" s="22">
        <f t="shared" si="58"/>
        <v>3.669434796176543E-12</v>
      </c>
      <c r="AM95" s="62">
        <f t="shared" si="59"/>
        <v>287.28673300756395</v>
      </c>
      <c r="AN95" s="62">
        <f ca="1">AVERAGE(OFFSET($AM$3,0,0,'Données projet'!$E$10+1,1))-AVERAGE(OFFSET($H$3,0,0,'Données projet'!$E$10+1,1))</f>
        <v>264.73276096087574</v>
      </c>
      <c r="AO95" s="62">
        <f t="shared" si="90"/>
        <v>381.84464918049662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projet'!$B$10,Paramètres!$A$1:$I$88,3,0)*0.475*44/12</f>
        <v>64.466703530107651</v>
      </c>
      <c r="AV95" s="23">
        <f>EXP(-LN(2)/25)*AV94+(1-EXP(-LN(2)/25))/(LN(2)/25)*Calculateur!AQ95*Calculateur!AS95*VLOOKUP('Données projet'!$B$10,Paramètres!$A$1:$I$88,3,0)*0.475*44/12</f>
        <v>10.717706968937526</v>
      </c>
      <c r="AW95" s="23">
        <f>EXP(-LN(2)/2)*AW94+(1-EXP(-LN(2)/2))/(LN(2)/2)*AQ95*AT95*VLOOKUP('Données projet'!$B$10,Paramètres!$A$1:$I$88,3,0)*0.475*44/12</f>
        <v>6.081644289898915E-6</v>
      </c>
      <c r="AX95" s="23">
        <f t="shared" si="60"/>
        <v>75.184416580689458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68.35092718388006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</v>
      </c>
      <c r="BD95" s="13">
        <f>IF('Données projet'!$A$88&gt;35,BD94+BC95-BL94,IF(A95&lt;'Données projet'!$A$88,$BA$205^A95,IF(A95='Données projet'!$A$88,'Données projet'!$B$88,BD94+BC95-BL94)))</f>
        <v>263.99999999999983</v>
      </c>
      <c r="BE95" s="14">
        <f>BD95*VLOOKUP('Données projet'!$B$11,Paramètres!$A$1:$I$88,3,0)*VLOOKUP('Données projet'!$B$11,Paramètres!$A$1:$I$88,5,0)</f>
        <v>300.64319999999981</v>
      </c>
      <c r="BF95" s="14">
        <f t="shared" si="91"/>
        <v>71.3112860893104</v>
      </c>
      <c r="BG95" s="22">
        <f t="shared" si="61"/>
        <v>647.82072993888187</v>
      </c>
      <c r="BH95" s="62">
        <f t="shared" si="62"/>
        <v>935.10746294644218</v>
      </c>
      <c r="BI95" s="62">
        <f ca="1">AVERAGE(OFFSET($BH$3,0,0,'Données projet'!$E$11+1,1))-AVERAGE(OFFSET($H$3,0,0,'Données projet'!$E$11+1,1))</f>
        <v>470.57532875732056</v>
      </c>
      <c r="BJ95" s="62">
        <f t="shared" si="92"/>
        <v>286.63787681165888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projet'!$B$11,Paramètres!$A$1:$I$88,3,0)*0.475*44/12</f>
        <v>29.772271313354256</v>
      </c>
      <c r="BQ95" s="23">
        <f>EXP(-LN(2)/25)*BQ94+(1-EXP(-LN(2)/25))/(LN(2)/25)*Calculateur!BL95*Calculateur!BN95*VLOOKUP('Données projet'!$B$11,Paramètres!$A$1:$I$88,3,0)*0.475*44/12</f>
        <v>0</v>
      </c>
      <c r="BR95" s="23">
        <f>EXP(-LN(2)/2)*BR94+(1-EXP(-LN(2)/2))/(LN(2)/2)*BL95*BO95*VLOOKUP('Données projet'!$B$11,Paramètres!$A$1:$I$88,3,0)*0.475*44/12</f>
        <v>0</v>
      </c>
      <c r="BS95" s="24">
        <f t="shared" si="63"/>
        <v>29.772271313354256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68.35092718388006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-2.2737367544323206E-13</v>
      </c>
      <c r="BZ95" s="14">
        <f>BY95*VLOOKUP('Données projet'!$B$12,Paramètres!$A$1:$I$88,3,0)*VLOOKUP('Données projet'!$B$12,Paramètres!$A$1:$I$88,5,0)</f>
        <v>-1.4897523215040565E-13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305.38855494899906</v>
      </c>
      <c r="CE95" s="62">
        <f t="shared" si="94"/>
        <v>298.48106301229177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projet'!$B$12,Paramètres!$A$1:$I$88,3,0)*0.475*44/12</f>
        <v>66.854357614420323</v>
      </c>
      <c r="CL95" s="23">
        <f>EXP(-LN(2)/25)*CL94+(1-EXP(-LN(2)/25))/(LN(2)/25)*Calculateur!CG95*Calculateur!CI95*VLOOKUP('Données projet'!$B$12,Paramètres!$A$1:$I$88,3,0)*0.475*44/12</f>
        <v>0</v>
      </c>
      <c r="CM95" s="23">
        <f>EXP(-LN(2)/2)*CM94+(1-EXP(-LN(2)/2))/(LN(2)/2)*CG95*CJ95*VLOOKUP('Données projet'!$B$12,Paramètres!$A$1:$I$88,3,0)*0.475*44/12</f>
        <v>0</v>
      </c>
      <c r="CN95" s="24">
        <f t="shared" si="66"/>
        <v>66.854357614420323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68.35092718388006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-2.2737367544323206E-13</v>
      </c>
      <c r="CU95" s="18">
        <f>CT95*VLOOKUP('Données projet'!$B$13,Paramètres!$A$1:$I$88,3,0)*VLOOKUP('Données projet'!$B$13,Paramètres!$A$1:$I$88,5,0)</f>
        <v>-1.8089849618263545E-13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361.30066984973894</v>
      </c>
      <c r="CZ95" s="62">
        <f t="shared" si="96"/>
        <v>351.78053157121622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projet'!$B$13,Paramètres!$A$1:$I$88,3,0)*0.475*44/12</f>
        <v>100.05942892125033</v>
      </c>
      <c r="DG95" s="23">
        <f>EXP(-LN(2)/25)*DG94+(1-EXP(-LN(2)/25))/(LN(2)/25)*Calculateur!DB95*Calculateur!DD95*VLOOKUP('Données projet'!$B$13,Paramètres!$A$1:$I$88,3,0)*0.475*44/12</f>
        <v>0</v>
      </c>
      <c r="DH95" s="23">
        <f>EXP(-LN(2)/2)*DH94+(1-EXP(-LN(2)/2))/(LN(2)/2)*DB95*DE95*VLOOKUP('Données projet'!$B$13,Paramètres!$A$1:$I$88,3,0)*0.475*44/12</f>
        <v>0</v>
      </c>
      <c r="DI95" s="24">
        <f t="shared" si="69"/>
        <v>100.05942892125033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68.35092718388006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>
        <f>DO95*VLOOKUP('Données projet'!$B$14,Paramètres!$A$1:$I$88,3,0)*VLOOKUP('Données projet'!$B$14,Paramètres!$A$1:$I$88,5,0)</f>
        <v>0</v>
      </c>
      <c r="DQ95" s="14" t="e">
        <f t="shared" si="97"/>
        <v>#NUM!</v>
      </c>
      <c r="DR95" s="22" t="e">
        <f t="shared" si="70"/>
        <v>#NUM!</v>
      </c>
      <c r="DS95" s="62" t="e">
        <f t="shared" si="71"/>
        <v>#NUM!</v>
      </c>
      <c r="DT95" s="62">
        <f ca="1">AVERAGE(OFFSET($DS$3,0,0,'Données projet'!$E$14+1,1))-AVERAGE(OFFSET($H$3,0,0,'Données projet'!$E$14+1,1))</f>
        <v>91.201152634762423</v>
      </c>
      <c r="DU95" s="62">
        <f t="shared" si="98"/>
        <v>233.36981992862445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projet'!$B$14,Paramètres!$A$1:$I$88,3,0)*0.475*44/12</f>
        <v>12.143477150249955</v>
      </c>
      <c r="EB95" s="23">
        <f>EXP(-LN(2)/25)*EB94+(1-EXP(-LN(2)/25))/(LN(2)/25)*Calculateur!DW95*Calculateur!DY95*VLOOKUP('Données projet'!$B$14,Paramètres!$A$1:$I$88,3,0)*0.475*44/12</f>
        <v>0</v>
      </c>
      <c r="EC95" s="23">
        <f>EXP(-LN(2)/2)*EC94+(1-EXP(-LN(2)/2))/(LN(2)/2)*DW95*DZ95*VLOOKUP('Données projet'!$B$14,Paramètres!$A$1:$I$88,3,0)*0.475*44/12</f>
        <v>0</v>
      </c>
      <c r="ED95" s="24">
        <f t="shared" si="72"/>
        <v>12.143477150249955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68.35092718388006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projet'!$B$15,Paramètres!$A$1:$I$88,3,0)*0.475*44/12</f>
        <v>#N/A</v>
      </c>
      <c r="EW95" s="23" t="e">
        <f>EXP(-LN(2)/25)*EW94+(1-EXP(-LN(2)/25))/(LN(2)/25)*Calculateur!ER95*Calculateur!ET95*VLOOKUP('Données projet'!$B$15,Paramètres!$A$1:$I$88,3,0)*0.475*44/12</f>
        <v>#N/A</v>
      </c>
      <c r="EX95" s="23" t="e">
        <f>EXP(-LN(2)/2)*EX94+(1-EXP(-LN(2)/2))/(LN(2)/2)*ER95*EU95*VLOOKUP('Données projet'!$B$15,Paramètres!$A$1:$I$88,3,0)*0.475*44/12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68.35092718388006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projet'!$B$16,Paramètres!$A$1:$I$88,3,0)*0.475*44/12</f>
        <v>#N/A</v>
      </c>
      <c r="FR95" s="23" t="e">
        <f>EXP(-LN(2)/25)*FR94+(1-EXP(-LN(2)/25))/(LN(2)/25)*Calculateur!FM95*Calculateur!FO95*VLOOKUP('Données projet'!$B$16,Paramètres!$A$1:$I$88,3,0)*0.475*44/12</f>
        <v>#N/A</v>
      </c>
      <c r="FS95" s="23" t="e">
        <f>EXP(-LN(2)/2)*FS94+(1-EXP(-LN(2)/2))/(LN(2)/2)*FM95*FP95*VLOOKUP('Données projet'!$B$16,Paramètres!$A$1:$I$88,3,0)*0.475*44/12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68.35092718388006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projet'!$B$17,Paramètres!$A$1:$I$88,3,0)*0.475*44/12</f>
        <v>#N/A</v>
      </c>
      <c r="GM95" s="23" t="e">
        <f>EXP(-LN(2)/25)*GM94+(1-EXP(-LN(2)/25))/(LN(2)/25)*Calculateur!GH95*Calculateur!GJ95*VLOOKUP('Données projet'!$B$17,Paramètres!$A$1:$I$88,3,0)*0.475*44/12</f>
        <v>#N/A</v>
      </c>
      <c r="GN95" s="23" t="e">
        <f>EXP(-LN(2)/2)*GN94+(1-EXP(-LN(2)/2))/(LN(2)/2)*GH95*GK95*VLOOKUP('Données projet'!$B$17,Paramètres!$A$1:$I$88,3,0)*0.475*44/12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68.35092718388006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projet'!$B$18,Paramètres!$A$1:$I$88,3,0)*0.475*44/12</f>
        <v>#N/A</v>
      </c>
      <c r="HH95" s="23" t="e">
        <f>EXP(-LN(2)/25)*HH94+(1-EXP(-LN(2)/25))/(LN(2)/25)*Calculateur!HC95*Calculateur!HE95*VLOOKUP('Données projet'!$B$18,Paramètres!$A$1:$I$88,3,0)*0.475*44/12</f>
        <v>#N/A</v>
      </c>
      <c r="HI95" s="23" t="e">
        <f>EXP(-LN(2)/2)*HI94+(1-EXP(-LN(2)/2))/(LN(2)/2)*HC95*HF95*VLOOKUP('Données projet'!$B$18,Paramètres!$A$1:$I$88,3,0)*0.475*44/12</f>
        <v>#N/A</v>
      </c>
      <c r="HJ95" s="24" t="e">
        <f t="shared" si="84"/>
        <v>#N/A</v>
      </c>
    </row>
    <row r="96" spans="1:218" s="5" customFormat="1" x14ac:dyDescent="0.2">
      <c r="A96" s="11">
        <f t="shared" si="85"/>
        <v>93</v>
      </c>
      <c r="B96" s="77">
        <f>'Scénario référence'!$B$16*5+'Scénario référence'!$B$17*0+'Scénario référence'!$B$18*5</f>
        <v>1.6500000000000001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6.0500000000000007</v>
      </c>
      <c r="H96" s="70">
        <f t="shared" si="56"/>
        <v>232.4666666666667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68.379534910465253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projet'!$B$9,Paramètres!$A$1:$I$88,3,0)*VLOOKUP('Données projet'!$B$9,Paramètres!$A$1:$I$88,5,0)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287.39162800504124</v>
      </c>
      <c r="S96" s="62">
        <f ca="1">AVERAGE(OFFSET($R$3,0,0,'Données projet'!$E$9+1,1))-AVERAGE(OFFSET($H$3,0,0,'Données projet'!$E$9+1,1))</f>
        <v>354.71367224254021</v>
      </c>
      <c r="T96" s="62">
        <f t="shared" si="88"/>
        <v>490.074370133397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90.121172305612149</v>
      </c>
      <c r="AA96" s="23">
        <f>EXP(-LN(2)/25)*AA95+(1-EXP(-LN(2)/25))/(LN(2)/25)*Calculateur!V96*Calculateur!X96*VLOOKUP('Données projet'!$B$9,Paramètres!$A$1:$I$88,3,0)*0.475*44/12</f>
        <v>14.83865256838898</v>
      </c>
      <c r="AB96" s="23">
        <f>EXP(-LN(2)/2)*AB95+(1-EXP(-LN(2)/2))/(LN(2)/2)*V96*Y96*VLOOKUP('Données projet'!$B$9,Paramètres!$A$1:$I$88,3,0)*0.475*44/12</f>
        <v>6.1415610250586047E-6</v>
      </c>
      <c r="AC96" s="24">
        <f t="shared" si="57"/>
        <v>104.95983101556216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68.379534910465253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2.2737367544323206E-13</v>
      </c>
      <c r="AJ96" s="14">
        <f>AI96*VLOOKUP('Données projet'!$B$10,Paramètres!$A$1:$I$88,3,0)*VLOOKUP('Données projet'!$B$10,Paramètres!$A$1:$I$88,5,0)</f>
        <v>1.3596945791505279E-13</v>
      </c>
      <c r="AK96" s="14">
        <f t="shared" si="89"/>
        <v>1.9708830566360721E-12</v>
      </c>
      <c r="AL96" s="22">
        <f t="shared" si="58"/>
        <v>3.669434796176543E-12</v>
      </c>
      <c r="AM96" s="62">
        <f t="shared" si="59"/>
        <v>287.39162800504295</v>
      </c>
      <c r="AN96" s="62">
        <f ca="1">AVERAGE(OFFSET($AM$3,0,0,'Données projet'!$E$10+1,1))-AVERAGE(OFFSET($H$3,0,0,'Données projet'!$E$10+1,1))</f>
        <v>264.73276096087574</v>
      </c>
      <c r="AO96" s="62">
        <f t="shared" si="90"/>
        <v>381.84464918049662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projet'!$B$10,Paramètres!$A$1:$I$88,3,0)*0.475*44/12</f>
        <v>63.202550794688783</v>
      </c>
      <c r="AV96" s="23">
        <f>EXP(-LN(2)/25)*AV95+(1-EXP(-LN(2)/25))/(LN(2)/25)*Calculateur!AQ96*Calculateur!AS96*VLOOKUP('Données projet'!$B$10,Paramètres!$A$1:$I$88,3,0)*0.475*44/12</f>
        <v>10.424630708252215</v>
      </c>
      <c r="AW96" s="23">
        <f>EXP(-LN(2)/2)*AW95+(1-EXP(-LN(2)/2))/(LN(2)/2)*AQ96*AT96*VLOOKUP('Données projet'!$B$10,Paramètres!$A$1:$I$88,3,0)*0.475*44/12</f>
        <v>4.3003719181519682E-6</v>
      </c>
      <c r="AX96" s="23">
        <f t="shared" si="60"/>
        <v>73.627185803312912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68.379534910465253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</v>
      </c>
      <c r="BD96" s="13">
        <f>IF('Données projet'!$A$88&gt;35,BD95+BC96-BL95,IF(A96&lt;'Données projet'!$A$88,$BA$205^A96,IF(A96='Données projet'!$A$88,'Données projet'!$B$88,BD95+BC96-BL95)))</f>
        <v>268.99999999999983</v>
      </c>
      <c r="BE96" s="14">
        <f>BD96*VLOOKUP('Données projet'!$B$11,Paramètres!$A$1:$I$88,3,0)*VLOOKUP('Données projet'!$B$11,Paramètres!$A$1:$I$88,5,0)</f>
        <v>306.33719999999977</v>
      </c>
      <c r="BF96" s="14">
        <f t="shared" si="91"/>
        <v>72.503363402445856</v>
      </c>
      <c r="BG96" s="22">
        <f t="shared" si="61"/>
        <v>659.81398125925955</v>
      </c>
      <c r="BH96" s="62">
        <f t="shared" si="62"/>
        <v>947.2056092642988</v>
      </c>
      <c r="BI96" s="62">
        <f ca="1">AVERAGE(OFFSET($BH$3,0,0,'Données projet'!$E$11+1,1))-AVERAGE(OFFSET($H$3,0,0,'Données projet'!$E$11+1,1))</f>
        <v>470.57532875732056</v>
      </c>
      <c r="BJ96" s="62">
        <f t="shared" si="92"/>
        <v>286.63787681165888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projet'!$B$11,Paramètres!$A$1:$I$88,3,0)*0.475*44/12</f>
        <v>29.188455232191799</v>
      </c>
      <c r="BQ96" s="23">
        <f>EXP(-LN(2)/25)*BQ95+(1-EXP(-LN(2)/25))/(LN(2)/25)*Calculateur!BL96*Calculateur!BN96*VLOOKUP('Données projet'!$B$11,Paramètres!$A$1:$I$88,3,0)*0.475*44/12</f>
        <v>0</v>
      </c>
      <c r="BR96" s="23">
        <f>EXP(-LN(2)/2)*BR95+(1-EXP(-LN(2)/2))/(LN(2)/2)*BL96*BO96*VLOOKUP('Données projet'!$B$11,Paramètres!$A$1:$I$88,3,0)*0.475*44/12</f>
        <v>0</v>
      </c>
      <c r="BS96" s="24">
        <f t="shared" si="63"/>
        <v>29.188455232191799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68.379534910465253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-2.2737367544323206E-13</v>
      </c>
      <c r="BZ96" s="14">
        <f>BY96*VLOOKUP('Données projet'!$B$12,Paramètres!$A$1:$I$88,3,0)*VLOOKUP('Données projet'!$B$12,Paramètres!$A$1:$I$88,5,0)</f>
        <v>-1.4897523215040565E-13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305.38855494899906</v>
      </c>
      <c r="CE96" s="62">
        <f t="shared" si="94"/>
        <v>298.48106301229177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projet'!$B$12,Paramètres!$A$1:$I$88,3,0)*0.475*44/12</f>
        <v>65.543384438733284</v>
      </c>
      <c r="CL96" s="23">
        <f>EXP(-LN(2)/25)*CL95+(1-EXP(-LN(2)/25))/(LN(2)/25)*Calculateur!CG96*Calculateur!CI96*VLOOKUP('Données projet'!$B$12,Paramètres!$A$1:$I$88,3,0)*0.475*44/12</f>
        <v>0</v>
      </c>
      <c r="CM96" s="23">
        <f>EXP(-LN(2)/2)*CM95+(1-EXP(-LN(2)/2))/(LN(2)/2)*CG96*CJ96*VLOOKUP('Données projet'!$B$12,Paramètres!$A$1:$I$88,3,0)*0.475*44/12</f>
        <v>0</v>
      </c>
      <c r="CN96" s="24">
        <f t="shared" si="66"/>
        <v>65.543384438733284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68.379534910465253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-2.2737367544323206E-13</v>
      </c>
      <c r="CU96" s="18">
        <f>CT96*VLOOKUP('Données projet'!$B$13,Paramètres!$A$1:$I$88,3,0)*VLOOKUP('Données projet'!$B$13,Paramètres!$A$1:$I$88,5,0)</f>
        <v>-1.8089849618263545E-13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361.30066984973894</v>
      </c>
      <c r="CZ96" s="62">
        <f t="shared" si="96"/>
        <v>351.78053157121622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projet'!$B$13,Paramètres!$A$1:$I$88,3,0)*0.475*44/12</f>
        <v>98.097324550330015</v>
      </c>
      <c r="DG96" s="23">
        <f>EXP(-LN(2)/25)*DG95+(1-EXP(-LN(2)/25))/(LN(2)/25)*Calculateur!DB96*Calculateur!DD96*VLOOKUP('Données projet'!$B$13,Paramètres!$A$1:$I$88,3,0)*0.475*44/12</f>
        <v>0</v>
      </c>
      <c r="DH96" s="23">
        <f>EXP(-LN(2)/2)*DH95+(1-EXP(-LN(2)/2))/(LN(2)/2)*DB96*DE96*VLOOKUP('Données projet'!$B$13,Paramètres!$A$1:$I$88,3,0)*0.475*44/12</f>
        <v>0</v>
      </c>
      <c r="DI96" s="24">
        <f t="shared" si="69"/>
        <v>98.097324550330015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68.379534910465253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>
        <f>DO96*VLOOKUP('Données projet'!$B$14,Paramètres!$A$1:$I$88,3,0)*VLOOKUP('Données projet'!$B$14,Paramètres!$A$1:$I$88,5,0)</f>
        <v>0</v>
      </c>
      <c r="DQ96" s="14" t="e">
        <f t="shared" si="97"/>
        <v>#NUM!</v>
      </c>
      <c r="DR96" s="22" t="e">
        <f t="shared" si="70"/>
        <v>#NUM!</v>
      </c>
      <c r="DS96" s="62" t="e">
        <f t="shared" si="71"/>
        <v>#NUM!</v>
      </c>
      <c r="DT96" s="62">
        <f ca="1">AVERAGE(OFFSET($DS$3,0,0,'Données projet'!$E$14+1,1))-AVERAGE(OFFSET($H$3,0,0,'Données projet'!$E$14+1,1))</f>
        <v>91.201152634762423</v>
      </c>
      <c r="DU96" s="62">
        <f t="shared" si="98"/>
        <v>233.36981992862445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projet'!$B$14,Paramètres!$A$1:$I$88,3,0)*0.475*44/12</f>
        <v>11.905350970123255</v>
      </c>
      <c r="EB96" s="23">
        <f>EXP(-LN(2)/25)*EB95+(1-EXP(-LN(2)/25))/(LN(2)/25)*Calculateur!DW96*Calculateur!DY96*VLOOKUP('Données projet'!$B$14,Paramètres!$A$1:$I$88,3,0)*0.475*44/12</f>
        <v>0</v>
      </c>
      <c r="EC96" s="23">
        <f>EXP(-LN(2)/2)*EC95+(1-EXP(-LN(2)/2))/(LN(2)/2)*DW96*DZ96*VLOOKUP('Données projet'!$B$14,Paramètres!$A$1:$I$88,3,0)*0.475*44/12</f>
        <v>0</v>
      </c>
      <c r="ED96" s="24">
        <f t="shared" si="72"/>
        <v>11.905350970123255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68.379534910465253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projet'!$B$15,Paramètres!$A$1:$I$88,3,0)*0.475*44/12</f>
        <v>#N/A</v>
      </c>
      <c r="EW96" s="23" t="e">
        <f>EXP(-LN(2)/25)*EW95+(1-EXP(-LN(2)/25))/(LN(2)/25)*Calculateur!ER96*Calculateur!ET96*VLOOKUP('Données projet'!$B$15,Paramètres!$A$1:$I$88,3,0)*0.475*44/12</f>
        <v>#N/A</v>
      </c>
      <c r="EX96" s="23" t="e">
        <f>EXP(-LN(2)/2)*EX95+(1-EXP(-LN(2)/2))/(LN(2)/2)*ER96*EU96*VLOOKUP('Données projet'!$B$15,Paramètres!$A$1:$I$88,3,0)*0.475*44/12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68.379534910465253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projet'!$B$16,Paramètres!$A$1:$I$88,3,0)*0.475*44/12</f>
        <v>#N/A</v>
      </c>
      <c r="FR96" s="23" t="e">
        <f>EXP(-LN(2)/25)*FR95+(1-EXP(-LN(2)/25))/(LN(2)/25)*Calculateur!FM96*Calculateur!FO96*VLOOKUP('Données projet'!$B$16,Paramètres!$A$1:$I$88,3,0)*0.475*44/12</f>
        <v>#N/A</v>
      </c>
      <c r="FS96" s="23" t="e">
        <f>EXP(-LN(2)/2)*FS95+(1-EXP(-LN(2)/2))/(LN(2)/2)*FM96*FP96*VLOOKUP('Données projet'!$B$16,Paramètres!$A$1:$I$88,3,0)*0.475*44/12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68.379534910465253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projet'!$B$17,Paramètres!$A$1:$I$88,3,0)*0.475*44/12</f>
        <v>#N/A</v>
      </c>
      <c r="GM96" s="23" t="e">
        <f>EXP(-LN(2)/25)*GM95+(1-EXP(-LN(2)/25))/(LN(2)/25)*Calculateur!GH96*Calculateur!GJ96*VLOOKUP('Données projet'!$B$17,Paramètres!$A$1:$I$88,3,0)*0.475*44/12</f>
        <v>#N/A</v>
      </c>
      <c r="GN96" s="23" t="e">
        <f>EXP(-LN(2)/2)*GN95+(1-EXP(-LN(2)/2))/(LN(2)/2)*GH96*GK96*VLOOKUP('Données projet'!$B$17,Paramètres!$A$1:$I$88,3,0)*0.475*44/12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68.379534910465253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projet'!$B$18,Paramètres!$A$1:$I$88,3,0)*0.475*44/12</f>
        <v>#N/A</v>
      </c>
      <c r="HH96" s="23" t="e">
        <f>EXP(-LN(2)/25)*HH95+(1-EXP(-LN(2)/25))/(LN(2)/25)*Calculateur!HC96*Calculateur!HE96*VLOOKUP('Données projet'!$B$18,Paramètres!$A$1:$I$88,3,0)*0.475*44/12</f>
        <v>#N/A</v>
      </c>
      <c r="HI96" s="23" t="e">
        <f>EXP(-LN(2)/2)*HI95+(1-EXP(-LN(2)/2))/(LN(2)/2)*HC96*HF96*VLOOKUP('Données projet'!$B$18,Paramètres!$A$1:$I$88,3,0)*0.475*44/12</f>
        <v>#N/A</v>
      </c>
      <c r="HJ96" s="24" t="e">
        <f t="shared" si="84"/>
        <v>#N/A</v>
      </c>
    </row>
    <row r="97" spans="1:218" s="5" customFormat="1" x14ac:dyDescent="0.2">
      <c r="A97" s="11">
        <f t="shared" si="85"/>
        <v>94</v>
      </c>
      <c r="B97" s="77">
        <f>'Scénario référence'!$B$16*5+'Scénario référence'!$B$17*0+'Scénario référence'!$B$18*5</f>
        <v>1.6500000000000001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6.0500000000000007</v>
      </c>
      <c r="H97" s="70">
        <f t="shared" si="56"/>
        <v>232.4666666666667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68.407646356951474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projet'!$B$9,Paramètres!$A$1:$I$88,3,0)*VLOOKUP('Données projet'!$B$9,Paramètres!$A$1:$I$88,5,0)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287.49470330882406</v>
      </c>
      <c r="S97" s="62">
        <f ca="1">AVERAGE(OFFSET($R$3,0,0,'Données projet'!$E$9+1,1))-AVERAGE(OFFSET($H$3,0,0,'Données projet'!$E$9+1,1))</f>
        <v>354.71367224254021</v>
      </c>
      <c r="T97" s="62">
        <f t="shared" si="88"/>
        <v>490.074370133397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88.353951085186509</v>
      </c>
      <c r="AA97" s="23">
        <f>EXP(-LN(2)/25)*AA96+(1-EXP(-LN(2)/25))/(LN(2)/25)*Calculateur!V97*Calculateur!X97*VLOOKUP('Données projet'!$B$9,Paramètres!$A$1:$I$88,3,0)*0.475*44/12</f>
        <v>14.432888833575559</v>
      </c>
      <c r="AB97" s="23">
        <f>EXP(-LN(2)/2)*AB96+(1-EXP(-LN(2)/2))/(LN(2)/2)*V97*Y97*VLOOKUP('Données projet'!$B$9,Paramètres!$A$1:$I$88,3,0)*0.475*44/12</f>
        <v>4.3427394478899432E-6</v>
      </c>
      <c r="AC97" s="24">
        <f t="shared" si="57"/>
        <v>102.78684426150151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68.407646356951474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2.2737367544323206E-13</v>
      </c>
      <c r="AJ97" s="14">
        <f>AI97*VLOOKUP('Données projet'!$B$10,Paramètres!$A$1:$I$88,3,0)*VLOOKUP('Données projet'!$B$10,Paramètres!$A$1:$I$88,5,0)</f>
        <v>1.3596945791505279E-13</v>
      </c>
      <c r="AK97" s="14">
        <f t="shared" si="89"/>
        <v>1.9708830566360721E-12</v>
      </c>
      <c r="AL97" s="22">
        <f t="shared" si="58"/>
        <v>3.669434796176543E-12</v>
      </c>
      <c r="AM97" s="62">
        <f t="shared" si="59"/>
        <v>287.49470330882576</v>
      </c>
      <c r="AN97" s="62">
        <f ca="1">AVERAGE(OFFSET($AM$3,0,0,'Données projet'!$E$10+1,1))-AVERAGE(OFFSET($H$3,0,0,'Données projet'!$E$10+1,1))</f>
        <v>264.73276096087574</v>
      </c>
      <c r="AO97" s="62">
        <f t="shared" si="90"/>
        <v>381.84464918049662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projet'!$B$10,Paramètres!$A$1:$I$88,3,0)*0.475*44/12</f>
        <v>61.963187323354447</v>
      </c>
      <c r="AV97" s="23">
        <f>EXP(-LN(2)/25)*AV96+(1-EXP(-LN(2)/25))/(LN(2)/25)*Calculateur!AQ97*Calculateur!AS97*VLOOKUP('Données projet'!$B$10,Paramètres!$A$1:$I$88,3,0)*0.475*44/12</f>
        <v>10.139568633327555</v>
      </c>
      <c r="AW97" s="23">
        <f>EXP(-LN(2)/2)*AW96+(1-EXP(-LN(2)/2))/(LN(2)/2)*AQ97*AT97*VLOOKUP('Données projet'!$B$10,Paramètres!$A$1:$I$88,3,0)*0.475*44/12</f>
        <v>3.0408221449494575E-6</v>
      </c>
      <c r="AX97" s="23">
        <f t="shared" si="60"/>
        <v>72.102758997504154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68.407646356951474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</v>
      </c>
      <c r="BD97" s="13">
        <f>IF('Données projet'!$A$88&gt;35,BD96+BC97-BL96,IF(A97&lt;'Données projet'!$A$88,$BA$205^A97,IF(A97='Données projet'!$A$88,'Données projet'!$B$88,BD96+BC97-BL96)))</f>
        <v>273.99999999999983</v>
      </c>
      <c r="BE97" s="14">
        <f>BD97*VLOOKUP('Données projet'!$B$11,Paramètres!$A$1:$I$88,3,0)*VLOOKUP('Données projet'!$B$11,Paramètres!$A$1:$I$88,5,0)</f>
        <v>312.03119999999979</v>
      </c>
      <c r="BF97" s="14">
        <f t="shared" si="91"/>
        <v>73.692864205557413</v>
      </c>
      <c r="BG97" s="22">
        <f t="shared" si="61"/>
        <v>671.80274515801204</v>
      </c>
      <c r="BH97" s="62">
        <f t="shared" si="62"/>
        <v>959.29744846683411</v>
      </c>
      <c r="BI97" s="62">
        <f ca="1">AVERAGE(OFFSET($BH$3,0,0,'Données projet'!$E$11+1,1))-AVERAGE(OFFSET($H$3,0,0,'Données projet'!$E$11+1,1))</f>
        <v>470.57532875732056</v>
      </c>
      <c r="BJ97" s="62">
        <f t="shared" si="92"/>
        <v>286.63787681165888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projet'!$B$11,Paramètres!$A$1:$I$88,3,0)*0.475*44/12</f>
        <v>28.616087428288289</v>
      </c>
      <c r="BQ97" s="23">
        <f>EXP(-LN(2)/25)*BQ96+(1-EXP(-LN(2)/25))/(LN(2)/25)*Calculateur!BL97*Calculateur!BN97*VLOOKUP('Données projet'!$B$11,Paramètres!$A$1:$I$88,3,0)*0.475*44/12</f>
        <v>0</v>
      </c>
      <c r="BR97" s="23">
        <f>EXP(-LN(2)/2)*BR96+(1-EXP(-LN(2)/2))/(LN(2)/2)*BL97*BO97*VLOOKUP('Données projet'!$B$11,Paramètres!$A$1:$I$88,3,0)*0.475*44/12</f>
        <v>0</v>
      </c>
      <c r="BS97" s="24">
        <f t="shared" si="63"/>
        <v>28.616087428288289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68.407646356951474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-2.2737367544323206E-13</v>
      </c>
      <c r="BZ97" s="14">
        <f>BY97*VLOOKUP('Données projet'!$B$12,Paramètres!$A$1:$I$88,3,0)*VLOOKUP('Données projet'!$B$12,Paramètres!$A$1:$I$88,5,0)</f>
        <v>-1.4897523215040565E-13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305.38855494899906</v>
      </c>
      <c r="CE97" s="62">
        <f t="shared" si="94"/>
        <v>298.48106301229177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projet'!$B$12,Paramètres!$A$1:$I$88,3,0)*0.475*44/12</f>
        <v>64.258118647406775</v>
      </c>
      <c r="CL97" s="23">
        <f>EXP(-LN(2)/25)*CL96+(1-EXP(-LN(2)/25))/(LN(2)/25)*Calculateur!CG97*Calculateur!CI97*VLOOKUP('Données projet'!$B$12,Paramètres!$A$1:$I$88,3,0)*0.475*44/12</f>
        <v>0</v>
      </c>
      <c r="CM97" s="23">
        <f>EXP(-LN(2)/2)*CM96+(1-EXP(-LN(2)/2))/(LN(2)/2)*CG97*CJ97*VLOOKUP('Données projet'!$B$12,Paramètres!$A$1:$I$88,3,0)*0.475*44/12</f>
        <v>0</v>
      </c>
      <c r="CN97" s="24">
        <f t="shared" si="66"/>
        <v>64.258118647406775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68.407646356951474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-2.2737367544323206E-13</v>
      </c>
      <c r="CU97" s="18">
        <f>CT97*VLOOKUP('Données projet'!$B$13,Paramètres!$A$1:$I$88,3,0)*VLOOKUP('Données projet'!$B$13,Paramètres!$A$1:$I$88,5,0)</f>
        <v>-1.8089849618263545E-13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361.30066984973894</v>
      </c>
      <c r="CZ97" s="62">
        <f t="shared" si="96"/>
        <v>351.78053157121622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projet'!$B$13,Paramètres!$A$1:$I$88,3,0)*0.475*44/12</f>
        <v>96.173695849357955</v>
      </c>
      <c r="DG97" s="23">
        <f>EXP(-LN(2)/25)*DG96+(1-EXP(-LN(2)/25))/(LN(2)/25)*Calculateur!DB97*Calculateur!DD97*VLOOKUP('Données projet'!$B$13,Paramètres!$A$1:$I$88,3,0)*0.475*44/12</f>
        <v>0</v>
      </c>
      <c r="DH97" s="23">
        <f>EXP(-LN(2)/2)*DH96+(1-EXP(-LN(2)/2))/(LN(2)/2)*DB97*DE97*VLOOKUP('Données projet'!$B$13,Paramètres!$A$1:$I$88,3,0)*0.475*44/12</f>
        <v>0</v>
      </c>
      <c r="DI97" s="24">
        <f t="shared" si="69"/>
        <v>96.173695849357955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68.407646356951474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>
        <f>DO97*VLOOKUP('Données projet'!$B$14,Paramètres!$A$1:$I$88,3,0)*VLOOKUP('Données projet'!$B$14,Paramètres!$A$1:$I$88,5,0)</f>
        <v>0</v>
      </c>
      <c r="DQ97" s="14" t="e">
        <f t="shared" si="97"/>
        <v>#NUM!</v>
      </c>
      <c r="DR97" s="22" t="e">
        <f t="shared" si="70"/>
        <v>#NUM!</v>
      </c>
      <c r="DS97" s="62" t="e">
        <f t="shared" si="71"/>
        <v>#NUM!</v>
      </c>
      <c r="DT97" s="62">
        <f ca="1">AVERAGE(OFFSET($DS$3,0,0,'Données projet'!$E$14+1,1))-AVERAGE(OFFSET($H$3,0,0,'Données projet'!$E$14+1,1))</f>
        <v>91.201152634762423</v>
      </c>
      <c r="DU97" s="62">
        <f t="shared" si="98"/>
        <v>233.36981992862445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projet'!$B$14,Paramètres!$A$1:$I$88,3,0)*0.475*44/12</f>
        <v>11.671894299146212</v>
      </c>
      <c r="EB97" s="23">
        <f>EXP(-LN(2)/25)*EB96+(1-EXP(-LN(2)/25))/(LN(2)/25)*Calculateur!DW97*Calculateur!DY97*VLOOKUP('Données projet'!$B$14,Paramètres!$A$1:$I$88,3,0)*0.475*44/12</f>
        <v>0</v>
      </c>
      <c r="EC97" s="23">
        <f>EXP(-LN(2)/2)*EC96+(1-EXP(-LN(2)/2))/(LN(2)/2)*DW97*DZ97*VLOOKUP('Données projet'!$B$14,Paramètres!$A$1:$I$88,3,0)*0.475*44/12</f>
        <v>0</v>
      </c>
      <c r="ED97" s="24">
        <f t="shared" si="72"/>
        <v>11.671894299146212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68.407646356951474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projet'!$B$15,Paramètres!$A$1:$I$88,3,0)*0.475*44/12</f>
        <v>#N/A</v>
      </c>
      <c r="EW97" s="23" t="e">
        <f>EXP(-LN(2)/25)*EW96+(1-EXP(-LN(2)/25))/(LN(2)/25)*Calculateur!ER97*Calculateur!ET97*VLOOKUP('Données projet'!$B$15,Paramètres!$A$1:$I$88,3,0)*0.475*44/12</f>
        <v>#N/A</v>
      </c>
      <c r="EX97" s="23" t="e">
        <f>EXP(-LN(2)/2)*EX96+(1-EXP(-LN(2)/2))/(LN(2)/2)*ER97*EU97*VLOOKUP('Données projet'!$B$15,Paramètres!$A$1:$I$88,3,0)*0.475*44/12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68.407646356951474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projet'!$B$16,Paramètres!$A$1:$I$88,3,0)*0.475*44/12</f>
        <v>#N/A</v>
      </c>
      <c r="FR97" s="23" t="e">
        <f>EXP(-LN(2)/25)*FR96+(1-EXP(-LN(2)/25))/(LN(2)/25)*Calculateur!FM97*Calculateur!FO97*VLOOKUP('Données projet'!$B$16,Paramètres!$A$1:$I$88,3,0)*0.475*44/12</f>
        <v>#N/A</v>
      </c>
      <c r="FS97" s="23" t="e">
        <f>EXP(-LN(2)/2)*FS96+(1-EXP(-LN(2)/2))/(LN(2)/2)*FM97*FP97*VLOOKUP('Données projet'!$B$16,Paramètres!$A$1:$I$88,3,0)*0.475*44/12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68.407646356951474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projet'!$B$17,Paramètres!$A$1:$I$88,3,0)*0.475*44/12</f>
        <v>#N/A</v>
      </c>
      <c r="GM97" s="23" t="e">
        <f>EXP(-LN(2)/25)*GM96+(1-EXP(-LN(2)/25))/(LN(2)/25)*Calculateur!GH97*Calculateur!GJ97*VLOOKUP('Données projet'!$B$17,Paramètres!$A$1:$I$88,3,0)*0.475*44/12</f>
        <v>#N/A</v>
      </c>
      <c r="GN97" s="23" t="e">
        <f>EXP(-LN(2)/2)*GN96+(1-EXP(-LN(2)/2))/(LN(2)/2)*GH97*GK97*VLOOKUP('Données projet'!$B$17,Paramètres!$A$1:$I$88,3,0)*0.475*44/12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68.407646356951474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projet'!$B$18,Paramètres!$A$1:$I$88,3,0)*0.475*44/12</f>
        <v>#N/A</v>
      </c>
      <c r="HH97" s="23" t="e">
        <f>EXP(-LN(2)/25)*HH96+(1-EXP(-LN(2)/25))/(LN(2)/25)*Calculateur!HC97*Calculateur!HE97*VLOOKUP('Données projet'!$B$18,Paramètres!$A$1:$I$88,3,0)*0.475*44/12</f>
        <v>#N/A</v>
      </c>
      <c r="HI97" s="23" t="e">
        <f>EXP(-LN(2)/2)*HI96+(1-EXP(-LN(2)/2))/(LN(2)/2)*HC97*HF97*VLOOKUP('Données projet'!$B$18,Paramètres!$A$1:$I$88,3,0)*0.475*44/12</f>
        <v>#N/A</v>
      </c>
      <c r="HJ97" s="24" t="e">
        <f t="shared" si="84"/>
        <v>#N/A</v>
      </c>
    </row>
    <row r="98" spans="1:218" s="5" customFormat="1" x14ac:dyDescent="0.2">
      <c r="A98" s="11">
        <f t="shared" si="85"/>
        <v>95</v>
      </c>
      <c r="B98" s="77">
        <f>'Scénario référence'!$B$16*5+'Scénario référence'!$B$17*0+'Scénario référence'!$B$18*5</f>
        <v>1.6500000000000001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6.0500000000000007</v>
      </c>
      <c r="H98" s="70">
        <f t="shared" si="56"/>
        <v>232.4666666666667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68.435270132688942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projet'!$B$9,Paramètres!$A$1:$I$88,3,0)*VLOOKUP('Données projet'!$B$9,Paramètres!$A$1:$I$88,5,0)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287.59599048652808</v>
      </c>
      <c r="S98" s="62">
        <f ca="1">AVERAGE(OFFSET($R$3,0,0,'Données projet'!$E$9+1,1))-AVERAGE(OFFSET($H$3,0,0,'Données projet'!$E$9+1,1))</f>
        <v>354.71367224254021</v>
      </c>
      <c r="T98" s="62">
        <f t="shared" si="88"/>
        <v>490.074370133397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86.621383994994915</v>
      </c>
      <c r="AA98" s="23">
        <f>EXP(-LN(2)/25)*AA97+(1-EXP(-LN(2)/25))/(LN(2)/25)*Calculateur!V98*Calculateur!X98*VLOOKUP('Données projet'!$B$9,Paramètres!$A$1:$I$88,3,0)*0.475*44/12</f>
        <v>14.038220729428799</v>
      </c>
      <c r="AB98" s="23">
        <f>EXP(-LN(2)/2)*AB97+(1-EXP(-LN(2)/2))/(LN(2)/2)*V98*Y98*VLOOKUP('Données projet'!$B$9,Paramètres!$A$1:$I$88,3,0)*0.475*44/12</f>
        <v>3.0707805125293023E-6</v>
      </c>
      <c r="AC98" s="24">
        <f t="shared" si="57"/>
        <v>100.65960779520422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68.435270132688942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2.2737367544323206E-13</v>
      </c>
      <c r="AJ98" s="14">
        <f>AI98*VLOOKUP('Données projet'!$B$10,Paramètres!$A$1:$I$88,3,0)*VLOOKUP('Données projet'!$B$10,Paramètres!$A$1:$I$88,5,0)</f>
        <v>1.3596945791505279E-13</v>
      </c>
      <c r="AK98" s="14">
        <f t="shared" si="89"/>
        <v>1.9708830566360721E-12</v>
      </c>
      <c r="AL98" s="22">
        <f t="shared" si="58"/>
        <v>3.669434796176543E-12</v>
      </c>
      <c r="AM98" s="62">
        <f t="shared" si="59"/>
        <v>287.59599048652979</v>
      </c>
      <c r="AN98" s="62">
        <f ca="1">AVERAGE(OFFSET($AM$3,0,0,'Données projet'!$E$10+1,1))-AVERAGE(OFFSET($H$3,0,0,'Données projet'!$E$10+1,1))</f>
        <v>264.73276096087574</v>
      </c>
      <c r="AO98" s="62">
        <f t="shared" si="90"/>
        <v>381.84464918049662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projet'!$B$10,Paramètres!$A$1:$I$88,3,0)*0.475*44/12</f>
        <v>60.748127013755905</v>
      </c>
      <c r="AV98" s="23">
        <f>EXP(-LN(2)/25)*AV97+(1-EXP(-LN(2)/25))/(LN(2)/25)*Calculateur!AQ98*Calculateur!AS98*VLOOKUP('Données projet'!$B$10,Paramètres!$A$1:$I$88,3,0)*0.475*44/12</f>
        <v>9.8623015958324718</v>
      </c>
      <c r="AW98" s="23">
        <f>EXP(-LN(2)/2)*AW97+(1-EXP(-LN(2)/2))/(LN(2)/2)*AQ98*AT98*VLOOKUP('Données projet'!$B$10,Paramètres!$A$1:$I$88,3,0)*0.475*44/12</f>
        <v>2.1501859590759841E-6</v>
      </c>
      <c r="AX98" s="23">
        <f t="shared" si="60"/>
        <v>70.610430759774346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68.435270132688942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279</v>
      </c>
      <c r="BB98" s="13">
        <f>VLOOKUP(A98,'Données projet'!$A$87:$I$107,9,0)</f>
        <v>5</v>
      </c>
      <c r="BC98" s="13">
        <f t="array" ref="BC98">INDEX(BB:BB,MIN(IF(ISNUMBER(BB98:BB294),ROW(BB98:BB294),"")))</f>
        <v>5</v>
      </c>
      <c r="BD98" s="13">
        <f>IF('Données projet'!$A$88&gt;35,BD97+BC98-BL97,IF(A98&lt;'Données projet'!$A$88,$BA$205^A98,IF(A98='Données projet'!$A$88,'Données projet'!$B$88,BD97+BC98-BL97)))</f>
        <v>278.99999999999983</v>
      </c>
      <c r="BE98" s="14">
        <f>BD98*VLOOKUP('Données projet'!$B$11,Paramètres!$A$1:$I$88,3,0)*VLOOKUP('Données projet'!$B$11,Paramètres!$A$1:$I$88,5,0)</f>
        <v>317.7251999999998</v>
      </c>
      <c r="BF98" s="14">
        <f t="shared" si="91"/>
        <v>74.879840938146728</v>
      </c>
      <c r="BG98" s="22">
        <f t="shared" si="61"/>
        <v>683.78711296727181</v>
      </c>
      <c r="BH98" s="62">
        <f t="shared" si="62"/>
        <v>971.38310345379796</v>
      </c>
      <c r="BI98" s="62">
        <f ca="1">AVERAGE(OFFSET($BH$3,0,0,'Données projet'!$E$11+1,1))-AVERAGE(OFFSET($H$3,0,0,'Données projet'!$E$11+1,1))</f>
        <v>470.57532875732056</v>
      </c>
      <c r="BJ98" s="62">
        <f t="shared" si="92"/>
        <v>286.63787681165888</v>
      </c>
      <c r="BK98" s="16">
        <f>IF(ISNA(VLOOKUP(A98,'Données projet'!$A$87:$I$107,3,0)),0,VLOOKUP(A98,'Données projet'!$A$87:$I$107,3,0))</f>
        <v>16</v>
      </c>
      <c r="BL98" s="16">
        <f>IF(ISNA(VLOOKUP(A98,'Données projet'!$A$87:$I$107,4,0)),0,VLOOKUP(A98,'Données projet'!$A$87:$I$107,4,0))</f>
        <v>21</v>
      </c>
      <c r="BM98" s="17">
        <f>IF(ISNA(VLOOKUP(A98,'Données projet'!$A$87:$I$107,5,0)),0%,VLOOKUP(A98,'Données projet'!$A$87:$I$107,5,0)*VLOOKUP('Données projet'!$B$11,Paramètres!$A$1:$I$88,7,0))</f>
        <v>0.25800000000000001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projet'!$B$11,Paramètres!$A$1:$I$88,3,0)*0.475*44/12</f>
        <v>34.875715990282721</v>
      </c>
      <c r="BQ98" s="23">
        <f>EXP(-LN(2)/25)*BQ97+(1-EXP(-LN(2)/25))/(LN(2)/25)*Calculateur!BL98*Calculateur!BN98*VLOOKUP('Données projet'!$B$11,Paramètres!$A$1:$I$88,3,0)*0.475*44/12</f>
        <v>0</v>
      </c>
      <c r="BR98" s="23">
        <f>EXP(-LN(2)/2)*BR97+(1-EXP(-LN(2)/2))/(LN(2)/2)*BL98*BO98*VLOOKUP('Données projet'!$B$11,Paramètres!$A$1:$I$88,3,0)*0.475*44/12</f>
        <v>0</v>
      </c>
      <c r="BS98" s="24">
        <f t="shared" si="63"/>
        <v>34.875715990282721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68.435270132688942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-2.2737367544323206E-13</v>
      </c>
      <c r="BZ98" s="14">
        <f>BY98*VLOOKUP('Données projet'!$B$12,Paramètres!$A$1:$I$88,3,0)*VLOOKUP('Données projet'!$B$12,Paramètres!$A$1:$I$88,5,0)</f>
        <v>-1.4897523215040565E-13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305.38855494899906</v>
      </c>
      <c r="CE98" s="62">
        <f t="shared" si="94"/>
        <v>298.48106301229177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projet'!$B$12,Paramètres!$A$1:$I$88,3,0)*0.475*44/12</f>
        <v>62.998056134313458</v>
      </c>
      <c r="CL98" s="23">
        <f>EXP(-LN(2)/25)*CL97+(1-EXP(-LN(2)/25))/(LN(2)/25)*Calculateur!CG98*Calculateur!CI98*VLOOKUP('Données projet'!$B$12,Paramètres!$A$1:$I$88,3,0)*0.475*44/12</f>
        <v>0</v>
      </c>
      <c r="CM98" s="23">
        <f>EXP(-LN(2)/2)*CM97+(1-EXP(-LN(2)/2))/(LN(2)/2)*CG98*CJ98*VLOOKUP('Données projet'!$B$12,Paramètres!$A$1:$I$88,3,0)*0.475*44/12</f>
        <v>0</v>
      </c>
      <c r="CN98" s="24">
        <f t="shared" si="66"/>
        <v>62.998056134313458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68.435270132688942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-2.2737367544323206E-13</v>
      </c>
      <c r="CU98" s="18">
        <f>CT98*VLOOKUP('Données projet'!$B$13,Paramètres!$A$1:$I$88,3,0)*VLOOKUP('Données projet'!$B$13,Paramètres!$A$1:$I$88,5,0)</f>
        <v>-1.8089849618263545E-13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361.30066984973894</v>
      </c>
      <c r="CZ98" s="62">
        <f t="shared" si="96"/>
        <v>351.78053157121622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projet'!$B$13,Paramètres!$A$1:$I$88,3,0)*0.475*44/12</f>
        <v>94.287788333914307</v>
      </c>
      <c r="DG98" s="23">
        <f>EXP(-LN(2)/25)*DG97+(1-EXP(-LN(2)/25))/(LN(2)/25)*Calculateur!DB98*Calculateur!DD98*VLOOKUP('Données projet'!$B$13,Paramètres!$A$1:$I$88,3,0)*0.475*44/12</f>
        <v>0</v>
      </c>
      <c r="DH98" s="23">
        <f>EXP(-LN(2)/2)*DH97+(1-EXP(-LN(2)/2))/(LN(2)/2)*DB98*DE98*VLOOKUP('Données projet'!$B$13,Paramètres!$A$1:$I$88,3,0)*0.475*44/12</f>
        <v>0</v>
      </c>
      <c r="DI98" s="24">
        <f t="shared" si="69"/>
        <v>94.287788333914307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68.435270132688942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>
        <f>DO98*VLOOKUP('Données projet'!$B$14,Paramètres!$A$1:$I$88,3,0)*VLOOKUP('Données projet'!$B$14,Paramètres!$A$1:$I$88,5,0)</f>
        <v>0</v>
      </c>
      <c r="DQ98" s="14" t="e">
        <f t="shared" si="97"/>
        <v>#NUM!</v>
      </c>
      <c r="DR98" s="22" t="e">
        <f t="shared" si="70"/>
        <v>#NUM!</v>
      </c>
      <c r="DS98" s="62" t="e">
        <f t="shared" si="71"/>
        <v>#NUM!</v>
      </c>
      <c r="DT98" s="62">
        <f ca="1">AVERAGE(OFFSET($DS$3,0,0,'Données projet'!$E$14+1,1))-AVERAGE(OFFSET($H$3,0,0,'Données projet'!$E$14+1,1))</f>
        <v>91.201152634762423</v>
      </c>
      <c r="DU98" s="62">
        <f t="shared" si="98"/>
        <v>233.36981992862445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projet'!$B$14,Paramètres!$A$1:$I$88,3,0)*0.475*44/12</f>
        <v>11.44301557109252</v>
      </c>
      <c r="EB98" s="23">
        <f>EXP(-LN(2)/25)*EB97+(1-EXP(-LN(2)/25))/(LN(2)/25)*Calculateur!DW98*Calculateur!DY98*VLOOKUP('Données projet'!$B$14,Paramètres!$A$1:$I$88,3,0)*0.475*44/12</f>
        <v>0</v>
      </c>
      <c r="EC98" s="23">
        <f>EXP(-LN(2)/2)*EC97+(1-EXP(-LN(2)/2))/(LN(2)/2)*DW98*DZ98*VLOOKUP('Données projet'!$B$14,Paramètres!$A$1:$I$88,3,0)*0.475*44/12</f>
        <v>0</v>
      </c>
      <c r="ED98" s="24">
        <f t="shared" si="72"/>
        <v>11.44301557109252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68.435270132688942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projet'!$B$15,Paramètres!$A$1:$I$88,3,0)*0.475*44/12</f>
        <v>#N/A</v>
      </c>
      <c r="EW98" s="23" t="e">
        <f>EXP(-LN(2)/25)*EW97+(1-EXP(-LN(2)/25))/(LN(2)/25)*Calculateur!ER98*Calculateur!ET98*VLOOKUP('Données projet'!$B$15,Paramètres!$A$1:$I$88,3,0)*0.475*44/12</f>
        <v>#N/A</v>
      </c>
      <c r="EX98" s="23" t="e">
        <f>EXP(-LN(2)/2)*EX97+(1-EXP(-LN(2)/2))/(LN(2)/2)*ER98*EU98*VLOOKUP('Données projet'!$B$15,Paramètres!$A$1:$I$88,3,0)*0.475*44/12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68.435270132688942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projet'!$B$16,Paramètres!$A$1:$I$88,3,0)*0.475*44/12</f>
        <v>#N/A</v>
      </c>
      <c r="FR98" s="23" t="e">
        <f>EXP(-LN(2)/25)*FR97+(1-EXP(-LN(2)/25))/(LN(2)/25)*Calculateur!FM98*Calculateur!FO98*VLOOKUP('Données projet'!$B$16,Paramètres!$A$1:$I$88,3,0)*0.475*44/12</f>
        <v>#N/A</v>
      </c>
      <c r="FS98" s="23" t="e">
        <f>EXP(-LN(2)/2)*FS97+(1-EXP(-LN(2)/2))/(LN(2)/2)*FM98*FP98*VLOOKUP('Données projet'!$B$16,Paramètres!$A$1:$I$88,3,0)*0.475*44/12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68.435270132688942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projet'!$B$17,Paramètres!$A$1:$I$88,3,0)*0.475*44/12</f>
        <v>#N/A</v>
      </c>
      <c r="GM98" s="23" t="e">
        <f>EXP(-LN(2)/25)*GM97+(1-EXP(-LN(2)/25))/(LN(2)/25)*Calculateur!GH98*Calculateur!GJ98*VLOOKUP('Données projet'!$B$17,Paramètres!$A$1:$I$88,3,0)*0.475*44/12</f>
        <v>#N/A</v>
      </c>
      <c r="GN98" s="23" t="e">
        <f>EXP(-LN(2)/2)*GN97+(1-EXP(-LN(2)/2))/(LN(2)/2)*GH98*GK98*VLOOKUP('Données projet'!$B$17,Paramètres!$A$1:$I$88,3,0)*0.475*44/12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68.435270132688942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projet'!$B$18,Paramètres!$A$1:$I$88,3,0)*0.475*44/12</f>
        <v>#N/A</v>
      </c>
      <c r="HH98" s="23" t="e">
        <f>EXP(-LN(2)/25)*HH97+(1-EXP(-LN(2)/25))/(LN(2)/25)*Calculateur!HC98*Calculateur!HE98*VLOOKUP('Données projet'!$B$18,Paramètres!$A$1:$I$88,3,0)*0.475*44/12</f>
        <v>#N/A</v>
      </c>
      <c r="HI98" s="23" t="e">
        <f>EXP(-LN(2)/2)*HI97+(1-EXP(-LN(2)/2))/(LN(2)/2)*HC98*HF98*VLOOKUP('Données projet'!$B$18,Paramètres!$A$1:$I$88,3,0)*0.475*44/12</f>
        <v>#N/A</v>
      </c>
      <c r="HJ98" s="24" t="e">
        <f t="shared" si="84"/>
        <v>#N/A</v>
      </c>
    </row>
    <row r="99" spans="1:218" s="5" customFormat="1" x14ac:dyDescent="0.2">
      <c r="A99" s="11">
        <f t="shared" si="85"/>
        <v>96</v>
      </c>
      <c r="B99" s="77">
        <f>'Scénario référence'!$B$16*5+'Scénario référence'!$B$17*0+'Scénario référence'!$B$18*5</f>
        <v>1.6500000000000001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6.0500000000000007</v>
      </c>
      <c r="H99" s="70">
        <f t="shared" si="56"/>
        <v>232.4666666666667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68.462414697674873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projet'!$B$9,Paramètres!$A$1:$I$88,3,0)*VLOOKUP('Données projet'!$B$9,Paramètres!$A$1:$I$88,5,0)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287.69552055814319</v>
      </c>
      <c r="S99" s="62">
        <f ca="1">AVERAGE(OFFSET($R$3,0,0,'Données projet'!$E$9+1,1))-AVERAGE(OFFSET($H$3,0,0,'Données projet'!$E$9+1,1))</f>
        <v>354.71367224254021</v>
      </c>
      <c r="T99" s="62">
        <f t="shared" si="88"/>
        <v>490.074370133397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84.922791488680389</v>
      </c>
      <c r="AA99" s="23">
        <f>EXP(-LN(2)/25)*AA98+(1-EXP(-LN(2)/25))/(LN(2)/25)*Calculateur!V99*Calculateur!X99*VLOOKUP('Données projet'!$B$9,Paramètres!$A$1:$I$88,3,0)*0.475*44/12</f>
        <v>13.654344845344625</v>
      </c>
      <c r="AB99" s="23">
        <f>EXP(-LN(2)/2)*AB98+(1-EXP(-LN(2)/2))/(LN(2)/2)*V99*Y99*VLOOKUP('Données projet'!$B$9,Paramètres!$A$1:$I$88,3,0)*0.475*44/12</f>
        <v>2.1713697239449716E-6</v>
      </c>
      <c r="AC99" s="24">
        <f t="shared" si="57"/>
        <v>98.577138505394743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68.462414697674873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2.2737367544323206E-13</v>
      </c>
      <c r="AJ99" s="14">
        <f>AI99*VLOOKUP('Données projet'!$B$10,Paramètres!$A$1:$I$88,3,0)*VLOOKUP('Données projet'!$B$10,Paramètres!$A$1:$I$88,5,0)</f>
        <v>1.3596945791505279E-13</v>
      </c>
      <c r="AK99" s="14">
        <f t="shared" si="89"/>
        <v>1.9708830566360721E-12</v>
      </c>
      <c r="AL99" s="22">
        <f t="shared" si="58"/>
        <v>3.669434796176543E-12</v>
      </c>
      <c r="AM99" s="62">
        <f t="shared" si="59"/>
        <v>287.69552055814489</v>
      </c>
      <c r="AN99" s="62">
        <f ca="1">AVERAGE(OFFSET($AM$3,0,0,'Données projet'!$E$10+1,1))-AVERAGE(OFFSET($H$3,0,0,'Données projet'!$E$10+1,1))</f>
        <v>264.73276096087574</v>
      </c>
      <c r="AO99" s="62">
        <f t="shared" si="90"/>
        <v>381.84464918049662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projet'!$B$10,Paramètres!$A$1:$I$88,3,0)*0.475*44/12</f>
        <v>59.556893295714978</v>
      </c>
      <c r="AV99" s="23">
        <f>EXP(-LN(2)/25)*AV98+(1-EXP(-LN(2)/25))/(LN(2)/25)*Calculateur!AQ99*Calculateur!AS99*VLOOKUP('Données projet'!$B$10,Paramètres!$A$1:$I$88,3,0)*0.475*44/12</f>
        <v>9.5926164400585332</v>
      </c>
      <c r="AW99" s="23">
        <f>EXP(-LN(2)/2)*AW98+(1-EXP(-LN(2)/2))/(LN(2)/2)*AQ99*AT99*VLOOKUP('Données projet'!$B$10,Paramètres!$A$1:$I$88,3,0)*0.475*44/12</f>
        <v>1.5204110724747287E-6</v>
      </c>
      <c r="AX99" s="23">
        <f t="shared" si="60"/>
        <v>69.149511256184581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68.462414697674873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4.8</v>
      </c>
      <c r="BD99" s="13">
        <f>IF('Données projet'!$A$88&gt;35,BD98+BC99-BL98,IF(A99&lt;'Données projet'!$A$88,$BA$205^A99,IF(A99='Données projet'!$A$88,'Données projet'!$B$88,BD98+BC99-BL98)))</f>
        <v>262.79999999999984</v>
      </c>
      <c r="BE99" s="14">
        <f>BD99*VLOOKUP('Données projet'!$B$11,Paramètres!$A$1:$I$88,3,0)*VLOOKUP('Données projet'!$B$11,Paramètres!$A$1:$I$88,5,0)</f>
        <v>299.27663999999982</v>
      </c>
      <c r="BF99" s="14">
        <f t="shared" si="91"/>
        <v>71.024798135517784</v>
      </c>
      <c r="BG99" s="22">
        <f t="shared" si="61"/>
        <v>644.94167141935975</v>
      </c>
      <c r="BH99" s="62">
        <f t="shared" si="62"/>
        <v>932.63719197750095</v>
      </c>
      <c r="BI99" s="62">
        <f ca="1">AVERAGE(OFFSET($BH$3,0,0,'Données projet'!$E$11+1,1))-AVERAGE(OFFSET($H$3,0,0,'Données projet'!$E$11+1,1))</f>
        <v>470.57532875732056</v>
      </c>
      <c r="BJ99" s="62">
        <f t="shared" si="92"/>
        <v>286.63787681165888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projet'!$B$11,Paramètres!$A$1:$I$88,3,0)*0.475*44/12</f>
        <v>34.191824471799585</v>
      </c>
      <c r="BQ99" s="23">
        <f>EXP(-LN(2)/25)*BQ98+(1-EXP(-LN(2)/25))/(LN(2)/25)*Calculateur!BL99*Calculateur!BN99*VLOOKUP('Données projet'!$B$11,Paramètres!$A$1:$I$88,3,0)*0.475*44/12</f>
        <v>0</v>
      </c>
      <c r="BR99" s="23">
        <f>EXP(-LN(2)/2)*BR98+(1-EXP(-LN(2)/2))/(LN(2)/2)*BL99*BO99*VLOOKUP('Données projet'!$B$11,Paramètres!$A$1:$I$88,3,0)*0.475*44/12</f>
        <v>0</v>
      </c>
      <c r="BS99" s="24">
        <f t="shared" si="63"/>
        <v>34.191824471799585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68.462414697674873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-2.2737367544323206E-13</v>
      </c>
      <c r="BZ99" s="14">
        <f>BY99*VLOOKUP('Données projet'!$B$12,Paramètres!$A$1:$I$88,3,0)*VLOOKUP('Données projet'!$B$12,Paramètres!$A$1:$I$88,5,0)</f>
        <v>-1.4897523215040565E-13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305.38855494899906</v>
      </c>
      <c r="CE99" s="62">
        <f t="shared" si="94"/>
        <v>298.48106301229177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projet'!$B$12,Paramètres!$A$1:$I$88,3,0)*0.475*44/12</f>
        <v>61.762702678539661</v>
      </c>
      <c r="CL99" s="23">
        <f>EXP(-LN(2)/25)*CL98+(1-EXP(-LN(2)/25))/(LN(2)/25)*Calculateur!CG99*Calculateur!CI99*VLOOKUP('Données projet'!$B$12,Paramètres!$A$1:$I$88,3,0)*0.475*44/12</f>
        <v>0</v>
      </c>
      <c r="CM99" s="23">
        <f>EXP(-LN(2)/2)*CM98+(1-EXP(-LN(2)/2))/(LN(2)/2)*CG99*CJ99*VLOOKUP('Données projet'!$B$12,Paramètres!$A$1:$I$88,3,0)*0.475*44/12</f>
        <v>0</v>
      </c>
      <c r="CN99" s="24">
        <f t="shared" si="66"/>
        <v>61.762702678539661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68.462414697674873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-2.2737367544323206E-13</v>
      </c>
      <c r="CU99" s="18">
        <f>CT99*VLOOKUP('Données projet'!$B$13,Paramètres!$A$1:$I$88,3,0)*VLOOKUP('Données projet'!$B$13,Paramètres!$A$1:$I$88,5,0)</f>
        <v>-1.8089849618263545E-13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361.30066984973894</v>
      </c>
      <c r="CZ99" s="62">
        <f t="shared" si="96"/>
        <v>351.78053157121622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projet'!$B$13,Paramètres!$A$1:$I$88,3,0)*0.475*44/12</f>
        <v>92.438862314558506</v>
      </c>
      <c r="DG99" s="23">
        <f>EXP(-LN(2)/25)*DG98+(1-EXP(-LN(2)/25))/(LN(2)/25)*Calculateur!DB99*Calculateur!DD99*VLOOKUP('Données projet'!$B$13,Paramètres!$A$1:$I$88,3,0)*0.475*44/12</f>
        <v>0</v>
      </c>
      <c r="DH99" s="23">
        <f>EXP(-LN(2)/2)*DH98+(1-EXP(-LN(2)/2))/(LN(2)/2)*DB99*DE99*VLOOKUP('Données projet'!$B$13,Paramètres!$A$1:$I$88,3,0)*0.475*44/12</f>
        <v>0</v>
      </c>
      <c r="DI99" s="24">
        <f t="shared" si="69"/>
        <v>92.438862314558506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68.462414697674873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>
        <f>DO99*VLOOKUP('Données projet'!$B$14,Paramètres!$A$1:$I$88,3,0)*VLOOKUP('Données projet'!$B$14,Paramètres!$A$1:$I$88,5,0)</f>
        <v>0</v>
      </c>
      <c r="DQ99" s="14" t="e">
        <f t="shared" si="97"/>
        <v>#NUM!</v>
      </c>
      <c r="DR99" s="22" t="e">
        <f t="shared" si="70"/>
        <v>#NUM!</v>
      </c>
      <c r="DS99" s="62" t="e">
        <f t="shared" si="71"/>
        <v>#NUM!</v>
      </c>
      <c r="DT99" s="62">
        <f ca="1">AVERAGE(OFFSET($DS$3,0,0,'Données projet'!$E$14+1,1))-AVERAGE(OFFSET($H$3,0,0,'Données projet'!$E$14+1,1))</f>
        <v>91.201152634762423</v>
      </c>
      <c r="DU99" s="62">
        <f t="shared" si="98"/>
        <v>233.36981992862445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projet'!$B$14,Paramètres!$A$1:$I$88,3,0)*0.475*44/12</f>
        <v>11.218625015293721</v>
      </c>
      <c r="EB99" s="23">
        <f>EXP(-LN(2)/25)*EB98+(1-EXP(-LN(2)/25))/(LN(2)/25)*Calculateur!DW99*Calculateur!DY99*VLOOKUP('Données projet'!$B$14,Paramètres!$A$1:$I$88,3,0)*0.475*44/12</f>
        <v>0</v>
      </c>
      <c r="EC99" s="23">
        <f>EXP(-LN(2)/2)*EC98+(1-EXP(-LN(2)/2))/(LN(2)/2)*DW99*DZ99*VLOOKUP('Données projet'!$B$14,Paramètres!$A$1:$I$88,3,0)*0.475*44/12</f>
        <v>0</v>
      </c>
      <c r="ED99" s="24">
        <f t="shared" si="72"/>
        <v>11.218625015293721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68.462414697674873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projet'!$B$15,Paramètres!$A$1:$I$88,3,0)*0.475*44/12</f>
        <v>#N/A</v>
      </c>
      <c r="EW99" s="23" t="e">
        <f>EXP(-LN(2)/25)*EW98+(1-EXP(-LN(2)/25))/(LN(2)/25)*Calculateur!ER99*Calculateur!ET99*VLOOKUP('Données projet'!$B$15,Paramètres!$A$1:$I$88,3,0)*0.475*44/12</f>
        <v>#N/A</v>
      </c>
      <c r="EX99" s="23" t="e">
        <f>EXP(-LN(2)/2)*EX98+(1-EXP(-LN(2)/2))/(LN(2)/2)*ER99*EU99*VLOOKUP('Données projet'!$B$15,Paramètres!$A$1:$I$88,3,0)*0.475*44/12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68.462414697674873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projet'!$B$16,Paramètres!$A$1:$I$88,3,0)*0.475*44/12</f>
        <v>#N/A</v>
      </c>
      <c r="FR99" s="23" t="e">
        <f>EXP(-LN(2)/25)*FR98+(1-EXP(-LN(2)/25))/(LN(2)/25)*Calculateur!FM99*Calculateur!FO99*VLOOKUP('Données projet'!$B$16,Paramètres!$A$1:$I$88,3,0)*0.475*44/12</f>
        <v>#N/A</v>
      </c>
      <c r="FS99" s="23" t="e">
        <f>EXP(-LN(2)/2)*FS98+(1-EXP(-LN(2)/2))/(LN(2)/2)*FM99*FP99*VLOOKUP('Données projet'!$B$16,Paramètres!$A$1:$I$88,3,0)*0.475*44/12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68.462414697674873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projet'!$B$17,Paramètres!$A$1:$I$88,3,0)*0.475*44/12</f>
        <v>#N/A</v>
      </c>
      <c r="GM99" s="23" t="e">
        <f>EXP(-LN(2)/25)*GM98+(1-EXP(-LN(2)/25))/(LN(2)/25)*Calculateur!GH99*Calculateur!GJ99*VLOOKUP('Données projet'!$B$17,Paramètres!$A$1:$I$88,3,0)*0.475*44/12</f>
        <v>#N/A</v>
      </c>
      <c r="GN99" s="23" t="e">
        <f>EXP(-LN(2)/2)*GN98+(1-EXP(-LN(2)/2))/(LN(2)/2)*GH99*GK99*VLOOKUP('Données projet'!$B$17,Paramètres!$A$1:$I$88,3,0)*0.475*44/12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68.462414697674873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projet'!$B$18,Paramètres!$A$1:$I$88,3,0)*0.475*44/12</f>
        <v>#N/A</v>
      </c>
      <c r="HH99" s="23" t="e">
        <f>EXP(-LN(2)/25)*HH98+(1-EXP(-LN(2)/25))/(LN(2)/25)*Calculateur!HC99*Calculateur!HE99*VLOOKUP('Données projet'!$B$18,Paramètres!$A$1:$I$88,3,0)*0.475*44/12</f>
        <v>#N/A</v>
      </c>
      <c r="HI99" s="23" t="e">
        <f>EXP(-LN(2)/2)*HI98+(1-EXP(-LN(2)/2))/(LN(2)/2)*HC99*HF99*VLOOKUP('Données projet'!$B$18,Paramètres!$A$1:$I$88,3,0)*0.475*44/12</f>
        <v>#N/A</v>
      </c>
      <c r="HJ99" s="24" t="e">
        <f t="shared" si="84"/>
        <v>#N/A</v>
      </c>
    </row>
    <row r="100" spans="1:218" s="5" customFormat="1" x14ac:dyDescent="0.2">
      <c r="A100" s="11">
        <f t="shared" si="85"/>
        <v>97</v>
      </c>
      <c r="B100" s="77">
        <f>'Scénario référence'!$B$16*5+'Scénario référence'!$B$17*0+'Scénario référence'!$B$18*5</f>
        <v>1.6500000000000001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6.0500000000000007</v>
      </c>
      <c r="H100" s="70">
        <f t="shared" si="56"/>
        <v>232.4666666666667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68.489088365144454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projet'!$B$9,Paramètres!$A$1:$I$88,3,0)*VLOOKUP('Données projet'!$B$9,Paramètres!$A$1:$I$88,5,0)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287.79332400553164</v>
      </c>
      <c r="S100" s="62">
        <f ca="1">AVERAGE(OFFSET($R$3,0,0,'Données projet'!$E$9+1,1))-AVERAGE(OFFSET($H$3,0,0,'Données projet'!$E$9+1,1))</f>
        <v>354.71367224254021</v>
      </c>
      <c r="T100" s="62">
        <f t="shared" si="88"/>
        <v>490.074370133397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83.257507345375572</v>
      </c>
      <c r="AA100" s="23">
        <f>EXP(-LN(2)/25)*AA99+(1-EXP(-LN(2)/25))/(LN(2)/25)*Calculateur!V100*Calculateur!X100*VLOOKUP('Données projet'!$B$9,Paramètres!$A$1:$I$88,3,0)*0.475*44/12</f>
        <v>13.280966067497888</v>
      </c>
      <c r="AB100" s="23">
        <f>EXP(-LN(2)/2)*AB99+(1-EXP(-LN(2)/2))/(LN(2)/2)*V100*Y100*VLOOKUP('Données projet'!$B$9,Paramètres!$A$1:$I$88,3,0)*0.475*44/12</f>
        <v>1.5353902562646512E-6</v>
      </c>
      <c r="AC100" s="24">
        <f t="shared" si="57"/>
        <v>96.538474948263712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68.489088365144454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2.2737367544323206E-13</v>
      </c>
      <c r="AJ100" s="14">
        <f>AI100*VLOOKUP('Données projet'!$B$10,Paramètres!$A$1:$I$88,3,0)*VLOOKUP('Données projet'!$B$10,Paramètres!$A$1:$I$88,5,0)</f>
        <v>1.3596945791505279E-13</v>
      </c>
      <c r="AK100" s="14">
        <f t="shared" si="89"/>
        <v>1.9708830566360721E-12</v>
      </c>
      <c r="AL100" s="22">
        <f t="shared" si="58"/>
        <v>3.669434796176543E-12</v>
      </c>
      <c r="AM100" s="62">
        <f t="shared" si="59"/>
        <v>287.79332400553335</v>
      </c>
      <c r="AN100" s="62">
        <f ca="1">AVERAGE(OFFSET($AM$3,0,0,'Données projet'!$E$10+1,1))-AVERAGE(OFFSET($H$3,0,0,'Données projet'!$E$10+1,1))</f>
        <v>264.73276096087574</v>
      </c>
      <c r="AO100" s="62">
        <f t="shared" si="90"/>
        <v>381.84464918049662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projet'!$B$10,Paramètres!$A$1:$I$88,3,0)*0.475*44/12</f>
        <v>58.389018944304013</v>
      </c>
      <c r="AV100" s="23">
        <f>EXP(-LN(2)/25)*AV99+(1-EXP(-LN(2)/25))/(LN(2)/25)*Calculateur!AQ100*Calculateur!AS100*VLOOKUP('Données projet'!$B$10,Paramètres!$A$1:$I$88,3,0)*0.475*44/12</f>
        <v>9.3303058390513591</v>
      </c>
      <c r="AW100" s="23">
        <f>EXP(-LN(2)/2)*AW99+(1-EXP(-LN(2)/2))/(LN(2)/2)*AQ100*AT100*VLOOKUP('Données projet'!$B$10,Paramètres!$A$1:$I$88,3,0)*0.475*44/12</f>
        <v>1.0750929795379921E-6</v>
      </c>
      <c r="AX100" s="23">
        <f t="shared" si="60"/>
        <v>67.719325858448357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68.489088365144454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4.8</v>
      </c>
      <c r="BD100" s="13">
        <f>IF('Données projet'!$A$88&gt;35,BD99+BC100-BL99,IF(A100&lt;'Données projet'!$A$88,$BA$205^A100,IF(A100='Données projet'!$A$88,'Données projet'!$B$88,BD99+BC100-BL99)))</f>
        <v>267.59999999999985</v>
      </c>
      <c r="BE100" s="14">
        <f>BD100*VLOOKUP('Données projet'!$B$11,Paramètres!$A$1:$I$88,3,0)*VLOOKUP('Données projet'!$B$11,Paramètres!$A$1:$I$88,5,0)</f>
        <v>304.74287999999984</v>
      </c>
      <c r="BF100" s="14">
        <f t="shared" si="91"/>
        <v>72.169843772858684</v>
      </c>
      <c r="BG100" s="22">
        <f t="shared" si="61"/>
        <v>656.4563272377286</v>
      </c>
      <c r="BH100" s="62">
        <f t="shared" si="62"/>
        <v>944.24965124325831</v>
      </c>
      <c r="BI100" s="62">
        <f ca="1">AVERAGE(OFFSET($BH$3,0,0,'Données projet'!$E$11+1,1))-AVERAGE(OFFSET($H$3,0,0,'Données projet'!$E$11+1,1))</f>
        <v>470.57532875732056</v>
      </c>
      <c r="BJ100" s="62">
        <f t="shared" si="92"/>
        <v>286.63787681165888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projet'!$B$11,Paramètres!$A$1:$I$88,3,0)*0.475*44/12</f>
        <v>33.521343648861269</v>
      </c>
      <c r="BQ100" s="23">
        <f>EXP(-LN(2)/25)*BQ99+(1-EXP(-LN(2)/25))/(LN(2)/25)*Calculateur!BL100*Calculateur!BN100*VLOOKUP('Données projet'!$B$11,Paramètres!$A$1:$I$88,3,0)*0.475*44/12</f>
        <v>0</v>
      </c>
      <c r="BR100" s="23">
        <f>EXP(-LN(2)/2)*BR99+(1-EXP(-LN(2)/2))/(LN(2)/2)*BL100*BO100*VLOOKUP('Données projet'!$B$11,Paramètres!$A$1:$I$88,3,0)*0.475*44/12</f>
        <v>0</v>
      </c>
      <c r="BS100" s="24">
        <f t="shared" si="63"/>
        <v>33.521343648861269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68.489088365144454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-2.2737367544323206E-13</v>
      </c>
      <c r="BZ100" s="14">
        <f>BY100*VLOOKUP('Données projet'!$B$12,Paramètres!$A$1:$I$88,3,0)*VLOOKUP('Données projet'!$B$12,Paramètres!$A$1:$I$88,5,0)</f>
        <v>-1.4897523215040565E-13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305.38855494899906</v>
      </c>
      <c r="CE100" s="62">
        <f t="shared" si="94"/>
        <v>298.48106301229177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projet'!$B$12,Paramètres!$A$1:$I$88,3,0)*0.475*44/12</f>
        <v>60.551573750542374</v>
      </c>
      <c r="CL100" s="23">
        <f>EXP(-LN(2)/25)*CL99+(1-EXP(-LN(2)/25))/(LN(2)/25)*Calculateur!CG100*Calculateur!CI100*VLOOKUP('Données projet'!$B$12,Paramètres!$A$1:$I$88,3,0)*0.475*44/12</f>
        <v>0</v>
      </c>
      <c r="CM100" s="23">
        <f>EXP(-LN(2)/2)*CM99+(1-EXP(-LN(2)/2))/(LN(2)/2)*CG100*CJ100*VLOOKUP('Données projet'!$B$12,Paramètres!$A$1:$I$88,3,0)*0.475*44/12</f>
        <v>0</v>
      </c>
      <c r="CN100" s="24">
        <f t="shared" si="66"/>
        <v>60.551573750542374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68.489088365144454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-2.2737367544323206E-13</v>
      </c>
      <c r="CU100" s="18">
        <f>CT100*VLOOKUP('Données projet'!$B$13,Paramètres!$A$1:$I$88,3,0)*VLOOKUP('Données projet'!$B$13,Paramètres!$A$1:$I$88,5,0)</f>
        <v>-1.8089849618263545E-13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361.30066984973894</v>
      </c>
      <c r="CZ100" s="62">
        <f t="shared" si="96"/>
        <v>351.78053157121622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projet'!$B$13,Paramètres!$A$1:$I$88,3,0)*0.475*44/12</f>
        <v>90.626192606708756</v>
      </c>
      <c r="DG100" s="23">
        <f>EXP(-LN(2)/25)*DG99+(1-EXP(-LN(2)/25))/(LN(2)/25)*Calculateur!DB100*Calculateur!DD100*VLOOKUP('Données projet'!$B$13,Paramètres!$A$1:$I$88,3,0)*0.475*44/12</f>
        <v>0</v>
      </c>
      <c r="DH100" s="23">
        <f>EXP(-LN(2)/2)*DH99+(1-EXP(-LN(2)/2))/(LN(2)/2)*DB100*DE100*VLOOKUP('Données projet'!$B$13,Paramètres!$A$1:$I$88,3,0)*0.475*44/12</f>
        <v>0</v>
      </c>
      <c r="DI100" s="24">
        <f t="shared" si="69"/>
        <v>90.626192606708756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68.489088365144454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>
        <f>DO100*VLOOKUP('Données projet'!$B$14,Paramètres!$A$1:$I$88,3,0)*VLOOKUP('Données projet'!$B$14,Paramètres!$A$1:$I$88,5,0)</f>
        <v>0</v>
      </c>
      <c r="DQ100" s="14" t="e">
        <f t="shared" si="97"/>
        <v>#NUM!</v>
      </c>
      <c r="DR100" s="22" t="e">
        <f t="shared" si="70"/>
        <v>#NUM!</v>
      </c>
      <c r="DS100" s="62" t="e">
        <f t="shared" si="71"/>
        <v>#NUM!</v>
      </c>
      <c r="DT100" s="62">
        <f ca="1">AVERAGE(OFFSET($DS$3,0,0,'Données projet'!$E$14+1,1))-AVERAGE(OFFSET($H$3,0,0,'Données projet'!$E$14+1,1))</f>
        <v>91.201152634762423</v>
      </c>
      <c r="DU100" s="62">
        <f t="shared" si="98"/>
        <v>233.36981992862445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projet'!$B$14,Paramètres!$A$1:$I$88,3,0)*0.475*44/12</f>
        <v>10.998634621429412</v>
      </c>
      <c r="EB100" s="23">
        <f>EXP(-LN(2)/25)*EB99+(1-EXP(-LN(2)/25))/(LN(2)/25)*Calculateur!DW100*Calculateur!DY100*VLOOKUP('Données projet'!$B$14,Paramètres!$A$1:$I$88,3,0)*0.475*44/12</f>
        <v>0</v>
      </c>
      <c r="EC100" s="23">
        <f>EXP(-LN(2)/2)*EC99+(1-EXP(-LN(2)/2))/(LN(2)/2)*DW100*DZ100*VLOOKUP('Données projet'!$B$14,Paramètres!$A$1:$I$88,3,0)*0.475*44/12</f>
        <v>0</v>
      </c>
      <c r="ED100" s="24">
        <f t="shared" si="72"/>
        <v>10.998634621429412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68.489088365144454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projet'!$B$15,Paramètres!$A$1:$I$88,3,0)*0.475*44/12</f>
        <v>#N/A</v>
      </c>
      <c r="EW100" s="23" t="e">
        <f>EXP(-LN(2)/25)*EW99+(1-EXP(-LN(2)/25))/(LN(2)/25)*Calculateur!ER100*Calculateur!ET100*VLOOKUP('Données projet'!$B$15,Paramètres!$A$1:$I$88,3,0)*0.475*44/12</f>
        <v>#N/A</v>
      </c>
      <c r="EX100" s="23" t="e">
        <f>EXP(-LN(2)/2)*EX99+(1-EXP(-LN(2)/2))/(LN(2)/2)*ER100*EU100*VLOOKUP('Données projet'!$B$15,Paramètres!$A$1:$I$88,3,0)*0.475*44/12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68.489088365144454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projet'!$B$16,Paramètres!$A$1:$I$88,3,0)*0.475*44/12</f>
        <v>#N/A</v>
      </c>
      <c r="FR100" s="23" t="e">
        <f>EXP(-LN(2)/25)*FR99+(1-EXP(-LN(2)/25))/(LN(2)/25)*Calculateur!FM100*Calculateur!FO100*VLOOKUP('Données projet'!$B$16,Paramètres!$A$1:$I$88,3,0)*0.475*44/12</f>
        <v>#N/A</v>
      </c>
      <c r="FS100" s="23" t="e">
        <f>EXP(-LN(2)/2)*FS99+(1-EXP(-LN(2)/2))/(LN(2)/2)*FM100*FP100*VLOOKUP('Données projet'!$B$16,Paramètres!$A$1:$I$88,3,0)*0.475*44/12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68.489088365144454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projet'!$B$17,Paramètres!$A$1:$I$88,3,0)*0.475*44/12</f>
        <v>#N/A</v>
      </c>
      <c r="GM100" s="23" t="e">
        <f>EXP(-LN(2)/25)*GM99+(1-EXP(-LN(2)/25))/(LN(2)/25)*Calculateur!GH100*Calculateur!GJ100*VLOOKUP('Données projet'!$B$17,Paramètres!$A$1:$I$88,3,0)*0.475*44/12</f>
        <v>#N/A</v>
      </c>
      <c r="GN100" s="23" t="e">
        <f>EXP(-LN(2)/2)*GN99+(1-EXP(-LN(2)/2))/(LN(2)/2)*GH100*GK100*VLOOKUP('Données projet'!$B$17,Paramètres!$A$1:$I$88,3,0)*0.475*44/12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68.489088365144454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projet'!$B$18,Paramètres!$A$1:$I$88,3,0)*0.475*44/12</f>
        <v>#N/A</v>
      </c>
      <c r="HH100" s="23" t="e">
        <f>EXP(-LN(2)/25)*HH99+(1-EXP(-LN(2)/25))/(LN(2)/25)*Calculateur!HC100*Calculateur!HE100*VLOOKUP('Données projet'!$B$18,Paramètres!$A$1:$I$88,3,0)*0.475*44/12</f>
        <v>#N/A</v>
      </c>
      <c r="HI100" s="23" t="e">
        <f>EXP(-LN(2)/2)*HI99+(1-EXP(-LN(2)/2))/(LN(2)/2)*HC100*HF100*VLOOKUP('Données projet'!$B$18,Paramètres!$A$1:$I$88,3,0)*0.475*44/12</f>
        <v>#N/A</v>
      </c>
      <c r="HJ100" s="24" t="e">
        <f t="shared" si="84"/>
        <v>#N/A</v>
      </c>
    </row>
    <row r="101" spans="1:218" s="5" customFormat="1" x14ac:dyDescent="0.2">
      <c r="A101" s="11">
        <f t="shared" si="85"/>
        <v>98</v>
      </c>
      <c r="B101" s="77">
        <f>'Scénario référence'!$B$16*5+'Scénario référence'!$B$17*0+'Scénario référence'!$B$18*5</f>
        <v>1.6500000000000001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6.0500000000000007</v>
      </c>
      <c r="H101" s="70">
        <f t="shared" si="56"/>
        <v>232.4666666666667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68.515299304116837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projet'!$B$9,Paramètres!$A$1:$I$88,3,0)*VLOOKUP('Données projet'!$B$9,Paramètres!$A$1:$I$88,5,0)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287.88943078176374</v>
      </c>
      <c r="S101" s="62">
        <f ca="1">AVERAGE(OFFSET($R$3,0,0,'Données projet'!$E$9+1,1))-AVERAGE(OFFSET($H$3,0,0,'Données projet'!$E$9+1,1))</f>
        <v>354.71367224254021</v>
      </c>
      <c r="T101" s="62">
        <f t="shared" si="88"/>
        <v>490.074370133397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81.624878408397919</v>
      </c>
      <c r="AA101" s="23">
        <f>EXP(-LN(2)/25)*AA100+(1-EXP(-LN(2)/25))/(LN(2)/25)*Calculateur!V101*Calculateur!X101*VLOOKUP('Données projet'!$B$9,Paramètres!$A$1:$I$88,3,0)*0.475*44/12</f>
        <v>12.917797351966506</v>
      </c>
      <c r="AB101" s="23">
        <f>EXP(-LN(2)/2)*AB100+(1-EXP(-LN(2)/2))/(LN(2)/2)*V101*Y101*VLOOKUP('Données projet'!$B$9,Paramètres!$A$1:$I$88,3,0)*0.475*44/12</f>
        <v>1.0856848619724858E-6</v>
      </c>
      <c r="AC101" s="24">
        <f t="shared" si="57"/>
        <v>94.542676846049289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68.515299304116837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2.2737367544323206E-13</v>
      </c>
      <c r="AJ101" s="14">
        <f>AI101*VLOOKUP('Données projet'!$B$10,Paramètres!$A$1:$I$88,3,0)*VLOOKUP('Données projet'!$B$10,Paramètres!$A$1:$I$88,5,0)</f>
        <v>1.3596945791505279E-13</v>
      </c>
      <c r="AK101" s="14">
        <f t="shared" si="89"/>
        <v>1.9708830566360721E-12</v>
      </c>
      <c r="AL101" s="22">
        <f t="shared" si="58"/>
        <v>3.669434796176543E-12</v>
      </c>
      <c r="AM101" s="62">
        <f t="shared" si="59"/>
        <v>287.88943078176544</v>
      </c>
      <c r="AN101" s="62">
        <f ca="1">AVERAGE(OFFSET($AM$3,0,0,'Données projet'!$E$10+1,1))-AVERAGE(OFFSET($H$3,0,0,'Données projet'!$E$10+1,1))</f>
        <v>264.73276096087574</v>
      </c>
      <c r="AO101" s="62">
        <f t="shared" si="90"/>
        <v>381.84464918049662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projet'!$B$10,Paramètres!$A$1:$I$88,3,0)*0.475*44/12</f>
        <v>57.244045896591196</v>
      </c>
      <c r="AV101" s="23">
        <f>EXP(-LN(2)/25)*AV100+(1-EXP(-LN(2)/25))/(LN(2)/25)*Calculateur!AQ101*Calculateur!AS101*VLOOKUP('Données projet'!$B$10,Paramètres!$A$1:$I$88,3,0)*0.475*44/12</f>
        <v>9.0751681352230396</v>
      </c>
      <c r="AW101" s="23">
        <f>EXP(-LN(2)/2)*AW100+(1-EXP(-LN(2)/2))/(LN(2)/2)*AQ101*AT101*VLOOKUP('Données projet'!$B$10,Paramètres!$A$1:$I$88,3,0)*0.475*44/12</f>
        <v>7.6020553623736437E-7</v>
      </c>
      <c r="AX101" s="23">
        <f t="shared" si="60"/>
        <v>66.319214792019778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68.515299304116837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4.8</v>
      </c>
      <c r="BD101" s="13">
        <f>IF('Données projet'!$A$88&gt;35,BD100+BC101-BL100,IF(A101&lt;'Données projet'!$A$88,$BA$205^A101,IF(A101='Données projet'!$A$88,'Données projet'!$B$88,BD100+BC101-BL100)))</f>
        <v>272.39999999999986</v>
      </c>
      <c r="BE101" s="14">
        <f>BD101*VLOOKUP('Données projet'!$B$11,Paramètres!$A$1:$I$88,3,0)*VLOOKUP('Données projet'!$B$11,Paramètres!$A$1:$I$88,5,0)</f>
        <v>310.20911999999981</v>
      </c>
      <c r="BF101" s="14">
        <f t="shared" si="91"/>
        <v>73.312501036804818</v>
      </c>
      <c r="BG101" s="22">
        <f t="shared" si="61"/>
        <v>667.966823305768</v>
      </c>
      <c r="BH101" s="62">
        <f t="shared" si="62"/>
        <v>955.85625408752981</v>
      </c>
      <c r="BI101" s="62">
        <f ca="1">AVERAGE(OFFSET($BH$3,0,0,'Données projet'!$E$11+1,1))-AVERAGE(OFFSET($H$3,0,0,'Données projet'!$E$11+1,1))</f>
        <v>470.57532875732056</v>
      </c>
      <c r="BJ101" s="62">
        <f t="shared" si="92"/>
        <v>286.63787681165888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projet'!$B$11,Paramètres!$A$1:$I$88,3,0)*0.475*44/12</f>
        <v>32.864010545907853</v>
      </c>
      <c r="BQ101" s="23">
        <f>EXP(-LN(2)/25)*BQ100+(1-EXP(-LN(2)/25))/(LN(2)/25)*Calculateur!BL101*Calculateur!BN101*VLOOKUP('Données projet'!$B$11,Paramètres!$A$1:$I$88,3,0)*0.475*44/12</f>
        <v>0</v>
      </c>
      <c r="BR101" s="23">
        <f>EXP(-LN(2)/2)*BR100+(1-EXP(-LN(2)/2))/(LN(2)/2)*BL101*BO101*VLOOKUP('Données projet'!$B$11,Paramètres!$A$1:$I$88,3,0)*0.475*44/12</f>
        <v>0</v>
      </c>
      <c r="BS101" s="24">
        <f t="shared" si="63"/>
        <v>32.864010545907853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68.515299304116837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-2.2737367544323206E-13</v>
      </c>
      <c r="BZ101" s="14">
        <f>BY101*VLOOKUP('Données projet'!$B$12,Paramètres!$A$1:$I$88,3,0)*VLOOKUP('Données projet'!$B$12,Paramètres!$A$1:$I$88,5,0)</f>
        <v>-1.4897523215040565E-13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305.38855494899906</v>
      </c>
      <c r="CE101" s="62">
        <f t="shared" si="94"/>
        <v>298.48106301229177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projet'!$B$12,Paramètres!$A$1:$I$88,3,0)*0.475*44/12</f>
        <v>59.364194322107416</v>
      </c>
      <c r="CL101" s="23">
        <f>EXP(-LN(2)/25)*CL100+(1-EXP(-LN(2)/25))/(LN(2)/25)*Calculateur!CG101*Calculateur!CI101*VLOOKUP('Données projet'!$B$12,Paramètres!$A$1:$I$88,3,0)*0.475*44/12</f>
        <v>0</v>
      </c>
      <c r="CM101" s="23">
        <f>EXP(-LN(2)/2)*CM100+(1-EXP(-LN(2)/2))/(LN(2)/2)*CG101*CJ101*VLOOKUP('Données projet'!$B$12,Paramètres!$A$1:$I$88,3,0)*0.475*44/12</f>
        <v>0</v>
      </c>
      <c r="CN101" s="24">
        <f t="shared" si="66"/>
        <v>59.364194322107416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68.515299304116837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-2.2737367544323206E-13</v>
      </c>
      <c r="CU101" s="18">
        <f>CT101*VLOOKUP('Données projet'!$B$13,Paramètres!$A$1:$I$88,3,0)*VLOOKUP('Données projet'!$B$13,Paramètres!$A$1:$I$88,5,0)</f>
        <v>-1.8089849618263545E-13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361.30066984973894</v>
      </c>
      <c r="CZ101" s="62">
        <f t="shared" si="96"/>
        <v>351.78053157121622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projet'!$B$13,Paramètres!$A$1:$I$88,3,0)*0.475*44/12</f>
        <v>88.849068246210578</v>
      </c>
      <c r="DG101" s="23">
        <f>EXP(-LN(2)/25)*DG100+(1-EXP(-LN(2)/25))/(LN(2)/25)*Calculateur!DB101*Calculateur!DD101*VLOOKUP('Données projet'!$B$13,Paramètres!$A$1:$I$88,3,0)*0.475*44/12</f>
        <v>0</v>
      </c>
      <c r="DH101" s="23">
        <f>EXP(-LN(2)/2)*DH100+(1-EXP(-LN(2)/2))/(LN(2)/2)*DB101*DE101*VLOOKUP('Données projet'!$B$13,Paramètres!$A$1:$I$88,3,0)*0.475*44/12</f>
        <v>0</v>
      </c>
      <c r="DI101" s="24">
        <f t="shared" si="69"/>
        <v>88.849068246210578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68.515299304116837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>
        <f>DO101*VLOOKUP('Données projet'!$B$14,Paramètres!$A$1:$I$88,3,0)*VLOOKUP('Données projet'!$B$14,Paramètres!$A$1:$I$88,5,0)</f>
        <v>0</v>
      </c>
      <c r="DQ101" s="14" t="e">
        <f t="shared" si="97"/>
        <v>#NUM!</v>
      </c>
      <c r="DR101" s="22" t="e">
        <f t="shared" si="70"/>
        <v>#NUM!</v>
      </c>
      <c r="DS101" s="62" t="e">
        <f t="shared" si="71"/>
        <v>#NUM!</v>
      </c>
      <c r="DT101" s="62">
        <f ca="1">AVERAGE(OFFSET($DS$3,0,0,'Données projet'!$E$14+1,1))-AVERAGE(OFFSET($H$3,0,0,'Données projet'!$E$14+1,1))</f>
        <v>91.201152634762423</v>
      </c>
      <c r="DU101" s="62">
        <f t="shared" si="98"/>
        <v>233.36981992862445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projet'!$B$14,Paramètres!$A$1:$I$88,3,0)*0.475*44/12</f>
        <v>10.782958105007891</v>
      </c>
      <c r="EB101" s="23">
        <f>EXP(-LN(2)/25)*EB100+(1-EXP(-LN(2)/25))/(LN(2)/25)*Calculateur!DW101*Calculateur!DY101*VLOOKUP('Données projet'!$B$14,Paramètres!$A$1:$I$88,3,0)*0.475*44/12</f>
        <v>0</v>
      </c>
      <c r="EC101" s="23">
        <f>EXP(-LN(2)/2)*EC100+(1-EXP(-LN(2)/2))/(LN(2)/2)*DW101*DZ101*VLOOKUP('Données projet'!$B$14,Paramètres!$A$1:$I$88,3,0)*0.475*44/12</f>
        <v>0</v>
      </c>
      <c r="ED101" s="24">
        <f t="shared" si="72"/>
        <v>10.782958105007891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68.515299304116837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projet'!$B$15,Paramètres!$A$1:$I$88,3,0)*0.475*44/12</f>
        <v>#N/A</v>
      </c>
      <c r="EW101" s="23" t="e">
        <f>EXP(-LN(2)/25)*EW100+(1-EXP(-LN(2)/25))/(LN(2)/25)*Calculateur!ER101*Calculateur!ET101*VLOOKUP('Données projet'!$B$15,Paramètres!$A$1:$I$88,3,0)*0.475*44/12</f>
        <v>#N/A</v>
      </c>
      <c r="EX101" s="23" t="e">
        <f>EXP(-LN(2)/2)*EX100+(1-EXP(-LN(2)/2))/(LN(2)/2)*ER101*EU101*VLOOKUP('Données projet'!$B$15,Paramètres!$A$1:$I$88,3,0)*0.475*44/12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68.515299304116837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projet'!$B$16,Paramètres!$A$1:$I$88,3,0)*0.475*44/12</f>
        <v>#N/A</v>
      </c>
      <c r="FR101" s="23" t="e">
        <f>EXP(-LN(2)/25)*FR100+(1-EXP(-LN(2)/25))/(LN(2)/25)*Calculateur!FM101*Calculateur!FO101*VLOOKUP('Données projet'!$B$16,Paramètres!$A$1:$I$88,3,0)*0.475*44/12</f>
        <v>#N/A</v>
      </c>
      <c r="FS101" s="23" t="e">
        <f>EXP(-LN(2)/2)*FS100+(1-EXP(-LN(2)/2))/(LN(2)/2)*FM101*FP101*VLOOKUP('Données projet'!$B$16,Paramètres!$A$1:$I$88,3,0)*0.475*44/12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68.515299304116837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projet'!$B$17,Paramètres!$A$1:$I$88,3,0)*0.475*44/12</f>
        <v>#N/A</v>
      </c>
      <c r="GM101" s="23" t="e">
        <f>EXP(-LN(2)/25)*GM100+(1-EXP(-LN(2)/25))/(LN(2)/25)*Calculateur!GH101*Calculateur!GJ101*VLOOKUP('Données projet'!$B$17,Paramètres!$A$1:$I$88,3,0)*0.475*44/12</f>
        <v>#N/A</v>
      </c>
      <c r="GN101" s="23" t="e">
        <f>EXP(-LN(2)/2)*GN100+(1-EXP(-LN(2)/2))/(LN(2)/2)*GH101*GK101*VLOOKUP('Données projet'!$B$17,Paramètres!$A$1:$I$88,3,0)*0.475*44/12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68.515299304116837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projet'!$B$18,Paramètres!$A$1:$I$88,3,0)*0.475*44/12</f>
        <v>#N/A</v>
      </c>
      <c r="HH101" s="23" t="e">
        <f>EXP(-LN(2)/25)*HH100+(1-EXP(-LN(2)/25))/(LN(2)/25)*Calculateur!HC101*Calculateur!HE101*VLOOKUP('Données projet'!$B$18,Paramètres!$A$1:$I$88,3,0)*0.475*44/12</f>
        <v>#N/A</v>
      </c>
      <c r="HI101" s="23" t="e">
        <f>EXP(-LN(2)/2)*HI100+(1-EXP(-LN(2)/2))/(LN(2)/2)*HC101*HF101*VLOOKUP('Données projet'!$B$18,Paramètres!$A$1:$I$88,3,0)*0.475*44/12</f>
        <v>#N/A</v>
      </c>
      <c r="HJ101" s="24" t="e">
        <f t="shared" si="84"/>
        <v>#N/A</v>
      </c>
    </row>
    <row r="102" spans="1:218" s="5" customFormat="1" x14ac:dyDescent="0.2">
      <c r="A102" s="11">
        <f t="shared" si="85"/>
        <v>99</v>
      </c>
      <c r="B102" s="77">
        <f>'Scénario référence'!$B$16*5+'Scénario référence'!$B$17*0+'Scénario référence'!$B$18*5</f>
        <v>1.6500000000000001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6.0500000000000007</v>
      </c>
      <c r="H102" s="70">
        <f t="shared" si="56"/>
        <v>232.4666666666667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68.541055541896924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projet'!$B$9,Paramètres!$A$1:$I$88,3,0)*VLOOKUP('Données projet'!$B$9,Paramètres!$A$1:$I$88,5,0)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287.98387032029075</v>
      </c>
      <c r="S102" s="62">
        <f ca="1">AVERAGE(OFFSET($R$3,0,0,'Données projet'!$E$9+1,1))-AVERAGE(OFFSET($H$3,0,0,'Données projet'!$E$9+1,1))</f>
        <v>354.71367224254021</v>
      </c>
      <c r="T102" s="62">
        <f t="shared" si="88"/>
        <v>490.074370133397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80.024264329069084</v>
      </c>
      <c r="AA102" s="23">
        <f>EXP(-LN(2)/25)*AA101+(1-EXP(-LN(2)/25))/(LN(2)/25)*Calculateur!V102*Calculateur!X102*VLOOKUP('Données projet'!$B$9,Paramètres!$A$1:$I$88,3,0)*0.475*44/12</f>
        <v>12.564559504059543</v>
      </c>
      <c r="AB102" s="23">
        <f>EXP(-LN(2)/2)*AB101+(1-EXP(-LN(2)/2))/(LN(2)/2)*V102*Y102*VLOOKUP('Données projet'!$B$9,Paramètres!$A$1:$I$88,3,0)*0.475*44/12</f>
        <v>7.6769512813232559E-7</v>
      </c>
      <c r="AC102" s="24">
        <f t="shared" si="57"/>
        <v>92.588824600823756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68.541055541896924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2.2737367544323206E-13</v>
      </c>
      <c r="AJ102" s="14">
        <f>AI102*VLOOKUP('Données projet'!$B$10,Paramètres!$A$1:$I$88,3,0)*VLOOKUP('Données projet'!$B$10,Paramètres!$A$1:$I$88,5,0)</f>
        <v>1.3596945791505279E-13</v>
      </c>
      <c r="AK102" s="14">
        <f t="shared" si="89"/>
        <v>1.9708830566360721E-12</v>
      </c>
      <c r="AL102" s="22">
        <f t="shared" si="58"/>
        <v>3.669434796176543E-12</v>
      </c>
      <c r="AM102" s="62">
        <f t="shared" si="59"/>
        <v>287.98387032029245</v>
      </c>
      <c r="AN102" s="62">
        <f ca="1">AVERAGE(OFFSET($AM$3,0,0,'Données projet'!$E$10+1,1))-AVERAGE(OFFSET($H$3,0,0,'Données projet'!$E$10+1,1))</f>
        <v>264.73276096087574</v>
      </c>
      <c r="AO102" s="62">
        <f t="shared" si="90"/>
        <v>381.84464918049662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projet'!$B$10,Paramètres!$A$1:$I$88,3,0)*0.475*44/12</f>
        <v>56.121525071979427</v>
      </c>
      <c r="AV102" s="23">
        <f>EXP(-LN(2)/25)*AV101+(1-EXP(-LN(2)/25))/(LN(2)/25)*Calculateur!AQ102*Calculateur!AS102*VLOOKUP('Données projet'!$B$10,Paramètres!$A$1:$I$88,3,0)*0.475*44/12</f>
        <v>8.8270071853230156</v>
      </c>
      <c r="AW102" s="23">
        <f>EXP(-LN(2)/2)*AW101+(1-EXP(-LN(2)/2))/(LN(2)/2)*AQ102*AT102*VLOOKUP('Données projet'!$B$10,Paramètres!$A$1:$I$88,3,0)*0.475*44/12</f>
        <v>5.3754648976899603E-7</v>
      </c>
      <c r="AX102" s="23">
        <f t="shared" si="60"/>
        <v>64.94853279484893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68.541055541896924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4.8</v>
      </c>
      <c r="BD102" s="13">
        <f>IF('Données projet'!$A$88&gt;35,BD101+BC102-BL101,IF(A102&lt;'Données projet'!$A$88,$BA$205^A102,IF(A102='Données projet'!$A$88,'Données projet'!$B$88,BD101+BC102-BL101)))</f>
        <v>277.19999999999987</v>
      </c>
      <c r="BE102" s="14">
        <f>BD102*VLOOKUP('Données projet'!$B$11,Paramètres!$A$1:$I$88,3,0)*VLOOKUP('Données projet'!$B$11,Paramètres!$A$1:$I$88,5,0)</f>
        <v>315.67535999999984</v>
      </c>
      <c r="BF102" s="14">
        <f t="shared" si="91"/>
        <v>74.452816868772061</v>
      </c>
      <c r="BG102" s="22">
        <f t="shared" si="61"/>
        <v>679.47324137977773</v>
      </c>
      <c r="BH102" s="62">
        <f t="shared" si="62"/>
        <v>967.45711170006643</v>
      </c>
      <c r="BI102" s="62">
        <f ca="1">AVERAGE(OFFSET($BH$3,0,0,'Données projet'!$E$11+1,1))-AVERAGE(OFFSET($H$3,0,0,'Données projet'!$E$11+1,1))</f>
        <v>470.57532875732056</v>
      </c>
      <c r="BJ102" s="62">
        <f t="shared" si="92"/>
        <v>286.63787681165888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projet'!$B$11,Paramètres!$A$1:$I$88,3,0)*0.475*44/12</f>
        <v>32.219567344169747</v>
      </c>
      <c r="BQ102" s="23">
        <f>EXP(-LN(2)/25)*BQ101+(1-EXP(-LN(2)/25))/(LN(2)/25)*Calculateur!BL102*Calculateur!BN102*VLOOKUP('Données projet'!$B$11,Paramètres!$A$1:$I$88,3,0)*0.475*44/12</f>
        <v>0</v>
      </c>
      <c r="BR102" s="23">
        <f>EXP(-LN(2)/2)*BR101+(1-EXP(-LN(2)/2))/(LN(2)/2)*BL102*BO102*VLOOKUP('Données projet'!$B$11,Paramètres!$A$1:$I$88,3,0)*0.475*44/12</f>
        <v>0</v>
      </c>
      <c r="BS102" s="24">
        <f t="shared" si="63"/>
        <v>32.219567344169747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68.541055541896924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-2.2737367544323206E-13</v>
      </c>
      <c r="BZ102" s="14">
        <f>BY102*VLOOKUP('Données projet'!$B$12,Paramètres!$A$1:$I$88,3,0)*VLOOKUP('Données projet'!$B$12,Paramètres!$A$1:$I$88,5,0)</f>
        <v>-1.4897523215040565E-13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305.38855494899906</v>
      </c>
      <c r="CE102" s="62">
        <f t="shared" si="94"/>
        <v>298.48106301229177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projet'!$B$12,Paramètres!$A$1:$I$88,3,0)*0.475*44/12</f>
        <v>58.200098680034124</v>
      </c>
      <c r="CL102" s="23">
        <f>EXP(-LN(2)/25)*CL101+(1-EXP(-LN(2)/25))/(LN(2)/25)*Calculateur!CG102*Calculateur!CI102*VLOOKUP('Données projet'!$B$12,Paramètres!$A$1:$I$88,3,0)*0.475*44/12</f>
        <v>0</v>
      </c>
      <c r="CM102" s="23">
        <f>EXP(-LN(2)/2)*CM101+(1-EXP(-LN(2)/2))/(LN(2)/2)*CG102*CJ102*VLOOKUP('Données projet'!$B$12,Paramètres!$A$1:$I$88,3,0)*0.475*44/12</f>
        <v>0</v>
      </c>
      <c r="CN102" s="24">
        <f t="shared" si="66"/>
        <v>58.200098680034124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68.541055541896924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-2.2737367544323206E-13</v>
      </c>
      <c r="CU102" s="18">
        <f>CT102*VLOOKUP('Données projet'!$B$13,Paramètres!$A$1:$I$88,3,0)*VLOOKUP('Données projet'!$B$13,Paramètres!$A$1:$I$88,5,0)</f>
        <v>-1.8089849618263545E-13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361.30066984973894</v>
      </c>
      <c r="CZ102" s="62">
        <f t="shared" si="96"/>
        <v>351.78053157121622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projet'!$B$13,Paramètres!$A$1:$I$88,3,0)*0.475*44/12</f>
        <v>87.106792210482951</v>
      </c>
      <c r="DG102" s="23">
        <f>EXP(-LN(2)/25)*DG101+(1-EXP(-LN(2)/25))/(LN(2)/25)*Calculateur!DB102*Calculateur!DD102*VLOOKUP('Données projet'!$B$13,Paramètres!$A$1:$I$88,3,0)*0.475*44/12</f>
        <v>0</v>
      </c>
      <c r="DH102" s="23">
        <f>EXP(-LN(2)/2)*DH101+(1-EXP(-LN(2)/2))/(LN(2)/2)*DB102*DE102*VLOOKUP('Données projet'!$B$13,Paramètres!$A$1:$I$88,3,0)*0.475*44/12</f>
        <v>0</v>
      </c>
      <c r="DI102" s="24">
        <f t="shared" si="69"/>
        <v>87.106792210482951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68.541055541896924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>
        <f>DO102*VLOOKUP('Données projet'!$B$14,Paramètres!$A$1:$I$88,3,0)*VLOOKUP('Données projet'!$B$14,Paramètres!$A$1:$I$88,5,0)</f>
        <v>0</v>
      </c>
      <c r="DQ102" s="14" t="e">
        <f t="shared" si="97"/>
        <v>#NUM!</v>
      </c>
      <c r="DR102" s="22" t="e">
        <f t="shared" si="70"/>
        <v>#NUM!</v>
      </c>
      <c r="DS102" s="62" t="e">
        <f t="shared" si="71"/>
        <v>#NUM!</v>
      </c>
      <c r="DT102" s="62">
        <f ca="1">AVERAGE(OFFSET($DS$3,0,0,'Données projet'!$E$14+1,1))-AVERAGE(OFFSET($H$3,0,0,'Données projet'!$E$14+1,1))</f>
        <v>91.201152634762423</v>
      </c>
      <c r="DU102" s="62">
        <f t="shared" si="98"/>
        <v>233.36981992862445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projet'!$B$14,Paramètres!$A$1:$I$88,3,0)*0.475*44/12</f>
        <v>10.57151087352371</v>
      </c>
      <c r="EB102" s="23">
        <f>EXP(-LN(2)/25)*EB101+(1-EXP(-LN(2)/25))/(LN(2)/25)*Calculateur!DW102*Calculateur!DY102*VLOOKUP('Données projet'!$B$14,Paramètres!$A$1:$I$88,3,0)*0.475*44/12</f>
        <v>0</v>
      </c>
      <c r="EC102" s="23">
        <f>EXP(-LN(2)/2)*EC101+(1-EXP(-LN(2)/2))/(LN(2)/2)*DW102*DZ102*VLOOKUP('Données projet'!$B$14,Paramètres!$A$1:$I$88,3,0)*0.475*44/12</f>
        <v>0</v>
      </c>
      <c r="ED102" s="24">
        <f t="shared" si="72"/>
        <v>10.57151087352371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68.541055541896924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projet'!$B$15,Paramètres!$A$1:$I$88,3,0)*0.475*44/12</f>
        <v>#N/A</v>
      </c>
      <c r="EW102" s="23" t="e">
        <f>EXP(-LN(2)/25)*EW101+(1-EXP(-LN(2)/25))/(LN(2)/25)*Calculateur!ER102*Calculateur!ET102*VLOOKUP('Données projet'!$B$15,Paramètres!$A$1:$I$88,3,0)*0.475*44/12</f>
        <v>#N/A</v>
      </c>
      <c r="EX102" s="23" t="e">
        <f>EXP(-LN(2)/2)*EX101+(1-EXP(-LN(2)/2))/(LN(2)/2)*ER102*EU102*VLOOKUP('Données projet'!$B$15,Paramètres!$A$1:$I$88,3,0)*0.475*44/12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68.541055541896924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projet'!$B$16,Paramètres!$A$1:$I$88,3,0)*0.475*44/12</f>
        <v>#N/A</v>
      </c>
      <c r="FR102" s="23" t="e">
        <f>EXP(-LN(2)/25)*FR101+(1-EXP(-LN(2)/25))/(LN(2)/25)*Calculateur!FM102*Calculateur!FO102*VLOOKUP('Données projet'!$B$16,Paramètres!$A$1:$I$88,3,0)*0.475*44/12</f>
        <v>#N/A</v>
      </c>
      <c r="FS102" s="23" t="e">
        <f>EXP(-LN(2)/2)*FS101+(1-EXP(-LN(2)/2))/(LN(2)/2)*FM102*FP102*VLOOKUP('Données projet'!$B$16,Paramètres!$A$1:$I$88,3,0)*0.475*44/12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68.541055541896924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projet'!$B$17,Paramètres!$A$1:$I$88,3,0)*0.475*44/12</f>
        <v>#N/A</v>
      </c>
      <c r="GM102" s="23" t="e">
        <f>EXP(-LN(2)/25)*GM101+(1-EXP(-LN(2)/25))/(LN(2)/25)*Calculateur!GH102*Calculateur!GJ102*VLOOKUP('Données projet'!$B$17,Paramètres!$A$1:$I$88,3,0)*0.475*44/12</f>
        <v>#N/A</v>
      </c>
      <c r="GN102" s="23" t="e">
        <f>EXP(-LN(2)/2)*GN101+(1-EXP(-LN(2)/2))/(LN(2)/2)*GH102*GK102*VLOOKUP('Données projet'!$B$17,Paramètres!$A$1:$I$88,3,0)*0.475*44/12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68.541055541896924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projet'!$B$18,Paramètres!$A$1:$I$88,3,0)*0.475*44/12</f>
        <v>#N/A</v>
      </c>
      <c r="HH102" s="23" t="e">
        <f>EXP(-LN(2)/25)*HH101+(1-EXP(-LN(2)/25))/(LN(2)/25)*Calculateur!HC102*Calculateur!HE102*VLOOKUP('Données projet'!$B$18,Paramètres!$A$1:$I$88,3,0)*0.475*44/12</f>
        <v>#N/A</v>
      </c>
      <c r="HI102" s="23" t="e">
        <f>EXP(-LN(2)/2)*HI101+(1-EXP(-LN(2)/2))/(LN(2)/2)*HC102*HF102*VLOOKUP('Données projet'!$B$18,Paramètres!$A$1:$I$88,3,0)*0.475*44/12</f>
        <v>#N/A</v>
      </c>
      <c r="HJ102" s="24" t="e">
        <f t="shared" si="84"/>
        <v>#N/A</v>
      </c>
    </row>
    <row r="103" spans="1:218" s="5" customFormat="1" x14ac:dyDescent="0.2">
      <c r="A103" s="11">
        <f t="shared" si="85"/>
        <v>100</v>
      </c>
      <c r="B103" s="77">
        <f>'Scénario référence'!$B$16*5+'Scénario référence'!$B$17*0+'Scénario référence'!$B$18*5</f>
        <v>1.6500000000000001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6.0500000000000007</v>
      </c>
      <c r="H103" s="70">
        <f t="shared" si="56"/>
        <v>232.4666666666667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68.566364966533826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projet'!$B$9,Paramètres!$A$1:$I$88,3,0)*VLOOKUP('Données projet'!$B$9,Paramètres!$A$1:$I$88,5,0)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288.07667154395938</v>
      </c>
      <c r="S103" s="62">
        <f ca="1">AVERAGE(OFFSET($R$3,0,0,'Données projet'!$E$9+1,1))-AVERAGE(OFFSET($H$3,0,0,'Données projet'!$E$9+1,1))</f>
        <v>354.71367224254021</v>
      </c>
      <c r="T103" s="62">
        <f t="shared" si="88"/>
        <v>490.074370133397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78.455037315557689</v>
      </c>
      <c r="AA103" s="23">
        <f>EXP(-LN(2)/25)*AA102+(1-EXP(-LN(2)/25))/(LN(2)/25)*Calculateur!V103*Calculateur!X103*VLOOKUP('Données projet'!$B$9,Paramètres!$A$1:$I$88,3,0)*0.475*44/12</f>
        <v>12.220980963679567</v>
      </c>
      <c r="AB103" s="23">
        <f>EXP(-LN(2)/2)*AB102+(1-EXP(-LN(2)/2))/(LN(2)/2)*V103*Y103*VLOOKUP('Données projet'!$B$9,Paramètres!$A$1:$I$88,3,0)*0.475*44/12</f>
        <v>5.428424309862429E-7</v>
      </c>
      <c r="AC103" s="24">
        <f t="shared" si="57"/>
        <v>90.676018822079683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68.566364966533826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2.2737367544323206E-13</v>
      </c>
      <c r="AJ103" s="14">
        <f>AI103*VLOOKUP('Données projet'!$B$10,Paramètres!$A$1:$I$88,3,0)*VLOOKUP('Données projet'!$B$10,Paramètres!$A$1:$I$88,5,0)</f>
        <v>1.3596945791505279E-13</v>
      </c>
      <c r="AK103" s="14">
        <f t="shared" si="89"/>
        <v>1.9708830566360721E-12</v>
      </c>
      <c r="AL103" s="22">
        <f t="shared" si="58"/>
        <v>3.669434796176543E-12</v>
      </c>
      <c r="AM103" s="62">
        <f t="shared" si="59"/>
        <v>288.07667154396108</v>
      </c>
      <c r="AN103" s="62">
        <f ca="1">AVERAGE(OFFSET($AM$3,0,0,'Données projet'!$E$10+1,1))-AVERAGE(OFFSET($H$3,0,0,'Données projet'!$E$10+1,1))</f>
        <v>264.73276096087574</v>
      </c>
      <c r="AO103" s="62">
        <f t="shared" si="90"/>
        <v>381.84464918049662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projet'!$B$10,Paramètres!$A$1:$I$88,3,0)*0.475*44/12</f>
        <v>55.021016196068196</v>
      </c>
      <c r="AV103" s="23">
        <f>EXP(-LN(2)/25)*AV102+(1-EXP(-LN(2)/25))/(LN(2)/25)*Calculateur!AQ103*Calculateur!AS103*VLOOKUP('Données projet'!$B$10,Paramètres!$A$1:$I$88,3,0)*0.475*44/12</f>
        <v>8.5856322096482245</v>
      </c>
      <c r="AW103" s="23">
        <f>EXP(-LN(2)/2)*AW102+(1-EXP(-LN(2)/2))/(LN(2)/2)*AQ103*AT103*VLOOKUP('Données projet'!$B$10,Paramètres!$A$1:$I$88,3,0)*0.475*44/12</f>
        <v>3.8010276811868218E-7</v>
      </c>
      <c r="AX103" s="23">
        <f t="shared" si="60"/>
        <v>63.606648785819189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68.566364966533826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282</v>
      </c>
      <c r="BB103" s="13">
        <f>VLOOKUP(A103,'Données projet'!$A$87:$I$107,9,0)</f>
        <v>4.8</v>
      </c>
      <c r="BC103" s="13">
        <f t="array" ref="BC103">INDEX(BB:BB,MIN(IF(ISNUMBER(BB103:BB299),ROW(BB103:BB299),"")))</f>
        <v>4.8</v>
      </c>
      <c r="BD103" s="13">
        <f>IF('Données projet'!$A$88&gt;35,BD102+BC103-BL102,IF(A103&lt;'Données projet'!$A$88,$BA$205^A103,IF(A103='Données projet'!$A$88,'Données projet'!$B$88,BD102+BC103-BL102)))</f>
        <v>281.99999999999989</v>
      </c>
      <c r="BE103" s="14">
        <f>BD103*VLOOKUP('Données projet'!$B$11,Paramètres!$A$1:$I$88,3,0)*VLOOKUP('Données projet'!$B$11,Paramètres!$A$1:$I$88,5,0)</f>
        <v>321.14159999999987</v>
      </c>
      <c r="BF103" s="14">
        <f t="shared" si="91"/>
        <v>75.590836491360605</v>
      </c>
      <c r="BG103" s="22">
        <f t="shared" si="61"/>
        <v>690.9756602224528</v>
      </c>
      <c r="BH103" s="62">
        <f t="shared" si="62"/>
        <v>979.05233176641013</v>
      </c>
      <c r="BI103" s="62">
        <f ca="1">AVERAGE(OFFSET($BH$3,0,0,'Données projet'!$E$11+1,1))-AVERAGE(OFFSET($H$3,0,0,'Données projet'!$E$11+1,1))</f>
        <v>470.57532875732056</v>
      </c>
      <c r="BJ103" s="62">
        <f t="shared" si="92"/>
        <v>286.63787681165888</v>
      </c>
      <c r="BK103" s="16">
        <f>IF(ISNA(VLOOKUP(A103,'Données projet'!$A$87:$I$107,3,0)),0,VLOOKUP(A103,'Données projet'!$A$87:$I$107,3,0))</f>
        <v>17</v>
      </c>
      <c r="BL103" s="16">
        <f>IF(ISNA(VLOOKUP(A103,'Données projet'!$A$87:$I$107,4,0)),0,VLOOKUP(A103,'Données projet'!$A$87:$I$107,4,0))</f>
        <v>21</v>
      </c>
      <c r="BM103" s="17">
        <f>IF(ISNA(VLOOKUP(A103,'Données projet'!$A$87:$I$107,5,0)),0%,VLOOKUP(A103,'Données projet'!$A$87:$I$107,5,0)*VLOOKUP('Données projet'!$B$11,Paramètres!$A$1:$I$88,7,0))</f>
        <v>0.30099999999999999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projet'!$B$11,Paramètres!$A$1:$I$88,3,0)*0.475*44/12</f>
        <v>39.545329293315021</v>
      </c>
      <c r="BQ103" s="23">
        <f>EXP(-LN(2)/25)*BQ102+(1-EXP(-LN(2)/25))/(LN(2)/25)*Calculateur!BL103*Calculateur!BN103*VLOOKUP('Données projet'!$B$11,Paramètres!$A$1:$I$88,3,0)*0.475*44/12</f>
        <v>0</v>
      </c>
      <c r="BR103" s="23">
        <f>EXP(-LN(2)/2)*BR102+(1-EXP(-LN(2)/2))/(LN(2)/2)*BL103*BO103*VLOOKUP('Données projet'!$B$11,Paramètres!$A$1:$I$88,3,0)*0.475*44/12</f>
        <v>0</v>
      </c>
      <c r="BS103" s="24">
        <f t="shared" si="63"/>
        <v>39.545329293315021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68.566364966533826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-2.2737367544323206E-13</v>
      </c>
      <c r="BZ103" s="14">
        <f>BY103*VLOOKUP('Données projet'!$B$12,Paramètres!$A$1:$I$88,3,0)*VLOOKUP('Données projet'!$B$12,Paramètres!$A$1:$I$88,5,0)</f>
        <v>-1.4897523215040565E-13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305.38855494899906</v>
      </c>
      <c r="CE103" s="62">
        <f t="shared" si="94"/>
        <v>298.48106301229177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projet'!$B$12,Paramètres!$A$1:$I$88,3,0)*0.475*44/12</f>
        <v>57.058830243473658</v>
      </c>
      <c r="CL103" s="23">
        <f>EXP(-LN(2)/25)*CL102+(1-EXP(-LN(2)/25))/(LN(2)/25)*Calculateur!CG103*Calculateur!CI103*VLOOKUP('Données projet'!$B$12,Paramètres!$A$1:$I$88,3,0)*0.475*44/12</f>
        <v>0</v>
      </c>
      <c r="CM103" s="23">
        <f>EXP(-LN(2)/2)*CM102+(1-EXP(-LN(2)/2))/(LN(2)/2)*CG103*CJ103*VLOOKUP('Données projet'!$B$12,Paramètres!$A$1:$I$88,3,0)*0.475*44/12</f>
        <v>0</v>
      </c>
      <c r="CN103" s="24">
        <f t="shared" si="66"/>
        <v>57.058830243473658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68.566364966533826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-2.2737367544323206E-13</v>
      </c>
      <c r="CU103" s="18">
        <f>CT103*VLOOKUP('Données projet'!$B$13,Paramètres!$A$1:$I$88,3,0)*VLOOKUP('Données projet'!$B$13,Paramètres!$A$1:$I$88,5,0)</f>
        <v>-1.8089849618263545E-13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361.30066984973894</v>
      </c>
      <c r="CZ103" s="62">
        <f t="shared" si="96"/>
        <v>351.78053157121622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projet'!$B$13,Paramètres!$A$1:$I$88,3,0)*0.475*44/12</f>
        <v>85.398681145132485</v>
      </c>
      <c r="DG103" s="23">
        <f>EXP(-LN(2)/25)*DG102+(1-EXP(-LN(2)/25))/(LN(2)/25)*Calculateur!DB103*Calculateur!DD103*VLOOKUP('Données projet'!$B$13,Paramètres!$A$1:$I$88,3,0)*0.475*44/12</f>
        <v>0</v>
      </c>
      <c r="DH103" s="23">
        <f>EXP(-LN(2)/2)*DH102+(1-EXP(-LN(2)/2))/(LN(2)/2)*DB103*DE103*VLOOKUP('Données projet'!$B$13,Paramètres!$A$1:$I$88,3,0)*0.475*44/12</f>
        <v>0</v>
      </c>
      <c r="DI103" s="24">
        <f t="shared" si="69"/>
        <v>85.398681145132485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68.566364966533826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>
        <f>DO103*VLOOKUP('Données projet'!$B$14,Paramètres!$A$1:$I$88,3,0)*VLOOKUP('Données projet'!$B$14,Paramètres!$A$1:$I$88,5,0)</f>
        <v>0</v>
      </c>
      <c r="DQ103" s="14" t="e">
        <f t="shared" si="97"/>
        <v>#NUM!</v>
      </c>
      <c r="DR103" s="22" t="e">
        <f t="shared" si="70"/>
        <v>#NUM!</v>
      </c>
      <c r="DS103" s="62" t="e">
        <f t="shared" si="71"/>
        <v>#NUM!</v>
      </c>
      <c r="DT103" s="62">
        <f ca="1">AVERAGE(OFFSET($DS$3,0,0,'Données projet'!$E$14+1,1))-AVERAGE(OFFSET($H$3,0,0,'Données projet'!$E$14+1,1))</f>
        <v>91.201152634762423</v>
      </c>
      <c r="DU103" s="62">
        <f t="shared" si="98"/>
        <v>233.36981992862445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projet'!$B$14,Paramètres!$A$1:$I$88,3,0)*0.475*44/12</f>
        <v>10.364209993278857</v>
      </c>
      <c r="EB103" s="23">
        <f>EXP(-LN(2)/25)*EB102+(1-EXP(-LN(2)/25))/(LN(2)/25)*Calculateur!DW103*Calculateur!DY103*VLOOKUP('Données projet'!$B$14,Paramètres!$A$1:$I$88,3,0)*0.475*44/12</f>
        <v>0</v>
      </c>
      <c r="EC103" s="23">
        <f>EXP(-LN(2)/2)*EC102+(1-EXP(-LN(2)/2))/(LN(2)/2)*DW103*DZ103*VLOOKUP('Données projet'!$B$14,Paramètres!$A$1:$I$88,3,0)*0.475*44/12</f>
        <v>0</v>
      </c>
      <c r="ED103" s="24">
        <f t="shared" si="72"/>
        <v>10.364209993278857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68.566364966533826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projet'!$B$15,Paramètres!$A$1:$I$88,3,0)*0.475*44/12</f>
        <v>#N/A</v>
      </c>
      <c r="EW103" s="23" t="e">
        <f>EXP(-LN(2)/25)*EW102+(1-EXP(-LN(2)/25))/(LN(2)/25)*Calculateur!ER103*Calculateur!ET103*VLOOKUP('Données projet'!$B$15,Paramètres!$A$1:$I$88,3,0)*0.475*44/12</f>
        <v>#N/A</v>
      </c>
      <c r="EX103" s="23" t="e">
        <f>EXP(-LN(2)/2)*EX102+(1-EXP(-LN(2)/2))/(LN(2)/2)*ER103*EU103*VLOOKUP('Données projet'!$B$15,Paramètres!$A$1:$I$88,3,0)*0.475*44/12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68.566364966533826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projet'!$B$16,Paramètres!$A$1:$I$88,3,0)*0.475*44/12</f>
        <v>#N/A</v>
      </c>
      <c r="FR103" s="23" t="e">
        <f>EXP(-LN(2)/25)*FR102+(1-EXP(-LN(2)/25))/(LN(2)/25)*Calculateur!FM103*Calculateur!FO103*VLOOKUP('Données projet'!$B$16,Paramètres!$A$1:$I$88,3,0)*0.475*44/12</f>
        <v>#N/A</v>
      </c>
      <c r="FS103" s="23" t="e">
        <f>EXP(-LN(2)/2)*FS102+(1-EXP(-LN(2)/2))/(LN(2)/2)*FM103*FP103*VLOOKUP('Données projet'!$B$16,Paramètres!$A$1:$I$88,3,0)*0.475*44/12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68.566364966533826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projet'!$B$17,Paramètres!$A$1:$I$88,3,0)*0.475*44/12</f>
        <v>#N/A</v>
      </c>
      <c r="GM103" s="23" t="e">
        <f>EXP(-LN(2)/25)*GM102+(1-EXP(-LN(2)/25))/(LN(2)/25)*Calculateur!GH103*Calculateur!GJ103*VLOOKUP('Données projet'!$B$17,Paramètres!$A$1:$I$88,3,0)*0.475*44/12</f>
        <v>#N/A</v>
      </c>
      <c r="GN103" s="23" t="e">
        <f>EXP(-LN(2)/2)*GN102+(1-EXP(-LN(2)/2))/(LN(2)/2)*GH103*GK103*VLOOKUP('Données projet'!$B$17,Paramètres!$A$1:$I$88,3,0)*0.475*44/12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68.566364966533826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projet'!$B$18,Paramètres!$A$1:$I$88,3,0)*0.475*44/12</f>
        <v>#N/A</v>
      </c>
      <c r="HH103" s="23" t="e">
        <f>EXP(-LN(2)/25)*HH102+(1-EXP(-LN(2)/25))/(LN(2)/25)*Calculateur!HC103*Calculateur!HE103*VLOOKUP('Données projet'!$B$18,Paramètres!$A$1:$I$88,3,0)*0.475*44/12</f>
        <v>#N/A</v>
      </c>
      <c r="HI103" s="23" t="e">
        <f>EXP(-LN(2)/2)*HI102+(1-EXP(-LN(2)/2))/(LN(2)/2)*HC103*HF103*VLOOKUP('Données projet'!$B$18,Paramètres!$A$1:$I$88,3,0)*0.475*44/12</f>
        <v>#N/A</v>
      </c>
      <c r="HJ103" s="24" t="e">
        <f t="shared" si="84"/>
        <v>#N/A</v>
      </c>
    </row>
    <row r="104" spans="1:218" s="5" customFormat="1" x14ac:dyDescent="0.2">
      <c r="A104" s="11">
        <f t="shared" si="85"/>
        <v>101</v>
      </c>
      <c r="B104" s="77">
        <f>'Scénario référence'!$B$16*5+'Scénario référence'!$B$17*0+'Scénario référence'!$B$18*5</f>
        <v>1.6500000000000001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6.0500000000000007</v>
      </c>
      <c r="H104" s="70">
        <f t="shared" si="56"/>
        <v>232.4666666666667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68.591235329236696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projet'!$B$9,Paramètres!$A$1:$I$88,3,0)*VLOOKUP('Données projet'!$B$9,Paramètres!$A$1:$I$88,5,0)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288.16786287386986</v>
      </c>
      <c r="S104" s="62">
        <f ca="1">AVERAGE(OFFSET($R$3,0,0,'Données projet'!$E$9+1,1))-AVERAGE(OFFSET($H$3,0,0,'Données projet'!$E$9+1,1))</f>
        <v>354.71367224254021</v>
      </c>
      <c r="T104" s="62">
        <f t="shared" si="88"/>
        <v>490.074370133397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76.916581886647293</v>
      </c>
      <c r="AA104" s="23">
        <f>EXP(-LN(2)/25)*AA103+(1-EXP(-LN(2)/25))/(LN(2)/25)*Calculateur!V104*Calculateur!X104*VLOOKUP('Données projet'!$B$9,Paramètres!$A$1:$I$88,3,0)*0.475*44/12</f>
        <v>11.886797596554292</v>
      </c>
      <c r="AB104" s="23">
        <f>EXP(-LN(2)/2)*AB103+(1-EXP(-LN(2)/2))/(LN(2)/2)*V104*Y104*VLOOKUP('Données projet'!$B$9,Paramètres!$A$1:$I$88,3,0)*0.475*44/12</f>
        <v>3.8384756406616279E-7</v>
      </c>
      <c r="AC104" s="24">
        <f t="shared" si="57"/>
        <v>88.803379867049145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68.591235329236696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2.2737367544323206E-13</v>
      </c>
      <c r="AJ104" s="14">
        <f>AI104*VLOOKUP('Données projet'!$B$10,Paramètres!$A$1:$I$88,3,0)*VLOOKUP('Données projet'!$B$10,Paramètres!$A$1:$I$88,5,0)</f>
        <v>1.3596945791505279E-13</v>
      </c>
      <c r="AK104" s="14">
        <f t="shared" si="89"/>
        <v>1.9708830566360721E-12</v>
      </c>
      <c r="AL104" s="22">
        <f t="shared" si="58"/>
        <v>3.669434796176543E-12</v>
      </c>
      <c r="AM104" s="62">
        <f t="shared" si="59"/>
        <v>288.16786287387157</v>
      </c>
      <c r="AN104" s="62">
        <f ca="1">AVERAGE(OFFSET($AM$3,0,0,'Données projet'!$E$10+1,1))-AVERAGE(OFFSET($H$3,0,0,'Données projet'!$E$10+1,1))</f>
        <v>264.73276096087574</v>
      </c>
      <c r="AO104" s="62">
        <f t="shared" si="90"/>
        <v>381.84464918049662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projet'!$B$10,Paramètres!$A$1:$I$88,3,0)*0.475*44/12</f>
        <v>53.94208762796945</v>
      </c>
      <c r="AV104" s="23">
        <f>EXP(-LN(2)/25)*AV103+(1-EXP(-LN(2)/25))/(LN(2)/25)*Calculateur!AQ104*Calculateur!AS104*VLOOKUP('Données projet'!$B$10,Paramètres!$A$1:$I$88,3,0)*0.475*44/12</f>
        <v>8.3508576453766192</v>
      </c>
      <c r="AW104" s="23">
        <f>EXP(-LN(2)/2)*AW103+(1-EXP(-LN(2)/2))/(LN(2)/2)*AQ104*AT104*VLOOKUP('Données projet'!$B$10,Paramètres!$A$1:$I$88,3,0)*0.475*44/12</f>
        <v>2.6877324488449801E-7</v>
      </c>
      <c r="AX104" s="23">
        <f t="shared" si="60"/>
        <v>62.292945542119313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68.591235329236696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4.5999999999999996</v>
      </c>
      <c r="BD104" s="13">
        <f>IF('Données projet'!$A$88&gt;35,BD103+BC104-BL103,IF(A104&lt;'Données projet'!$A$88,$BA$205^A104,IF(A104='Données projet'!$A$88,'Données projet'!$B$88,BD103+BC104-BL103)))</f>
        <v>265.59999999999991</v>
      </c>
      <c r="BE104" s="14">
        <f>BD104*VLOOKUP('Données projet'!$B$11,Paramètres!$A$1:$I$88,3,0)*VLOOKUP('Données projet'!$B$11,Paramètres!$A$1:$I$88,5,0)</f>
        <v>302.46527999999989</v>
      </c>
      <c r="BF104" s="14">
        <f t="shared" si="91"/>
        <v>71.693034433427599</v>
      </c>
      <c r="BG104" s="22">
        <f t="shared" si="61"/>
        <v>651.65906430488621</v>
      </c>
      <c r="BH104" s="62">
        <f t="shared" si="62"/>
        <v>939.82692717875409</v>
      </c>
      <c r="BI104" s="62">
        <f ca="1">AVERAGE(OFFSET($BH$3,0,0,'Données projet'!$E$11+1,1))-AVERAGE(OFFSET($H$3,0,0,'Données projet'!$E$11+1,1))</f>
        <v>470.57532875732056</v>
      </c>
      <c r="BJ104" s="62">
        <f t="shared" si="92"/>
        <v>286.63787681165888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projet'!$B$11,Paramètres!$A$1:$I$88,3,0)*0.475*44/12</f>
        <v>38.769869506142307</v>
      </c>
      <c r="BQ104" s="23">
        <f>EXP(-LN(2)/25)*BQ103+(1-EXP(-LN(2)/25))/(LN(2)/25)*Calculateur!BL104*Calculateur!BN104*VLOOKUP('Données projet'!$B$11,Paramètres!$A$1:$I$88,3,0)*0.475*44/12</f>
        <v>0</v>
      </c>
      <c r="BR104" s="23">
        <f>EXP(-LN(2)/2)*BR103+(1-EXP(-LN(2)/2))/(LN(2)/2)*BL104*BO104*VLOOKUP('Données projet'!$B$11,Paramètres!$A$1:$I$88,3,0)*0.475*44/12</f>
        <v>0</v>
      </c>
      <c r="BS104" s="24">
        <f t="shared" si="63"/>
        <v>38.769869506142307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68.591235329236696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-2.2737367544323206E-13</v>
      </c>
      <c r="BZ104" s="14">
        <f>BY104*VLOOKUP('Données projet'!$B$12,Paramètres!$A$1:$I$88,3,0)*VLOOKUP('Données projet'!$B$12,Paramètres!$A$1:$I$88,5,0)</f>
        <v>-1.4897523215040565E-13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305.38855494899906</v>
      </c>
      <c r="CE104" s="62">
        <f t="shared" si="94"/>
        <v>298.48106301229177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projet'!$B$12,Paramètres!$A$1:$I$88,3,0)*0.475*44/12</f>
        <v>55.939941384849128</v>
      </c>
      <c r="CL104" s="23">
        <f>EXP(-LN(2)/25)*CL103+(1-EXP(-LN(2)/25))/(LN(2)/25)*Calculateur!CG104*Calculateur!CI104*VLOOKUP('Données projet'!$B$12,Paramètres!$A$1:$I$88,3,0)*0.475*44/12</f>
        <v>0</v>
      </c>
      <c r="CM104" s="23">
        <f>EXP(-LN(2)/2)*CM103+(1-EXP(-LN(2)/2))/(LN(2)/2)*CG104*CJ104*VLOOKUP('Données projet'!$B$12,Paramètres!$A$1:$I$88,3,0)*0.475*44/12</f>
        <v>0</v>
      </c>
      <c r="CN104" s="24">
        <f t="shared" si="66"/>
        <v>55.939941384849128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68.591235329236696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-2.2737367544323206E-13</v>
      </c>
      <c r="CU104" s="18">
        <f>CT104*VLOOKUP('Données projet'!$B$13,Paramètres!$A$1:$I$88,3,0)*VLOOKUP('Données projet'!$B$13,Paramètres!$A$1:$I$88,5,0)</f>
        <v>-1.8089849618263545E-13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361.30066984973894</v>
      </c>
      <c r="CZ104" s="62">
        <f t="shared" si="96"/>
        <v>351.78053157121622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projet'!$B$13,Paramètres!$A$1:$I$88,3,0)*0.475*44/12</f>
        <v>83.724065095928665</v>
      </c>
      <c r="DG104" s="23">
        <f>EXP(-LN(2)/25)*DG103+(1-EXP(-LN(2)/25))/(LN(2)/25)*Calculateur!DB104*Calculateur!DD104*VLOOKUP('Données projet'!$B$13,Paramètres!$A$1:$I$88,3,0)*0.475*44/12</f>
        <v>0</v>
      </c>
      <c r="DH104" s="23">
        <f>EXP(-LN(2)/2)*DH103+(1-EXP(-LN(2)/2))/(LN(2)/2)*DB104*DE104*VLOOKUP('Données projet'!$B$13,Paramètres!$A$1:$I$88,3,0)*0.475*44/12</f>
        <v>0</v>
      </c>
      <c r="DI104" s="24">
        <f t="shared" si="69"/>
        <v>83.724065095928665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68.591235329236696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>
        <f>DO104*VLOOKUP('Données projet'!$B$14,Paramètres!$A$1:$I$88,3,0)*VLOOKUP('Données projet'!$B$14,Paramètres!$A$1:$I$88,5,0)</f>
        <v>0</v>
      </c>
      <c r="DQ104" s="14" t="e">
        <f t="shared" si="97"/>
        <v>#NUM!</v>
      </c>
      <c r="DR104" s="22" t="e">
        <f t="shared" si="70"/>
        <v>#NUM!</v>
      </c>
      <c r="DS104" s="62" t="e">
        <f t="shared" si="71"/>
        <v>#NUM!</v>
      </c>
      <c r="DT104" s="62">
        <f ca="1">AVERAGE(OFFSET($DS$3,0,0,'Données projet'!$E$14+1,1))-AVERAGE(OFFSET($H$3,0,0,'Données projet'!$E$14+1,1))</f>
        <v>91.201152634762423</v>
      </c>
      <c r="DU104" s="62">
        <f t="shared" si="98"/>
        <v>233.36981992862445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projet'!$B$14,Paramètres!$A$1:$I$88,3,0)*0.475*44/12</f>
        <v>10.160974156854554</v>
      </c>
      <c r="EB104" s="23">
        <f>EXP(-LN(2)/25)*EB103+(1-EXP(-LN(2)/25))/(LN(2)/25)*Calculateur!DW104*Calculateur!DY104*VLOOKUP('Données projet'!$B$14,Paramètres!$A$1:$I$88,3,0)*0.475*44/12</f>
        <v>0</v>
      </c>
      <c r="EC104" s="23">
        <f>EXP(-LN(2)/2)*EC103+(1-EXP(-LN(2)/2))/(LN(2)/2)*DW104*DZ104*VLOOKUP('Données projet'!$B$14,Paramètres!$A$1:$I$88,3,0)*0.475*44/12</f>
        <v>0</v>
      </c>
      <c r="ED104" s="24">
        <f t="shared" si="72"/>
        <v>10.160974156854554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68.591235329236696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projet'!$B$15,Paramètres!$A$1:$I$88,3,0)*0.475*44/12</f>
        <v>#N/A</v>
      </c>
      <c r="EW104" s="23" t="e">
        <f>EXP(-LN(2)/25)*EW103+(1-EXP(-LN(2)/25))/(LN(2)/25)*Calculateur!ER104*Calculateur!ET104*VLOOKUP('Données projet'!$B$15,Paramètres!$A$1:$I$88,3,0)*0.475*44/12</f>
        <v>#N/A</v>
      </c>
      <c r="EX104" s="23" t="e">
        <f>EXP(-LN(2)/2)*EX103+(1-EXP(-LN(2)/2))/(LN(2)/2)*ER104*EU104*VLOOKUP('Données projet'!$B$15,Paramètres!$A$1:$I$88,3,0)*0.475*44/12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68.591235329236696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projet'!$B$16,Paramètres!$A$1:$I$88,3,0)*0.475*44/12</f>
        <v>#N/A</v>
      </c>
      <c r="FR104" s="23" t="e">
        <f>EXP(-LN(2)/25)*FR103+(1-EXP(-LN(2)/25))/(LN(2)/25)*Calculateur!FM104*Calculateur!FO104*VLOOKUP('Données projet'!$B$16,Paramètres!$A$1:$I$88,3,0)*0.475*44/12</f>
        <v>#N/A</v>
      </c>
      <c r="FS104" s="23" t="e">
        <f>EXP(-LN(2)/2)*FS103+(1-EXP(-LN(2)/2))/(LN(2)/2)*FM104*FP104*VLOOKUP('Données projet'!$B$16,Paramètres!$A$1:$I$88,3,0)*0.475*44/12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68.591235329236696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projet'!$B$17,Paramètres!$A$1:$I$88,3,0)*0.475*44/12</f>
        <v>#N/A</v>
      </c>
      <c r="GM104" s="23" t="e">
        <f>EXP(-LN(2)/25)*GM103+(1-EXP(-LN(2)/25))/(LN(2)/25)*Calculateur!GH104*Calculateur!GJ104*VLOOKUP('Données projet'!$B$17,Paramètres!$A$1:$I$88,3,0)*0.475*44/12</f>
        <v>#N/A</v>
      </c>
      <c r="GN104" s="23" t="e">
        <f>EXP(-LN(2)/2)*GN103+(1-EXP(-LN(2)/2))/(LN(2)/2)*GH104*GK104*VLOOKUP('Données projet'!$B$17,Paramètres!$A$1:$I$88,3,0)*0.475*44/12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68.591235329236696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projet'!$B$18,Paramètres!$A$1:$I$88,3,0)*0.475*44/12</f>
        <v>#N/A</v>
      </c>
      <c r="HH104" s="23" t="e">
        <f>EXP(-LN(2)/25)*HH103+(1-EXP(-LN(2)/25))/(LN(2)/25)*Calculateur!HC104*Calculateur!HE104*VLOOKUP('Données projet'!$B$18,Paramètres!$A$1:$I$88,3,0)*0.475*44/12</f>
        <v>#N/A</v>
      </c>
      <c r="HI104" s="23" t="e">
        <f>EXP(-LN(2)/2)*HI103+(1-EXP(-LN(2)/2))/(LN(2)/2)*HC104*HF104*VLOOKUP('Données projet'!$B$18,Paramètres!$A$1:$I$88,3,0)*0.475*44/12</f>
        <v>#N/A</v>
      </c>
      <c r="HJ104" s="24" t="e">
        <f t="shared" si="84"/>
        <v>#N/A</v>
      </c>
    </row>
    <row r="105" spans="1:218" s="5" customFormat="1" x14ac:dyDescent="0.2">
      <c r="A105" s="11">
        <f t="shared" si="85"/>
        <v>102</v>
      </c>
      <c r="B105" s="77">
        <f>'Scénario référence'!$B$16*5+'Scénario référence'!$B$17*0+'Scénario référence'!$B$18*5</f>
        <v>1.6500000000000001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6.0500000000000007</v>
      </c>
      <c r="H105" s="70">
        <f t="shared" si="56"/>
        <v>232.4666666666667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68.615674246748469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projet'!$B$9,Paramètres!$A$1:$I$88,3,0)*VLOOKUP('Données projet'!$B$9,Paramètres!$A$1:$I$88,5,0)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288.25747223807969</v>
      </c>
      <c r="S105" s="62">
        <f ca="1">AVERAGE(OFFSET($R$3,0,0,'Données projet'!$E$9+1,1))-AVERAGE(OFFSET($H$3,0,0,'Données projet'!$E$9+1,1))</f>
        <v>354.71367224254021</v>
      </c>
      <c r="T105" s="62">
        <f t="shared" si="88"/>
        <v>490.074370133397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75.408294630332676</v>
      </c>
      <c r="AA105" s="23">
        <f>EXP(-LN(2)/25)*AA104+(1-EXP(-LN(2)/25))/(LN(2)/25)*Calculateur!V105*Calculateur!X105*VLOOKUP('Données projet'!$B$9,Paramètres!$A$1:$I$88,3,0)*0.475*44/12</f>
        <v>11.561752491176996</v>
      </c>
      <c r="AB105" s="23">
        <f>EXP(-LN(2)/2)*AB104+(1-EXP(-LN(2)/2))/(LN(2)/2)*V105*Y105*VLOOKUP('Données projet'!$B$9,Paramètres!$A$1:$I$88,3,0)*0.475*44/12</f>
        <v>2.7142121549312145E-7</v>
      </c>
      <c r="AC105" s="24">
        <f t="shared" si="57"/>
        <v>86.970047392930894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68.615674246748469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2.2737367544323206E-13</v>
      </c>
      <c r="AJ105" s="14">
        <f>AI105*VLOOKUP('Données projet'!$B$10,Paramètres!$A$1:$I$88,3,0)*VLOOKUP('Données projet'!$B$10,Paramètres!$A$1:$I$88,5,0)</f>
        <v>1.3596945791505279E-13</v>
      </c>
      <c r="AK105" s="14">
        <f t="shared" si="89"/>
        <v>1.9708830566360721E-12</v>
      </c>
      <c r="AL105" s="22">
        <f t="shared" si="58"/>
        <v>3.669434796176543E-12</v>
      </c>
      <c r="AM105" s="62">
        <f t="shared" si="59"/>
        <v>288.25747223808139</v>
      </c>
      <c r="AN105" s="62">
        <f ca="1">AVERAGE(OFFSET($AM$3,0,0,'Données projet'!$E$10+1,1))-AVERAGE(OFFSET($H$3,0,0,'Données projet'!$E$10+1,1))</f>
        <v>264.73276096087574</v>
      </c>
      <c r="AO105" s="62">
        <f t="shared" si="90"/>
        <v>381.84464918049662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projet'!$B$10,Paramètres!$A$1:$I$88,3,0)*0.475*44/12</f>
        <v>52.884316191009674</v>
      </c>
      <c r="AV105" s="23">
        <f>EXP(-LN(2)/25)*AV104+(1-EXP(-LN(2)/25))/(LN(2)/25)*Calculateur!AQ105*Calculateur!AS105*VLOOKUP('Données projet'!$B$10,Paramètres!$A$1:$I$88,3,0)*0.475*44/12</f>
        <v>8.1225030039112784</v>
      </c>
      <c r="AW105" s="23">
        <f>EXP(-LN(2)/2)*AW104+(1-EXP(-LN(2)/2))/(LN(2)/2)*AQ105*AT105*VLOOKUP('Données projet'!$B$10,Paramètres!$A$1:$I$88,3,0)*0.475*44/12</f>
        <v>1.9005138405934109E-7</v>
      </c>
      <c r="AX105" s="23">
        <f t="shared" si="60"/>
        <v>61.006819384972331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68.615674246748469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4.5999999999999996</v>
      </c>
      <c r="BD105" s="13">
        <f>IF('Données projet'!$A$88&gt;35,BD104+BC105-BL104,IF(A105&lt;'Données projet'!$A$88,$BA$205^A105,IF(A105='Données projet'!$A$88,'Données projet'!$B$88,BD104+BC105-BL104)))</f>
        <v>270.19999999999993</v>
      </c>
      <c r="BE105" s="14">
        <f>BD105*VLOOKUP('Données projet'!$B$11,Paramètres!$A$1:$I$88,3,0)*VLOOKUP('Données projet'!$B$11,Paramètres!$A$1:$I$88,5,0)</f>
        <v>307.70375999999993</v>
      </c>
      <c r="BF105" s="14">
        <f t="shared" si="91"/>
        <v>72.789076562142711</v>
      </c>
      <c r="BG105" s="22">
        <f t="shared" si="61"/>
        <v>662.69169034573179</v>
      </c>
      <c r="BH105" s="62">
        <f t="shared" si="62"/>
        <v>950.94916258380954</v>
      </c>
      <c r="BI105" s="62">
        <f ca="1">AVERAGE(OFFSET($BH$3,0,0,'Données projet'!$E$11+1,1))-AVERAGE(OFFSET($H$3,0,0,'Données projet'!$E$11+1,1))</f>
        <v>470.57532875732056</v>
      </c>
      <c r="BJ105" s="62">
        <f t="shared" si="92"/>
        <v>286.63787681165888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projet'!$B$11,Paramètres!$A$1:$I$88,3,0)*0.475*44/12</f>
        <v>38.00961601241228</v>
      </c>
      <c r="BQ105" s="23">
        <f>EXP(-LN(2)/25)*BQ104+(1-EXP(-LN(2)/25))/(LN(2)/25)*Calculateur!BL105*Calculateur!BN105*VLOOKUP('Données projet'!$B$11,Paramètres!$A$1:$I$88,3,0)*0.475*44/12</f>
        <v>0</v>
      </c>
      <c r="BR105" s="23">
        <f>EXP(-LN(2)/2)*BR104+(1-EXP(-LN(2)/2))/(LN(2)/2)*BL105*BO105*VLOOKUP('Données projet'!$B$11,Paramètres!$A$1:$I$88,3,0)*0.475*44/12</f>
        <v>0</v>
      </c>
      <c r="BS105" s="24">
        <f t="shared" si="63"/>
        <v>38.00961601241228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68.615674246748469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-2.2737367544323206E-13</v>
      </c>
      <c r="BZ105" s="14">
        <f>BY105*VLOOKUP('Données projet'!$B$12,Paramètres!$A$1:$I$88,3,0)*VLOOKUP('Données projet'!$B$12,Paramètres!$A$1:$I$88,5,0)</f>
        <v>-1.4897523215040565E-13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305.38855494899906</v>
      </c>
      <c r="CE105" s="62">
        <f t="shared" si="94"/>
        <v>298.48106301229177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projet'!$B$12,Paramètres!$A$1:$I$88,3,0)*0.475*44/12</f>
        <v>54.842993254287414</v>
      </c>
      <c r="CL105" s="23">
        <f>EXP(-LN(2)/25)*CL104+(1-EXP(-LN(2)/25))/(LN(2)/25)*Calculateur!CG105*Calculateur!CI105*VLOOKUP('Données projet'!$B$12,Paramètres!$A$1:$I$88,3,0)*0.475*44/12</f>
        <v>0</v>
      </c>
      <c r="CM105" s="23">
        <f>EXP(-LN(2)/2)*CM104+(1-EXP(-LN(2)/2))/(LN(2)/2)*CG105*CJ105*VLOOKUP('Données projet'!$B$12,Paramètres!$A$1:$I$88,3,0)*0.475*44/12</f>
        <v>0</v>
      </c>
      <c r="CN105" s="24">
        <f t="shared" si="66"/>
        <v>54.842993254287414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68.615674246748469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-2.2737367544323206E-13</v>
      </c>
      <c r="CU105" s="18">
        <f>CT105*VLOOKUP('Données projet'!$B$13,Paramètres!$A$1:$I$88,3,0)*VLOOKUP('Données projet'!$B$13,Paramètres!$A$1:$I$88,5,0)</f>
        <v>-1.8089849618263545E-13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361.30066984973894</v>
      </c>
      <c r="CZ105" s="62">
        <f t="shared" si="96"/>
        <v>351.78053157121622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projet'!$B$13,Paramètres!$A$1:$I$88,3,0)*0.475*44/12</f>
        <v>82.082287246034795</v>
      </c>
      <c r="DG105" s="23">
        <f>EXP(-LN(2)/25)*DG104+(1-EXP(-LN(2)/25))/(LN(2)/25)*Calculateur!DB105*Calculateur!DD105*VLOOKUP('Données projet'!$B$13,Paramètres!$A$1:$I$88,3,0)*0.475*44/12</f>
        <v>0</v>
      </c>
      <c r="DH105" s="23">
        <f>EXP(-LN(2)/2)*DH104+(1-EXP(-LN(2)/2))/(LN(2)/2)*DB105*DE105*VLOOKUP('Données projet'!$B$13,Paramètres!$A$1:$I$88,3,0)*0.475*44/12</f>
        <v>0</v>
      </c>
      <c r="DI105" s="24">
        <f t="shared" si="69"/>
        <v>82.082287246034795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68.615674246748469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>
        <f>DO105*VLOOKUP('Données projet'!$B$14,Paramètres!$A$1:$I$88,3,0)*VLOOKUP('Données projet'!$B$14,Paramètres!$A$1:$I$88,5,0)</f>
        <v>0</v>
      </c>
      <c r="DQ105" s="14" t="e">
        <f t="shared" si="97"/>
        <v>#NUM!</v>
      </c>
      <c r="DR105" s="22" t="e">
        <f t="shared" si="70"/>
        <v>#NUM!</v>
      </c>
      <c r="DS105" s="62" t="e">
        <f t="shared" si="71"/>
        <v>#NUM!</v>
      </c>
      <c r="DT105" s="62">
        <f ca="1">AVERAGE(OFFSET($DS$3,0,0,'Données projet'!$E$14+1,1))-AVERAGE(OFFSET($H$3,0,0,'Données projet'!$E$14+1,1))</f>
        <v>91.201152634762423</v>
      </c>
      <c r="DU105" s="62">
        <f t="shared" si="98"/>
        <v>233.36981992862445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projet'!$B$14,Paramètres!$A$1:$I$88,3,0)*0.475*44/12</f>
        <v>9.9617236512209111</v>
      </c>
      <c r="EB105" s="23">
        <f>EXP(-LN(2)/25)*EB104+(1-EXP(-LN(2)/25))/(LN(2)/25)*Calculateur!DW105*Calculateur!DY105*VLOOKUP('Données projet'!$B$14,Paramètres!$A$1:$I$88,3,0)*0.475*44/12</f>
        <v>0</v>
      </c>
      <c r="EC105" s="23">
        <f>EXP(-LN(2)/2)*EC104+(1-EXP(-LN(2)/2))/(LN(2)/2)*DW105*DZ105*VLOOKUP('Données projet'!$B$14,Paramètres!$A$1:$I$88,3,0)*0.475*44/12</f>
        <v>0</v>
      </c>
      <c r="ED105" s="24">
        <f t="shared" si="72"/>
        <v>9.9617236512209111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68.615674246748469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projet'!$B$15,Paramètres!$A$1:$I$88,3,0)*0.475*44/12</f>
        <v>#N/A</v>
      </c>
      <c r="EW105" s="23" t="e">
        <f>EXP(-LN(2)/25)*EW104+(1-EXP(-LN(2)/25))/(LN(2)/25)*Calculateur!ER105*Calculateur!ET105*VLOOKUP('Données projet'!$B$15,Paramètres!$A$1:$I$88,3,0)*0.475*44/12</f>
        <v>#N/A</v>
      </c>
      <c r="EX105" s="23" t="e">
        <f>EXP(-LN(2)/2)*EX104+(1-EXP(-LN(2)/2))/(LN(2)/2)*ER105*EU105*VLOOKUP('Données projet'!$B$15,Paramètres!$A$1:$I$88,3,0)*0.475*44/12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68.615674246748469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projet'!$B$16,Paramètres!$A$1:$I$88,3,0)*0.475*44/12</f>
        <v>#N/A</v>
      </c>
      <c r="FR105" s="23" t="e">
        <f>EXP(-LN(2)/25)*FR104+(1-EXP(-LN(2)/25))/(LN(2)/25)*Calculateur!FM105*Calculateur!FO105*VLOOKUP('Données projet'!$B$16,Paramètres!$A$1:$I$88,3,0)*0.475*44/12</f>
        <v>#N/A</v>
      </c>
      <c r="FS105" s="23" t="e">
        <f>EXP(-LN(2)/2)*FS104+(1-EXP(-LN(2)/2))/(LN(2)/2)*FM105*FP105*VLOOKUP('Données projet'!$B$16,Paramètres!$A$1:$I$88,3,0)*0.475*44/12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68.615674246748469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projet'!$B$17,Paramètres!$A$1:$I$88,3,0)*0.475*44/12</f>
        <v>#N/A</v>
      </c>
      <c r="GM105" s="23" t="e">
        <f>EXP(-LN(2)/25)*GM104+(1-EXP(-LN(2)/25))/(LN(2)/25)*Calculateur!GH105*Calculateur!GJ105*VLOOKUP('Données projet'!$B$17,Paramètres!$A$1:$I$88,3,0)*0.475*44/12</f>
        <v>#N/A</v>
      </c>
      <c r="GN105" s="23" t="e">
        <f>EXP(-LN(2)/2)*GN104+(1-EXP(-LN(2)/2))/(LN(2)/2)*GH105*GK105*VLOOKUP('Données projet'!$B$17,Paramètres!$A$1:$I$88,3,0)*0.475*44/12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68.615674246748469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projet'!$B$18,Paramètres!$A$1:$I$88,3,0)*0.475*44/12</f>
        <v>#N/A</v>
      </c>
      <c r="HH105" s="23" t="e">
        <f>EXP(-LN(2)/25)*HH104+(1-EXP(-LN(2)/25))/(LN(2)/25)*Calculateur!HC105*Calculateur!HE105*VLOOKUP('Données projet'!$B$18,Paramètres!$A$1:$I$88,3,0)*0.475*44/12</f>
        <v>#N/A</v>
      </c>
      <c r="HI105" s="23" t="e">
        <f>EXP(-LN(2)/2)*HI104+(1-EXP(-LN(2)/2))/(LN(2)/2)*HC105*HF105*VLOOKUP('Données projet'!$B$18,Paramètres!$A$1:$I$88,3,0)*0.475*44/12</f>
        <v>#N/A</v>
      </c>
      <c r="HJ105" s="24" t="e">
        <f t="shared" si="84"/>
        <v>#N/A</v>
      </c>
    </row>
    <row r="106" spans="1:218" s="5" customFormat="1" x14ac:dyDescent="0.2">
      <c r="A106" s="11">
        <f t="shared" si="85"/>
        <v>103</v>
      </c>
      <c r="B106" s="77">
        <f>'Scénario référence'!$B$16*5+'Scénario référence'!$B$17*0+'Scénario référence'!$B$18*5</f>
        <v>1.6500000000000001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6.0500000000000007</v>
      </c>
      <c r="H106" s="70">
        <f t="shared" si="56"/>
        <v>232.4666666666667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68.639689203678643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projet'!$B$9,Paramètres!$A$1:$I$88,3,0)*VLOOKUP('Données projet'!$B$9,Paramètres!$A$1:$I$88,5,0)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288.34552708015701</v>
      </c>
      <c r="S106" s="62">
        <f ca="1">AVERAGE(OFFSET($R$3,0,0,'Données projet'!$E$9+1,1))-AVERAGE(OFFSET($H$3,0,0,'Données projet'!$E$9+1,1))</f>
        <v>354.71367224254021</v>
      </c>
      <c r="T106" s="62">
        <f t="shared" si="88"/>
        <v>490.074370133397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73.929583967149995</v>
      </c>
      <c r="AA106" s="23">
        <f>EXP(-LN(2)/25)*AA105+(1-EXP(-LN(2)/25))/(LN(2)/25)*Calculateur!V106*Calculateur!X106*VLOOKUP('Données projet'!$B$9,Paramètres!$A$1:$I$88,3,0)*0.475*44/12</f>
        <v>11.245595761299622</v>
      </c>
      <c r="AB106" s="23">
        <f>EXP(-LN(2)/2)*AB105+(1-EXP(-LN(2)/2))/(LN(2)/2)*V106*Y106*VLOOKUP('Données projet'!$B$9,Paramètres!$A$1:$I$88,3,0)*0.475*44/12</f>
        <v>1.919237820330814E-7</v>
      </c>
      <c r="AC106" s="24">
        <f t="shared" si="57"/>
        <v>85.175179920373409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68.639689203678643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2.2737367544323206E-13</v>
      </c>
      <c r="AJ106" s="14">
        <f>AI106*VLOOKUP('Données projet'!$B$10,Paramètres!$A$1:$I$88,3,0)*VLOOKUP('Données projet'!$B$10,Paramètres!$A$1:$I$88,5,0)</f>
        <v>1.3596945791505279E-13</v>
      </c>
      <c r="AK106" s="14">
        <f t="shared" si="89"/>
        <v>1.9708830566360721E-12</v>
      </c>
      <c r="AL106" s="22">
        <f t="shared" si="58"/>
        <v>3.669434796176543E-12</v>
      </c>
      <c r="AM106" s="62">
        <f t="shared" si="59"/>
        <v>288.34552708015872</v>
      </c>
      <c r="AN106" s="62">
        <f ca="1">AVERAGE(OFFSET($AM$3,0,0,'Données projet'!$E$10+1,1))-AVERAGE(OFFSET($H$3,0,0,'Données projet'!$E$10+1,1))</f>
        <v>264.73276096087574</v>
      </c>
      <c r="AO106" s="62">
        <f t="shared" si="90"/>
        <v>381.84464918049662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projet'!$B$10,Paramètres!$A$1:$I$88,3,0)*0.475*44/12</f>
        <v>51.847287006751813</v>
      </c>
      <c r="AV106" s="23">
        <f>EXP(-LN(2)/25)*AV105+(1-EXP(-LN(2)/25))/(LN(2)/25)*Calculateur!AQ106*Calculateur!AS106*VLOOKUP('Données projet'!$B$10,Paramètres!$A$1:$I$88,3,0)*0.475*44/12</f>
        <v>7.9003927321254555</v>
      </c>
      <c r="AW106" s="23">
        <f>EXP(-LN(2)/2)*AW105+(1-EXP(-LN(2)/2))/(LN(2)/2)*AQ106*AT106*VLOOKUP('Données projet'!$B$10,Paramètres!$A$1:$I$88,3,0)*0.475*44/12</f>
        <v>1.3438662244224901E-7</v>
      </c>
      <c r="AX106" s="23">
        <f t="shared" si="60"/>
        <v>59.747679873263891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68.639689203678643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4.5999999999999996</v>
      </c>
      <c r="BD106" s="13">
        <f>IF('Données projet'!$A$88&gt;35,BD105+BC106-BL105,IF(A106&lt;'Données projet'!$A$88,$BA$205^A106,IF(A106='Données projet'!$A$88,'Données projet'!$B$88,BD105+BC106-BL105)))</f>
        <v>274.79999999999995</v>
      </c>
      <c r="BE106" s="14">
        <f>BD106*VLOOKUP('Données projet'!$B$11,Paramètres!$A$1:$I$88,3,0)*VLOOKUP('Données projet'!$B$11,Paramètres!$A$1:$I$88,5,0)</f>
        <v>312.94223999999997</v>
      </c>
      <c r="BF106" s="14">
        <f t="shared" si="91"/>
        <v>73.882948766188193</v>
      </c>
      <c r="BG106" s="22">
        <f t="shared" si="61"/>
        <v>673.72053710111106</v>
      </c>
      <c r="BH106" s="62">
        <f t="shared" si="62"/>
        <v>962.06606418126603</v>
      </c>
      <c r="BI106" s="62">
        <f ca="1">AVERAGE(OFFSET($BH$3,0,0,'Données projet'!$E$11+1,1))-AVERAGE(OFFSET($H$3,0,0,'Données projet'!$E$11+1,1))</f>
        <v>470.57532875732056</v>
      </c>
      <c r="BJ106" s="62">
        <f t="shared" si="92"/>
        <v>286.63787681165888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projet'!$B$11,Paramètres!$A$1:$I$88,3,0)*0.475*44/12</f>
        <v>37.264270625985453</v>
      </c>
      <c r="BQ106" s="23">
        <f>EXP(-LN(2)/25)*BQ105+(1-EXP(-LN(2)/25))/(LN(2)/25)*Calculateur!BL106*Calculateur!BN106*VLOOKUP('Données projet'!$B$11,Paramètres!$A$1:$I$88,3,0)*0.475*44/12</f>
        <v>0</v>
      </c>
      <c r="BR106" s="23">
        <f>EXP(-LN(2)/2)*BR105+(1-EXP(-LN(2)/2))/(LN(2)/2)*BL106*BO106*VLOOKUP('Données projet'!$B$11,Paramètres!$A$1:$I$88,3,0)*0.475*44/12</f>
        <v>0</v>
      </c>
      <c r="BS106" s="24">
        <f t="shared" si="63"/>
        <v>37.264270625985453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68.639689203678643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-2.2737367544323206E-13</v>
      </c>
      <c r="BZ106" s="14">
        <f>BY106*VLOOKUP('Données projet'!$B$12,Paramètres!$A$1:$I$88,3,0)*VLOOKUP('Données projet'!$B$12,Paramètres!$A$1:$I$88,5,0)</f>
        <v>-1.4897523215040565E-13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305.38855494899906</v>
      </c>
      <c r="CE106" s="62">
        <f t="shared" si="94"/>
        <v>298.48106301229177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projet'!$B$12,Paramètres!$A$1:$I$88,3,0)*0.475*44/12</f>
        <v>53.767555607493719</v>
      </c>
      <c r="CL106" s="23">
        <f>EXP(-LN(2)/25)*CL105+(1-EXP(-LN(2)/25))/(LN(2)/25)*Calculateur!CG106*Calculateur!CI106*VLOOKUP('Données projet'!$B$12,Paramètres!$A$1:$I$88,3,0)*0.475*44/12</f>
        <v>0</v>
      </c>
      <c r="CM106" s="23">
        <f>EXP(-LN(2)/2)*CM105+(1-EXP(-LN(2)/2))/(LN(2)/2)*CG106*CJ106*VLOOKUP('Données projet'!$B$12,Paramètres!$A$1:$I$88,3,0)*0.475*44/12</f>
        <v>0</v>
      </c>
      <c r="CN106" s="24">
        <f t="shared" si="66"/>
        <v>53.767555607493719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68.639689203678643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-2.2737367544323206E-13</v>
      </c>
      <c r="CU106" s="18">
        <f>CT106*VLOOKUP('Données projet'!$B$13,Paramètres!$A$1:$I$88,3,0)*VLOOKUP('Données projet'!$B$13,Paramètres!$A$1:$I$88,5,0)</f>
        <v>-1.8089849618263545E-13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361.30066984973894</v>
      </c>
      <c r="CZ106" s="62">
        <f t="shared" si="96"/>
        <v>351.78053157121622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projet'!$B$13,Paramètres!$A$1:$I$88,3,0)*0.475*44/12</f>
        <v>80.472703658391737</v>
      </c>
      <c r="DG106" s="23">
        <f>EXP(-LN(2)/25)*DG105+(1-EXP(-LN(2)/25))/(LN(2)/25)*Calculateur!DB106*Calculateur!DD106*VLOOKUP('Données projet'!$B$13,Paramètres!$A$1:$I$88,3,0)*0.475*44/12</f>
        <v>0</v>
      </c>
      <c r="DH106" s="23">
        <f>EXP(-LN(2)/2)*DH105+(1-EXP(-LN(2)/2))/(LN(2)/2)*DB106*DE106*VLOOKUP('Données projet'!$B$13,Paramètres!$A$1:$I$88,3,0)*0.475*44/12</f>
        <v>0</v>
      </c>
      <c r="DI106" s="24">
        <f t="shared" si="69"/>
        <v>80.472703658391737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68.639689203678643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>
        <f>DO106*VLOOKUP('Données projet'!$B$14,Paramètres!$A$1:$I$88,3,0)*VLOOKUP('Données projet'!$B$14,Paramètres!$A$1:$I$88,5,0)</f>
        <v>0</v>
      </c>
      <c r="DQ106" s="14" t="e">
        <f t="shared" si="97"/>
        <v>#NUM!</v>
      </c>
      <c r="DR106" s="22" t="e">
        <f t="shared" si="70"/>
        <v>#NUM!</v>
      </c>
      <c r="DS106" s="62" t="e">
        <f t="shared" si="71"/>
        <v>#NUM!</v>
      </c>
      <c r="DT106" s="62">
        <f ca="1">AVERAGE(OFFSET($DS$3,0,0,'Données projet'!$E$14+1,1))-AVERAGE(OFFSET($H$3,0,0,'Données projet'!$E$14+1,1))</f>
        <v>91.201152634762423</v>
      </c>
      <c r="DU106" s="62">
        <f t="shared" si="98"/>
        <v>233.36981992862445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projet'!$B$14,Paramètres!$A$1:$I$88,3,0)*0.475*44/12</f>
        <v>9.7663803264719355</v>
      </c>
      <c r="EB106" s="23">
        <f>EXP(-LN(2)/25)*EB105+(1-EXP(-LN(2)/25))/(LN(2)/25)*Calculateur!DW106*Calculateur!DY106*VLOOKUP('Données projet'!$B$14,Paramètres!$A$1:$I$88,3,0)*0.475*44/12</f>
        <v>0</v>
      </c>
      <c r="EC106" s="23">
        <f>EXP(-LN(2)/2)*EC105+(1-EXP(-LN(2)/2))/(LN(2)/2)*DW106*DZ106*VLOOKUP('Données projet'!$B$14,Paramètres!$A$1:$I$88,3,0)*0.475*44/12</f>
        <v>0</v>
      </c>
      <c r="ED106" s="24">
        <f t="shared" si="72"/>
        <v>9.7663803264719355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68.639689203678643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projet'!$B$15,Paramètres!$A$1:$I$88,3,0)*0.475*44/12</f>
        <v>#N/A</v>
      </c>
      <c r="EW106" s="23" t="e">
        <f>EXP(-LN(2)/25)*EW105+(1-EXP(-LN(2)/25))/(LN(2)/25)*Calculateur!ER106*Calculateur!ET106*VLOOKUP('Données projet'!$B$15,Paramètres!$A$1:$I$88,3,0)*0.475*44/12</f>
        <v>#N/A</v>
      </c>
      <c r="EX106" s="23" t="e">
        <f>EXP(-LN(2)/2)*EX105+(1-EXP(-LN(2)/2))/(LN(2)/2)*ER106*EU106*VLOOKUP('Données projet'!$B$15,Paramètres!$A$1:$I$88,3,0)*0.475*44/12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68.639689203678643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projet'!$B$16,Paramètres!$A$1:$I$88,3,0)*0.475*44/12</f>
        <v>#N/A</v>
      </c>
      <c r="FR106" s="23" t="e">
        <f>EXP(-LN(2)/25)*FR105+(1-EXP(-LN(2)/25))/(LN(2)/25)*Calculateur!FM106*Calculateur!FO106*VLOOKUP('Données projet'!$B$16,Paramètres!$A$1:$I$88,3,0)*0.475*44/12</f>
        <v>#N/A</v>
      </c>
      <c r="FS106" s="23" t="e">
        <f>EXP(-LN(2)/2)*FS105+(1-EXP(-LN(2)/2))/(LN(2)/2)*FM106*FP106*VLOOKUP('Données projet'!$B$16,Paramètres!$A$1:$I$88,3,0)*0.475*44/12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68.639689203678643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projet'!$B$17,Paramètres!$A$1:$I$88,3,0)*0.475*44/12</f>
        <v>#N/A</v>
      </c>
      <c r="GM106" s="23" t="e">
        <f>EXP(-LN(2)/25)*GM105+(1-EXP(-LN(2)/25))/(LN(2)/25)*Calculateur!GH106*Calculateur!GJ106*VLOOKUP('Données projet'!$B$17,Paramètres!$A$1:$I$88,3,0)*0.475*44/12</f>
        <v>#N/A</v>
      </c>
      <c r="GN106" s="23" t="e">
        <f>EXP(-LN(2)/2)*GN105+(1-EXP(-LN(2)/2))/(LN(2)/2)*GH106*GK106*VLOOKUP('Données projet'!$B$17,Paramètres!$A$1:$I$88,3,0)*0.475*44/12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68.639689203678643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projet'!$B$18,Paramètres!$A$1:$I$88,3,0)*0.475*44/12</f>
        <v>#N/A</v>
      </c>
      <c r="HH106" s="23" t="e">
        <f>EXP(-LN(2)/25)*HH105+(1-EXP(-LN(2)/25))/(LN(2)/25)*Calculateur!HC106*Calculateur!HE106*VLOOKUP('Données projet'!$B$18,Paramètres!$A$1:$I$88,3,0)*0.475*44/12</f>
        <v>#N/A</v>
      </c>
      <c r="HI106" s="23" t="e">
        <f>EXP(-LN(2)/2)*HI105+(1-EXP(-LN(2)/2))/(LN(2)/2)*HC106*HF106*VLOOKUP('Données projet'!$B$18,Paramètres!$A$1:$I$88,3,0)*0.475*44/12</f>
        <v>#N/A</v>
      </c>
      <c r="HJ106" s="24" t="e">
        <f t="shared" si="84"/>
        <v>#N/A</v>
      </c>
    </row>
    <row r="107" spans="1:218" s="5" customFormat="1" x14ac:dyDescent="0.2">
      <c r="A107" s="11">
        <f t="shared" si="85"/>
        <v>104</v>
      </c>
      <c r="B107" s="77">
        <f>'Scénario référence'!$B$16*5+'Scénario référence'!$B$17*0+'Scénario référence'!$B$18*5</f>
        <v>1.6500000000000001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6.0500000000000007</v>
      </c>
      <c r="H107" s="70">
        <f t="shared" si="56"/>
        <v>232.4666666666667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68.663287554795488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projet'!$B$9,Paramètres!$A$1:$I$88,3,0)*VLOOKUP('Données projet'!$B$9,Paramètres!$A$1:$I$88,5,0)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288.43205436758547</v>
      </c>
      <c r="S107" s="62">
        <f ca="1">AVERAGE(OFFSET($R$3,0,0,'Données projet'!$E$9+1,1))-AVERAGE(OFFSET($H$3,0,0,'Données projet'!$E$9+1,1))</f>
        <v>354.71367224254021</v>
      </c>
      <c r="T107" s="62">
        <f t="shared" si="88"/>
        <v>490.074370133397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72.479869918147884</v>
      </c>
      <c r="AA107" s="23">
        <f>EXP(-LN(2)/25)*AA106+(1-EXP(-LN(2)/25))/(LN(2)/25)*Calculateur!V107*Calculateur!X107*VLOOKUP('Données projet'!$B$9,Paramètres!$A$1:$I$88,3,0)*0.475*44/12</f>
        <v>10.938084353826705</v>
      </c>
      <c r="AB107" s="23">
        <f>EXP(-LN(2)/2)*AB106+(1-EXP(-LN(2)/2))/(LN(2)/2)*V107*Y107*VLOOKUP('Données projet'!$B$9,Paramètres!$A$1:$I$88,3,0)*0.475*44/12</f>
        <v>1.3571060774656073E-7</v>
      </c>
      <c r="AC107" s="24">
        <f t="shared" si="57"/>
        <v>83.417954407685201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68.663287554795488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2.2737367544323206E-13</v>
      </c>
      <c r="AJ107" s="14">
        <f>AI107*VLOOKUP('Données projet'!$B$10,Paramètres!$A$1:$I$88,3,0)*VLOOKUP('Données projet'!$B$10,Paramètres!$A$1:$I$88,5,0)</f>
        <v>1.3596945791505279E-13</v>
      </c>
      <c r="AK107" s="14">
        <f t="shared" si="89"/>
        <v>1.9708830566360721E-12</v>
      </c>
      <c r="AL107" s="22">
        <f t="shared" si="58"/>
        <v>3.669434796176543E-12</v>
      </c>
      <c r="AM107" s="62">
        <f t="shared" si="59"/>
        <v>288.43205436758717</v>
      </c>
      <c r="AN107" s="62">
        <f ca="1">AVERAGE(OFFSET($AM$3,0,0,'Données projet'!$E$10+1,1))-AVERAGE(OFFSET($H$3,0,0,'Données projet'!$E$10+1,1))</f>
        <v>264.73276096087574</v>
      </c>
      <c r="AO107" s="62">
        <f t="shared" si="90"/>
        <v>381.84464918049662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projet'!$B$10,Paramètres!$A$1:$I$88,3,0)*0.475*44/12</f>
        <v>50.830593332271903</v>
      </c>
      <c r="AV107" s="23">
        <f>EXP(-LN(2)/25)*AV106+(1-EXP(-LN(2)/25))/(LN(2)/25)*Calculateur!AQ107*Calculateur!AS107*VLOOKUP('Données projet'!$B$10,Paramètres!$A$1:$I$88,3,0)*0.475*44/12</f>
        <v>7.6843560774018878</v>
      </c>
      <c r="AW107" s="23">
        <f>EXP(-LN(2)/2)*AW106+(1-EXP(-LN(2)/2))/(LN(2)/2)*AQ107*AT107*VLOOKUP('Données projet'!$B$10,Paramètres!$A$1:$I$88,3,0)*0.475*44/12</f>
        <v>9.5025692029670546E-8</v>
      </c>
      <c r="AX107" s="23">
        <f t="shared" si="60"/>
        <v>58.51494950469948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68.663287554795488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4.5999999999999996</v>
      </c>
      <c r="BD107" s="13">
        <f>IF('Données projet'!$A$88&gt;35,BD106+BC107-BL106,IF(A107&lt;'Données projet'!$A$88,$BA$205^A107,IF(A107='Données projet'!$A$88,'Données projet'!$B$88,BD106+BC107-BL106)))</f>
        <v>279.39999999999998</v>
      </c>
      <c r="BE107" s="14">
        <f>BD107*VLOOKUP('Données projet'!$B$11,Paramètres!$A$1:$I$88,3,0)*VLOOKUP('Données projet'!$B$11,Paramètres!$A$1:$I$88,5,0)</f>
        <v>318.18072000000001</v>
      </c>
      <c r="BF107" s="14">
        <f t="shared" si="91"/>
        <v>74.974691561271499</v>
      </c>
      <c r="BG107" s="22">
        <f t="shared" si="61"/>
        <v>684.74567513588124</v>
      </c>
      <c r="BH107" s="62">
        <f t="shared" si="62"/>
        <v>973.17772950346466</v>
      </c>
      <c r="BI107" s="62">
        <f ca="1">AVERAGE(OFFSET($BH$3,0,0,'Données projet'!$E$11+1,1))-AVERAGE(OFFSET($H$3,0,0,'Données projet'!$E$11+1,1))</f>
        <v>470.57532875732056</v>
      </c>
      <c r="BJ107" s="62">
        <f t="shared" si="92"/>
        <v>286.63787681165888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projet'!$B$11,Paramètres!$A$1:$I$88,3,0)*0.475*44/12</f>
        <v>36.533541007970662</v>
      </c>
      <c r="BQ107" s="23">
        <f>EXP(-LN(2)/25)*BQ106+(1-EXP(-LN(2)/25))/(LN(2)/25)*Calculateur!BL107*Calculateur!BN107*VLOOKUP('Données projet'!$B$11,Paramètres!$A$1:$I$88,3,0)*0.475*44/12</f>
        <v>0</v>
      </c>
      <c r="BR107" s="23">
        <f>EXP(-LN(2)/2)*BR106+(1-EXP(-LN(2)/2))/(LN(2)/2)*BL107*BO107*VLOOKUP('Données projet'!$B$11,Paramètres!$A$1:$I$88,3,0)*0.475*44/12</f>
        <v>0</v>
      </c>
      <c r="BS107" s="24">
        <f t="shared" si="63"/>
        <v>36.533541007970662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68.663287554795488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-2.2737367544323206E-13</v>
      </c>
      <c r="BZ107" s="14">
        <f>BY107*VLOOKUP('Données projet'!$B$12,Paramètres!$A$1:$I$88,3,0)*VLOOKUP('Données projet'!$B$12,Paramètres!$A$1:$I$88,5,0)</f>
        <v>-1.4897523215040565E-13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305.38855494899906</v>
      </c>
      <c r="CE107" s="62">
        <f t="shared" si="94"/>
        <v>298.48106301229177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projet'!$B$12,Paramètres!$A$1:$I$88,3,0)*0.475*44/12</f>
        <v>52.713206637001456</v>
      </c>
      <c r="CL107" s="23">
        <f>EXP(-LN(2)/25)*CL106+(1-EXP(-LN(2)/25))/(LN(2)/25)*Calculateur!CG107*Calculateur!CI107*VLOOKUP('Données projet'!$B$12,Paramètres!$A$1:$I$88,3,0)*0.475*44/12</f>
        <v>0</v>
      </c>
      <c r="CM107" s="23">
        <f>EXP(-LN(2)/2)*CM106+(1-EXP(-LN(2)/2))/(LN(2)/2)*CG107*CJ107*VLOOKUP('Données projet'!$B$12,Paramètres!$A$1:$I$88,3,0)*0.475*44/12</f>
        <v>0</v>
      </c>
      <c r="CN107" s="24">
        <f t="shared" si="66"/>
        <v>52.713206637001456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68.663287554795488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-2.2737367544323206E-13</v>
      </c>
      <c r="CU107" s="18">
        <f>CT107*VLOOKUP('Données projet'!$B$13,Paramètres!$A$1:$I$88,3,0)*VLOOKUP('Données projet'!$B$13,Paramètres!$A$1:$I$88,5,0)</f>
        <v>-1.8089849618263545E-13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361.30066984973894</v>
      </c>
      <c r="CZ107" s="62">
        <f t="shared" si="96"/>
        <v>351.78053157121622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projet'!$B$13,Paramètres!$A$1:$I$88,3,0)*0.475*44/12</f>
        <v>78.89468302315332</v>
      </c>
      <c r="DG107" s="23">
        <f>EXP(-LN(2)/25)*DG106+(1-EXP(-LN(2)/25))/(LN(2)/25)*Calculateur!DB107*Calculateur!DD107*VLOOKUP('Données projet'!$B$13,Paramètres!$A$1:$I$88,3,0)*0.475*44/12</f>
        <v>0</v>
      </c>
      <c r="DH107" s="23">
        <f>EXP(-LN(2)/2)*DH106+(1-EXP(-LN(2)/2))/(LN(2)/2)*DB107*DE107*VLOOKUP('Données projet'!$B$13,Paramètres!$A$1:$I$88,3,0)*0.475*44/12</f>
        <v>0</v>
      </c>
      <c r="DI107" s="24">
        <f t="shared" si="69"/>
        <v>78.89468302315332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68.663287554795488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>
        <f>DO107*VLOOKUP('Données projet'!$B$14,Paramètres!$A$1:$I$88,3,0)*VLOOKUP('Données projet'!$B$14,Paramètres!$A$1:$I$88,5,0)</f>
        <v>0</v>
      </c>
      <c r="DQ107" s="14" t="e">
        <f t="shared" si="97"/>
        <v>#NUM!</v>
      </c>
      <c r="DR107" s="22" t="e">
        <f t="shared" si="70"/>
        <v>#NUM!</v>
      </c>
      <c r="DS107" s="62" t="e">
        <f t="shared" si="71"/>
        <v>#NUM!</v>
      </c>
      <c r="DT107" s="62">
        <f ca="1">AVERAGE(OFFSET($DS$3,0,0,'Données projet'!$E$14+1,1))-AVERAGE(OFFSET($H$3,0,0,'Données projet'!$E$14+1,1))</f>
        <v>91.201152634762423</v>
      </c>
      <c r="DU107" s="62">
        <f t="shared" si="98"/>
        <v>233.36981992862445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projet'!$B$14,Paramètres!$A$1:$I$88,3,0)*0.475*44/12</f>
        <v>9.5748675651736246</v>
      </c>
      <c r="EB107" s="23">
        <f>EXP(-LN(2)/25)*EB106+(1-EXP(-LN(2)/25))/(LN(2)/25)*Calculateur!DW107*Calculateur!DY107*VLOOKUP('Données projet'!$B$14,Paramètres!$A$1:$I$88,3,0)*0.475*44/12</f>
        <v>0</v>
      </c>
      <c r="EC107" s="23">
        <f>EXP(-LN(2)/2)*EC106+(1-EXP(-LN(2)/2))/(LN(2)/2)*DW107*DZ107*VLOOKUP('Données projet'!$B$14,Paramètres!$A$1:$I$88,3,0)*0.475*44/12</f>
        <v>0</v>
      </c>
      <c r="ED107" s="24">
        <f t="shared" si="72"/>
        <v>9.5748675651736246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68.663287554795488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projet'!$B$15,Paramètres!$A$1:$I$88,3,0)*0.475*44/12</f>
        <v>#N/A</v>
      </c>
      <c r="EW107" s="23" t="e">
        <f>EXP(-LN(2)/25)*EW106+(1-EXP(-LN(2)/25))/(LN(2)/25)*Calculateur!ER107*Calculateur!ET107*VLOOKUP('Données projet'!$B$15,Paramètres!$A$1:$I$88,3,0)*0.475*44/12</f>
        <v>#N/A</v>
      </c>
      <c r="EX107" s="23" t="e">
        <f>EXP(-LN(2)/2)*EX106+(1-EXP(-LN(2)/2))/(LN(2)/2)*ER107*EU107*VLOOKUP('Données projet'!$B$15,Paramètres!$A$1:$I$88,3,0)*0.475*44/12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68.663287554795488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projet'!$B$16,Paramètres!$A$1:$I$88,3,0)*0.475*44/12</f>
        <v>#N/A</v>
      </c>
      <c r="FR107" s="23" t="e">
        <f>EXP(-LN(2)/25)*FR106+(1-EXP(-LN(2)/25))/(LN(2)/25)*Calculateur!FM107*Calculateur!FO107*VLOOKUP('Données projet'!$B$16,Paramètres!$A$1:$I$88,3,0)*0.475*44/12</f>
        <v>#N/A</v>
      </c>
      <c r="FS107" s="23" t="e">
        <f>EXP(-LN(2)/2)*FS106+(1-EXP(-LN(2)/2))/(LN(2)/2)*FM107*FP107*VLOOKUP('Données projet'!$B$16,Paramètres!$A$1:$I$88,3,0)*0.475*44/12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68.663287554795488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projet'!$B$17,Paramètres!$A$1:$I$88,3,0)*0.475*44/12</f>
        <v>#N/A</v>
      </c>
      <c r="GM107" s="23" t="e">
        <f>EXP(-LN(2)/25)*GM106+(1-EXP(-LN(2)/25))/(LN(2)/25)*Calculateur!GH107*Calculateur!GJ107*VLOOKUP('Données projet'!$B$17,Paramètres!$A$1:$I$88,3,0)*0.475*44/12</f>
        <v>#N/A</v>
      </c>
      <c r="GN107" s="23" t="e">
        <f>EXP(-LN(2)/2)*GN106+(1-EXP(-LN(2)/2))/(LN(2)/2)*GH107*GK107*VLOOKUP('Données projet'!$B$17,Paramètres!$A$1:$I$88,3,0)*0.475*44/12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68.663287554795488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projet'!$B$18,Paramètres!$A$1:$I$88,3,0)*0.475*44/12</f>
        <v>#N/A</v>
      </c>
      <c r="HH107" s="23" t="e">
        <f>EXP(-LN(2)/25)*HH106+(1-EXP(-LN(2)/25))/(LN(2)/25)*Calculateur!HC107*Calculateur!HE107*VLOOKUP('Données projet'!$B$18,Paramètres!$A$1:$I$88,3,0)*0.475*44/12</f>
        <v>#N/A</v>
      </c>
      <c r="HI107" s="23" t="e">
        <f>EXP(-LN(2)/2)*HI106+(1-EXP(-LN(2)/2))/(LN(2)/2)*HC107*HF107*VLOOKUP('Données projet'!$B$18,Paramètres!$A$1:$I$88,3,0)*0.475*44/12</f>
        <v>#N/A</v>
      </c>
      <c r="HJ107" s="24" t="e">
        <f t="shared" si="84"/>
        <v>#N/A</v>
      </c>
    </row>
    <row r="108" spans="1:218" s="5" customFormat="1" x14ac:dyDescent="0.2">
      <c r="A108" s="11">
        <f t="shared" si="85"/>
        <v>105</v>
      </c>
      <c r="B108" s="77">
        <f>'Scénario référence'!$B$16*5+'Scénario référence'!$B$17*0+'Scénario référence'!$B$18*5</f>
        <v>1.6500000000000001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6.0500000000000007</v>
      </c>
      <c r="H108" s="70">
        <f t="shared" si="56"/>
        <v>232.4666666666667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68.686476527278472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projet'!$B$9,Paramètres!$A$1:$I$88,3,0)*VLOOKUP('Données projet'!$B$9,Paramètres!$A$1:$I$88,5,0)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288.51708060002306</v>
      </c>
      <c r="S108" s="62">
        <f ca="1">AVERAGE(OFFSET($R$3,0,0,'Données projet'!$E$9+1,1))-AVERAGE(OFFSET($H$3,0,0,'Données projet'!$E$9+1,1))</f>
        <v>354.71367224254021</v>
      </c>
      <c r="T108" s="62">
        <f t="shared" si="88"/>
        <v>490.074370133397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71.058583877408438</v>
      </c>
      <c r="AA108" s="23">
        <f>EXP(-LN(2)/25)*AA107+(1-EXP(-LN(2)/25))/(LN(2)/25)*Calculateur!V108*Calculateur!X108*VLOOKUP('Données projet'!$B$9,Paramètres!$A$1:$I$88,3,0)*0.475*44/12</f>
        <v>10.638981861962456</v>
      </c>
      <c r="AB108" s="23">
        <f>EXP(-LN(2)/2)*AB107+(1-EXP(-LN(2)/2))/(LN(2)/2)*V108*Y108*VLOOKUP('Données projet'!$B$9,Paramètres!$A$1:$I$88,3,0)*0.475*44/12</f>
        <v>9.5961891016540698E-8</v>
      </c>
      <c r="AC108" s="24">
        <f t="shared" si="57"/>
        <v>81.697565835332796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68.686476527278472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2.2737367544323206E-13</v>
      </c>
      <c r="AJ108" s="14">
        <f>AI108*VLOOKUP('Données projet'!$B$10,Paramètres!$A$1:$I$88,3,0)*VLOOKUP('Données projet'!$B$10,Paramètres!$A$1:$I$88,5,0)</f>
        <v>1.3596945791505279E-13</v>
      </c>
      <c r="AK108" s="14">
        <f t="shared" si="89"/>
        <v>1.9708830566360721E-12</v>
      </c>
      <c r="AL108" s="22">
        <f t="shared" si="58"/>
        <v>3.669434796176543E-12</v>
      </c>
      <c r="AM108" s="62">
        <f t="shared" si="59"/>
        <v>288.51708060002477</v>
      </c>
      <c r="AN108" s="62">
        <f ca="1">AVERAGE(OFFSET($AM$3,0,0,'Données projet'!$E$10+1,1))-AVERAGE(OFFSET($H$3,0,0,'Données projet'!$E$10+1,1))</f>
        <v>264.73276096087574</v>
      </c>
      <c r="AO108" s="62">
        <f t="shared" si="90"/>
        <v>381.84464918049662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projet'!$B$10,Paramètres!$A$1:$I$88,3,0)*0.475*44/12</f>
        <v>49.83383640062663</v>
      </c>
      <c r="AV108" s="23">
        <f>EXP(-LN(2)/25)*AV107+(1-EXP(-LN(2)/25))/(LN(2)/25)*Calculateur!AQ108*Calculateur!AS108*VLOOKUP('Données projet'!$B$10,Paramètres!$A$1:$I$88,3,0)*0.475*44/12</f>
        <v>7.4742269563626103</v>
      </c>
      <c r="AW108" s="23">
        <f>EXP(-LN(2)/2)*AW107+(1-EXP(-LN(2)/2))/(LN(2)/2)*AQ108*AT108*VLOOKUP('Données projet'!$B$10,Paramètres!$A$1:$I$88,3,0)*0.475*44/12</f>
        <v>6.7193311221124504E-8</v>
      </c>
      <c r="AX108" s="23">
        <f t="shared" si="60"/>
        <v>57.308063424182549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68.686476527278472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284</v>
      </c>
      <c r="BB108" s="13">
        <f>VLOOKUP(A108,'Données projet'!$A$87:$I$107,9,0)</f>
        <v>4.5999999999999996</v>
      </c>
      <c r="BC108" s="13">
        <f t="array" ref="BC108">INDEX(BB:BB,MIN(IF(ISNUMBER(BB108:BB304),ROW(BB108:BB304),"")))</f>
        <v>4.5999999999999996</v>
      </c>
      <c r="BD108" s="13">
        <f>IF('Données projet'!$A$88&gt;35,BD107+BC108-BL107,IF(A108&lt;'Données projet'!$A$88,$BA$205^A108,IF(A108='Données projet'!$A$88,'Données projet'!$B$88,BD107+BC108-BL107)))</f>
        <v>284</v>
      </c>
      <c r="BE108" s="14">
        <f>BD108*VLOOKUP('Données projet'!$B$11,Paramètres!$A$1:$I$88,3,0)*VLOOKUP('Données projet'!$B$11,Paramètres!$A$1:$I$88,5,0)</f>
        <v>323.41919999999999</v>
      </c>
      <c r="BF108" s="14">
        <f t="shared" si="91"/>
        <v>76.06434405252827</v>
      </c>
      <c r="BG108" s="22">
        <f t="shared" si="61"/>
        <v>695.76717255815345</v>
      </c>
      <c r="BH108" s="62">
        <f t="shared" si="62"/>
        <v>984.28425315817458</v>
      </c>
      <c r="BI108" s="62">
        <f ca="1">AVERAGE(OFFSET($BH$3,0,0,'Données projet'!$E$11+1,1))-AVERAGE(OFFSET($H$3,0,0,'Données projet'!$E$11+1,1))</f>
        <v>470.57532875732056</v>
      </c>
      <c r="BJ108" s="62">
        <f t="shared" si="92"/>
        <v>286.63787681165888</v>
      </c>
      <c r="BK108" s="16">
        <f>IF(ISNA(VLOOKUP(A108,'Données projet'!$A$87:$I$107,3,0)),0,VLOOKUP(A108,'Données projet'!$A$87:$I$107,3,0))</f>
        <v>18</v>
      </c>
      <c r="BL108" s="16">
        <f>IF(ISNA(VLOOKUP(A108,'Données projet'!$A$87:$I$107,4,0)),0,VLOOKUP(A108,'Données projet'!$A$87:$I$107,4,0))</f>
        <v>20</v>
      </c>
      <c r="BM108" s="17">
        <f>IF(ISNA(VLOOKUP(A108,'Données projet'!$A$87:$I$107,5,0)),0%,VLOOKUP(A108,'Données projet'!$A$87:$I$107,5,0)*VLOOKUP('Données projet'!$B$11,Paramètres!$A$1:$I$88,7,0))</f>
        <v>0.30099999999999999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projet'!$B$11,Paramètres!$A$1:$I$88,3,0)*0.475*44/12</f>
        <v>43.395776754701068</v>
      </c>
      <c r="BQ108" s="23">
        <f>EXP(-LN(2)/25)*BQ107+(1-EXP(-LN(2)/25))/(LN(2)/25)*Calculateur!BL108*Calculateur!BN108*VLOOKUP('Données projet'!$B$11,Paramètres!$A$1:$I$88,3,0)*0.475*44/12</f>
        <v>0</v>
      </c>
      <c r="BR108" s="23">
        <f>EXP(-LN(2)/2)*BR107+(1-EXP(-LN(2)/2))/(LN(2)/2)*BL108*BO108*VLOOKUP('Données projet'!$B$11,Paramètres!$A$1:$I$88,3,0)*0.475*44/12</f>
        <v>0</v>
      </c>
      <c r="BS108" s="24">
        <f t="shared" si="63"/>
        <v>43.395776754701068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68.686476527278472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-2.2737367544323206E-13</v>
      </c>
      <c r="BZ108" s="14">
        <f>BY108*VLOOKUP('Données projet'!$B$12,Paramètres!$A$1:$I$88,3,0)*VLOOKUP('Données projet'!$B$12,Paramètres!$A$1:$I$88,5,0)</f>
        <v>-1.4897523215040565E-13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305.38855494899906</v>
      </c>
      <c r="CE108" s="62">
        <f t="shared" si="94"/>
        <v>298.48106301229177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projet'!$B$12,Paramètres!$A$1:$I$88,3,0)*0.475*44/12</f>
        <v>51.679532806731174</v>
      </c>
      <c r="CL108" s="23">
        <f>EXP(-LN(2)/25)*CL107+(1-EXP(-LN(2)/25))/(LN(2)/25)*Calculateur!CG108*Calculateur!CI108*VLOOKUP('Données projet'!$B$12,Paramètres!$A$1:$I$88,3,0)*0.475*44/12</f>
        <v>0</v>
      </c>
      <c r="CM108" s="23">
        <f>EXP(-LN(2)/2)*CM107+(1-EXP(-LN(2)/2))/(LN(2)/2)*CG108*CJ108*VLOOKUP('Données projet'!$B$12,Paramètres!$A$1:$I$88,3,0)*0.475*44/12</f>
        <v>0</v>
      </c>
      <c r="CN108" s="24">
        <f t="shared" si="66"/>
        <v>51.679532806731174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68.686476527278472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-2.2737367544323206E-13</v>
      </c>
      <c r="CU108" s="18">
        <f>CT108*VLOOKUP('Données projet'!$B$13,Paramètres!$A$1:$I$88,3,0)*VLOOKUP('Données projet'!$B$13,Paramètres!$A$1:$I$88,5,0)</f>
        <v>-1.8089849618263545E-13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361.30066984973894</v>
      </c>
      <c r="CZ108" s="62">
        <f t="shared" si="96"/>
        <v>351.78053157121622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projet'!$B$13,Paramètres!$A$1:$I$88,3,0)*0.475*44/12</f>
        <v>77.347606410074377</v>
      </c>
      <c r="DG108" s="23">
        <f>EXP(-LN(2)/25)*DG107+(1-EXP(-LN(2)/25))/(LN(2)/25)*Calculateur!DB108*Calculateur!DD108*VLOOKUP('Données projet'!$B$13,Paramètres!$A$1:$I$88,3,0)*0.475*44/12</f>
        <v>0</v>
      </c>
      <c r="DH108" s="23">
        <f>EXP(-LN(2)/2)*DH107+(1-EXP(-LN(2)/2))/(LN(2)/2)*DB108*DE108*VLOOKUP('Données projet'!$B$13,Paramètres!$A$1:$I$88,3,0)*0.475*44/12</f>
        <v>0</v>
      </c>
      <c r="DI108" s="24">
        <f t="shared" si="69"/>
        <v>77.347606410074377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68.686476527278472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>
        <f>DO108*VLOOKUP('Données projet'!$B$14,Paramètres!$A$1:$I$88,3,0)*VLOOKUP('Données projet'!$B$14,Paramètres!$A$1:$I$88,5,0)</f>
        <v>0</v>
      </c>
      <c r="DQ108" s="14" t="e">
        <f t="shared" si="97"/>
        <v>#NUM!</v>
      </c>
      <c r="DR108" s="22" t="e">
        <f t="shared" si="70"/>
        <v>#NUM!</v>
      </c>
      <c r="DS108" s="62" t="e">
        <f t="shared" si="71"/>
        <v>#NUM!</v>
      </c>
      <c r="DT108" s="62">
        <f ca="1">AVERAGE(OFFSET($DS$3,0,0,'Données projet'!$E$14+1,1))-AVERAGE(OFFSET($H$3,0,0,'Données projet'!$E$14+1,1))</f>
        <v>91.201152634762423</v>
      </c>
      <c r="DU108" s="62">
        <f t="shared" si="98"/>
        <v>233.36981992862445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projet'!$B$14,Paramètres!$A$1:$I$88,3,0)*0.475*44/12</f>
        <v>9.3871102523131231</v>
      </c>
      <c r="EB108" s="23">
        <f>EXP(-LN(2)/25)*EB107+(1-EXP(-LN(2)/25))/(LN(2)/25)*Calculateur!DW108*Calculateur!DY108*VLOOKUP('Données projet'!$B$14,Paramètres!$A$1:$I$88,3,0)*0.475*44/12</f>
        <v>0</v>
      </c>
      <c r="EC108" s="23">
        <f>EXP(-LN(2)/2)*EC107+(1-EXP(-LN(2)/2))/(LN(2)/2)*DW108*DZ108*VLOOKUP('Données projet'!$B$14,Paramètres!$A$1:$I$88,3,0)*0.475*44/12</f>
        <v>0</v>
      </c>
      <c r="ED108" s="24">
        <f t="shared" si="72"/>
        <v>9.3871102523131231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68.686476527278472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projet'!$B$15,Paramètres!$A$1:$I$88,3,0)*0.475*44/12</f>
        <v>#N/A</v>
      </c>
      <c r="EW108" s="23" t="e">
        <f>EXP(-LN(2)/25)*EW107+(1-EXP(-LN(2)/25))/(LN(2)/25)*Calculateur!ER108*Calculateur!ET108*VLOOKUP('Données projet'!$B$15,Paramètres!$A$1:$I$88,3,0)*0.475*44/12</f>
        <v>#N/A</v>
      </c>
      <c r="EX108" s="23" t="e">
        <f>EXP(-LN(2)/2)*EX107+(1-EXP(-LN(2)/2))/(LN(2)/2)*ER108*EU108*VLOOKUP('Données projet'!$B$15,Paramètres!$A$1:$I$88,3,0)*0.475*44/12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68.686476527278472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projet'!$B$16,Paramètres!$A$1:$I$88,3,0)*0.475*44/12</f>
        <v>#N/A</v>
      </c>
      <c r="FR108" s="23" t="e">
        <f>EXP(-LN(2)/25)*FR107+(1-EXP(-LN(2)/25))/(LN(2)/25)*Calculateur!FM108*Calculateur!FO108*VLOOKUP('Données projet'!$B$16,Paramètres!$A$1:$I$88,3,0)*0.475*44/12</f>
        <v>#N/A</v>
      </c>
      <c r="FS108" s="23" t="e">
        <f>EXP(-LN(2)/2)*FS107+(1-EXP(-LN(2)/2))/(LN(2)/2)*FM108*FP108*VLOOKUP('Données projet'!$B$16,Paramètres!$A$1:$I$88,3,0)*0.475*44/12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68.686476527278472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projet'!$B$17,Paramètres!$A$1:$I$88,3,0)*0.475*44/12</f>
        <v>#N/A</v>
      </c>
      <c r="GM108" s="23" t="e">
        <f>EXP(-LN(2)/25)*GM107+(1-EXP(-LN(2)/25))/(LN(2)/25)*Calculateur!GH108*Calculateur!GJ108*VLOOKUP('Données projet'!$B$17,Paramètres!$A$1:$I$88,3,0)*0.475*44/12</f>
        <v>#N/A</v>
      </c>
      <c r="GN108" s="23" t="e">
        <f>EXP(-LN(2)/2)*GN107+(1-EXP(-LN(2)/2))/(LN(2)/2)*GH108*GK108*VLOOKUP('Données projet'!$B$17,Paramètres!$A$1:$I$88,3,0)*0.475*44/12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68.686476527278472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projet'!$B$18,Paramètres!$A$1:$I$88,3,0)*0.475*44/12</f>
        <v>#N/A</v>
      </c>
      <c r="HH108" s="23" t="e">
        <f>EXP(-LN(2)/25)*HH107+(1-EXP(-LN(2)/25))/(LN(2)/25)*Calculateur!HC108*Calculateur!HE108*VLOOKUP('Données projet'!$B$18,Paramètres!$A$1:$I$88,3,0)*0.475*44/12</f>
        <v>#N/A</v>
      </c>
      <c r="HI108" s="23" t="e">
        <f>EXP(-LN(2)/2)*HI107+(1-EXP(-LN(2)/2))/(LN(2)/2)*HC108*HF108*VLOOKUP('Données projet'!$B$18,Paramètres!$A$1:$I$88,3,0)*0.475*44/12</f>
        <v>#N/A</v>
      </c>
      <c r="HJ108" s="24" t="e">
        <f t="shared" si="84"/>
        <v>#N/A</v>
      </c>
    </row>
    <row r="109" spans="1:218" s="5" customFormat="1" x14ac:dyDescent="0.2">
      <c r="A109" s="11">
        <f t="shared" si="85"/>
        <v>106</v>
      </c>
      <c r="B109" s="77">
        <f>'Scénario référence'!$B$16*5+'Scénario référence'!$B$17*0+'Scénario référence'!$B$18*5</f>
        <v>1.6500000000000001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6.0500000000000007</v>
      </c>
      <c r="H109" s="70">
        <f t="shared" si="56"/>
        <v>232.4666666666667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68.709263222931625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projet'!$B$9,Paramètres!$A$1:$I$88,3,0)*VLOOKUP('Données projet'!$B$9,Paramètres!$A$1:$I$88,5,0)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288.60063181741793</v>
      </c>
      <c r="S109" s="62">
        <f ca="1">AVERAGE(OFFSET($R$3,0,0,'Données projet'!$E$9+1,1))-AVERAGE(OFFSET($H$3,0,0,'Données projet'!$E$9+1,1))</f>
        <v>354.71367224254021</v>
      </c>
      <c r="T109" s="62">
        <f t="shared" si="88"/>
        <v>490.074370133397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69.665168389029006</v>
      </c>
      <c r="AA109" s="23">
        <f>EXP(-LN(2)/25)*AA108+(1-EXP(-LN(2)/25))/(LN(2)/25)*Calculateur!V109*Calculateur!X109*VLOOKUP('Données projet'!$B$9,Paramètres!$A$1:$I$88,3,0)*0.475*44/12</f>
        <v>10.348058343467352</v>
      </c>
      <c r="AB109" s="23">
        <f>EXP(-LN(2)/2)*AB108+(1-EXP(-LN(2)/2))/(LN(2)/2)*V109*Y109*VLOOKUP('Données projet'!$B$9,Paramètres!$A$1:$I$88,3,0)*0.475*44/12</f>
        <v>6.7855303873280363E-8</v>
      </c>
      <c r="AC109" s="24">
        <f t="shared" si="57"/>
        <v>80.013226800351674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68.709263222931625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2.2737367544323206E-13</v>
      </c>
      <c r="AJ109" s="14">
        <f>AI109*VLOOKUP('Données projet'!$B$10,Paramètres!$A$1:$I$88,3,0)*VLOOKUP('Données projet'!$B$10,Paramètres!$A$1:$I$88,5,0)</f>
        <v>1.3596945791505279E-13</v>
      </c>
      <c r="AK109" s="14">
        <f t="shared" si="89"/>
        <v>1.9708830566360721E-12</v>
      </c>
      <c r="AL109" s="22">
        <f t="shared" si="58"/>
        <v>3.669434796176543E-12</v>
      </c>
      <c r="AM109" s="62">
        <f t="shared" si="59"/>
        <v>288.60063181741964</v>
      </c>
      <c r="AN109" s="62">
        <f ca="1">AVERAGE(OFFSET($AM$3,0,0,'Données projet'!$E$10+1,1))-AVERAGE(OFFSET($H$3,0,0,'Données projet'!$E$10+1,1))</f>
        <v>264.73276096087574</v>
      </c>
      <c r="AO109" s="62">
        <f t="shared" si="90"/>
        <v>381.84464918049662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projet'!$B$10,Paramètres!$A$1:$I$88,3,0)*0.475*44/12</f>
        <v>48.856625264449228</v>
      </c>
      <c r="AV109" s="23">
        <f>EXP(-LN(2)/25)*AV108+(1-EXP(-LN(2)/25))/(LN(2)/25)*Calculateur!AQ109*Calculateur!AS109*VLOOKUP('Données projet'!$B$10,Paramètres!$A$1:$I$88,3,0)*0.475*44/12</f>
        <v>7.2698438271883612</v>
      </c>
      <c r="AW109" s="23">
        <f>EXP(-LN(2)/2)*AW108+(1-EXP(-LN(2)/2))/(LN(2)/2)*AQ109*AT109*VLOOKUP('Données projet'!$B$10,Paramètres!$A$1:$I$88,3,0)*0.475*44/12</f>
        <v>4.7512846014835273E-8</v>
      </c>
      <c r="AX109" s="23">
        <f t="shared" si="60"/>
        <v>56.126469139150437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68.709263222931625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4.2</v>
      </c>
      <c r="BD109" s="13">
        <f>IF('Données projet'!$A$88&gt;35,BD108+BC109-BL108,IF(A109&lt;'Données projet'!$A$88,$BA$205^A109,IF(A109='Données projet'!$A$88,'Données projet'!$B$88,BD108+BC109-BL108)))</f>
        <v>268.2</v>
      </c>
      <c r="BE109" s="14">
        <f>BD109*VLOOKUP('Données projet'!$B$11,Paramètres!$A$1:$I$88,3,0)*VLOOKUP('Données projet'!$B$11,Paramètres!$A$1:$I$88,5,0)</f>
        <v>305.42615999999998</v>
      </c>
      <c r="BF109" s="14">
        <f t="shared" si="91"/>
        <v>72.312805565305823</v>
      </c>
      <c r="BG109" s="22">
        <f t="shared" si="61"/>
        <v>657.89536502624094</v>
      </c>
      <c r="BH109" s="62">
        <f t="shared" si="62"/>
        <v>946.49599684365694</v>
      </c>
      <c r="BI109" s="62">
        <f ca="1">AVERAGE(OFFSET($BH$3,0,0,'Données projet'!$E$11+1,1))-AVERAGE(OFFSET($H$3,0,0,'Données projet'!$E$11+1,1))</f>
        <v>470.57532875732056</v>
      </c>
      <c r="BJ109" s="62">
        <f t="shared" si="92"/>
        <v>286.63787681165888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projet'!$B$11,Paramètres!$A$1:$I$88,3,0)*0.475*44/12</f>
        <v>42.544812041351619</v>
      </c>
      <c r="BQ109" s="23">
        <f>EXP(-LN(2)/25)*BQ108+(1-EXP(-LN(2)/25))/(LN(2)/25)*Calculateur!BL109*Calculateur!BN109*VLOOKUP('Données projet'!$B$11,Paramètres!$A$1:$I$88,3,0)*0.475*44/12</f>
        <v>0</v>
      </c>
      <c r="BR109" s="23">
        <f>EXP(-LN(2)/2)*BR108+(1-EXP(-LN(2)/2))/(LN(2)/2)*BL109*BO109*VLOOKUP('Données projet'!$B$11,Paramètres!$A$1:$I$88,3,0)*0.475*44/12</f>
        <v>0</v>
      </c>
      <c r="BS109" s="24">
        <f t="shared" si="63"/>
        <v>42.544812041351619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68.709263222931625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-2.2737367544323206E-13</v>
      </c>
      <c r="BZ109" s="14">
        <f>BY109*VLOOKUP('Données projet'!$B$12,Paramètres!$A$1:$I$88,3,0)*VLOOKUP('Données projet'!$B$12,Paramètres!$A$1:$I$88,5,0)</f>
        <v>-1.4897523215040565E-13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305.38855494899906</v>
      </c>
      <c r="CE109" s="62">
        <f t="shared" si="94"/>
        <v>298.48106301229177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projet'!$B$12,Paramètres!$A$1:$I$88,3,0)*0.475*44/12</f>
        <v>50.666128689793709</v>
      </c>
      <c r="CL109" s="23">
        <f>EXP(-LN(2)/25)*CL108+(1-EXP(-LN(2)/25))/(LN(2)/25)*Calculateur!CG109*Calculateur!CI109*VLOOKUP('Données projet'!$B$12,Paramètres!$A$1:$I$88,3,0)*0.475*44/12</f>
        <v>0</v>
      </c>
      <c r="CM109" s="23">
        <f>EXP(-LN(2)/2)*CM108+(1-EXP(-LN(2)/2))/(LN(2)/2)*CG109*CJ109*VLOOKUP('Données projet'!$B$12,Paramètres!$A$1:$I$88,3,0)*0.475*44/12</f>
        <v>0</v>
      </c>
      <c r="CN109" s="24">
        <f t="shared" si="66"/>
        <v>50.666128689793709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68.709263222931625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-2.2737367544323206E-13</v>
      </c>
      <c r="CU109" s="18">
        <f>CT109*VLOOKUP('Données projet'!$B$13,Paramètres!$A$1:$I$88,3,0)*VLOOKUP('Données projet'!$B$13,Paramètres!$A$1:$I$88,5,0)</f>
        <v>-1.8089849618263545E-13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361.30066984973894</v>
      </c>
      <c r="CZ109" s="62">
        <f t="shared" si="96"/>
        <v>351.78053157121622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projet'!$B$13,Paramètres!$A$1:$I$88,3,0)*0.475*44/12</f>
        <v>75.830867025754344</v>
      </c>
      <c r="DG109" s="23">
        <f>EXP(-LN(2)/25)*DG108+(1-EXP(-LN(2)/25))/(LN(2)/25)*Calculateur!DB109*Calculateur!DD109*VLOOKUP('Données projet'!$B$13,Paramètres!$A$1:$I$88,3,0)*0.475*44/12</f>
        <v>0</v>
      </c>
      <c r="DH109" s="23">
        <f>EXP(-LN(2)/2)*DH108+(1-EXP(-LN(2)/2))/(LN(2)/2)*DB109*DE109*VLOOKUP('Données projet'!$B$13,Paramètres!$A$1:$I$88,3,0)*0.475*44/12</f>
        <v>0</v>
      </c>
      <c r="DI109" s="24">
        <f t="shared" si="69"/>
        <v>75.830867025754344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68.709263222931625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>
        <f>DO109*VLOOKUP('Données projet'!$B$14,Paramètres!$A$1:$I$88,3,0)*VLOOKUP('Données projet'!$B$14,Paramètres!$A$1:$I$88,5,0)</f>
        <v>0</v>
      </c>
      <c r="DQ109" s="14" t="e">
        <f t="shared" si="97"/>
        <v>#NUM!</v>
      </c>
      <c r="DR109" s="22" t="e">
        <f t="shared" si="70"/>
        <v>#NUM!</v>
      </c>
      <c r="DS109" s="62" t="e">
        <f t="shared" si="71"/>
        <v>#NUM!</v>
      </c>
      <c r="DT109" s="62">
        <f ca="1">AVERAGE(OFFSET($DS$3,0,0,'Données projet'!$E$14+1,1))-AVERAGE(OFFSET($H$3,0,0,'Données projet'!$E$14+1,1))</f>
        <v>91.201152634762423</v>
      </c>
      <c r="DU109" s="62">
        <f t="shared" si="98"/>
        <v>233.36981992862445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projet'!$B$14,Paramètres!$A$1:$I$88,3,0)*0.475*44/12</f>
        <v>9.2030347458371633</v>
      </c>
      <c r="EB109" s="23">
        <f>EXP(-LN(2)/25)*EB108+(1-EXP(-LN(2)/25))/(LN(2)/25)*Calculateur!DW109*Calculateur!DY109*VLOOKUP('Données projet'!$B$14,Paramètres!$A$1:$I$88,3,0)*0.475*44/12</f>
        <v>0</v>
      </c>
      <c r="EC109" s="23">
        <f>EXP(-LN(2)/2)*EC108+(1-EXP(-LN(2)/2))/(LN(2)/2)*DW109*DZ109*VLOOKUP('Données projet'!$B$14,Paramètres!$A$1:$I$88,3,0)*0.475*44/12</f>
        <v>0</v>
      </c>
      <c r="ED109" s="24">
        <f t="shared" si="72"/>
        <v>9.2030347458371633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68.709263222931625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projet'!$B$15,Paramètres!$A$1:$I$88,3,0)*0.475*44/12</f>
        <v>#N/A</v>
      </c>
      <c r="EW109" s="23" t="e">
        <f>EXP(-LN(2)/25)*EW108+(1-EXP(-LN(2)/25))/(LN(2)/25)*Calculateur!ER109*Calculateur!ET109*VLOOKUP('Données projet'!$B$15,Paramètres!$A$1:$I$88,3,0)*0.475*44/12</f>
        <v>#N/A</v>
      </c>
      <c r="EX109" s="23" t="e">
        <f>EXP(-LN(2)/2)*EX108+(1-EXP(-LN(2)/2))/(LN(2)/2)*ER109*EU109*VLOOKUP('Données projet'!$B$15,Paramètres!$A$1:$I$88,3,0)*0.475*44/12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68.709263222931625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projet'!$B$16,Paramètres!$A$1:$I$88,3,0)*0.475*44/12</f>
        <v>#N/A</v>
      </c>
      <c r="FR109" s="23" t="e">
        <f>EXP(-LN(2)/25)*FR108+(1-EXP(-LN(2)/25))/(LN(2)/25)*Calculateur!FM109*Calculateur!FO109*VLOOKUP('Données projet'!$B$16,Paramètres!$A$1:$I$88,3,0)*0.475*44/12</f>
        <v>#N/A</v>
      </c>
      <c r="FS109" s="23" t="e">
        <f>EXP(-LN(2)/2)*FS108+(1-EXP(-LN(2)/2))/(LN(2)/2)*FM109*FP109*VLOOKUP('Données projet'!$B$16,Paramètres!$A$1:$I$88,3,0)*0.475*44/12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68.709263222931625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projet'!$B$17,Paramètres!$A$1:$I$88,3,0)*0.475*44/12</f>
        <v>#N/A</v>
      </c>
      <c r="GM109" s="23" t="e">
        <f>EXP(-LN(2)/25)*GM108+(1-EXP(-LN(2)/25))/(LN(2)/25)*Calculateur!GH109*Calculateur!GJ109*VLOOKUP('Données projet'!$B$17,Paramètres!$A$1:$I$88,3,0)*0.475*44/12</f>
        <v>#N/A</v>
      </c>
      <c r="GN109" s="23" t="e">
        <f>EXP(-LN(2)/2)*GN108+(1-EXP(-LN(2)/2))/(LN(2)/2)*GH109*GK109*VLOOKUP('Données projet'!$B$17,Paramètres!$A$1:$I$88,3,0)*0.475*44/12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68.709263222931625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projet'!$B$18,Paramètres!$A$1:$I$88,3,0)*0.475*44/12</f>
        <v>#N/A</v>
      </c>
      <c r="HH109" s="23" t="e">
        <f>EXP(-LN(2)/25)*HH108+(1-EXP(-LN(2)/25))/(LN(2)/25)*Calculateur!HC109*Calculateur!HE109*VLOOKUP('Données projet'!$B$18,Paramètres!$A$1:$I$88,3,0)*0.475*44/12</f>
        <v>#N/A</v>
      </c>
      <c r="HI109" s="23" t="e">
        <f>EXP(-LN(2)/2)*HI108+(1-EXP(-LN(2)/2))/(LN(2)/2)*HC109*HF109*VLOOKUP('Données projet'!$B$18,Paramètres!$A$1:$I$88,3,0)*0.475*44/12</f>
        <v>#N/A</v>
      </c>
      <c r="HJ109" s="24" t="e">
        <f t="shared" si="84"/>
        <v>#N/A</v>
      </c>
    </row>
    <row r="110" spans="1:218" s="5" customFormat="1" x14ac:dyDescent="0.2">
      <c r="A110" s="11">
        <f t="shared" si="85"/>
        <v>107</v>
      </c>
      <c r="B110" s="77">
        <f>'Scénario référence'!$B$16*5+'Scénario référence'!$B$17*0+'Scénario référence'!$B$18*5</f>
        <v>1.6500000000000001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6.0500000000000007</v>
      </c>
      <c r="H110" s="70">
        <f t="shared" si="56"/>
        <v>232.4666666666667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68.73165462035864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projet'!$B$9,Paramètres!$A$1:$I$88,3,0)*VLOOKUP('Données projet'!$B$9,Paramètres!$A$1:$I$88,5,0)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288.68273360798366</v>
      </c>
      <c r="S110" s="62">
        <f ca="1">AVERAGE(OFFSET($R$3,0,0,'Données projet'!$E$9+1,1))-AVERAGE(OFFSET($H$3,0,0,'Données projet'!$E$9+1,1))</f>
        <v>354.71367224254021</v>
      </c>
      <c r="T110" s="62">
        <f t="shared" si="88"/>
        <v>490.074370133397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68.299076928477177</v>
      </c>
      <c r="AA110" s="23">
        <f>EXP(-LN(2)/25)*AA109+(1-EXP(-LN(2)/25))/(LN(2)/25)*Calculateur!V110*Calculateur!X110*VLOOKUP('Données projet'!$B$9,Paramètres!$A$1:$I$88,3,0)*0.475*44/12</f>
        <v>10.0650901438845</v>
      </c>
      <c r="AB110" s="23">
        <f>EXP(-LN(2)/2)*AB109+(1-EXP(-LN(2)/2))/(LN(2)/2)*V110*Y110*VLOOKUP('Données projet'!$B$9,Paramètres!$A$1:$I$88,3,0)*0.475*44/12</f>
        <v>4.7980945508270349E-8</v>
      </c>
      <c r="AC110" s="24">
        <f t="shared" si="57"/>
        <v>78.364167120342628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68.73165462035864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2.2737367544323206E-13</v>
      </c>
      <c r="AJ110" s="14">
        <f>AI110*VLOOKUP('Données projet'!$B$10,Paramètres!$A$1:$I$88,3,0)*VLOOKUP('Données projet'!$B$10,Paramètres!$A$1:$I$88,5,0)</f>
        <v>1.3596945791505279E-13</v>
      </c>
      <c r="AK110" s="14">
        <f t="shared" si="89"/>
        <v>1.9708830566360721E-12</v>
      </c>
      <c r="AL110" s="22">
        <f t="shared" si="58"/>
        <v>3.669434796176543E-12</v>
      </c>
      <c r="AM110" s="62">
        <f t="shared" si="59"/>
        <v>288.68273360798537</v>
      </c>
      <c r="AN110" s="62">
        <f ca="1">AVERAGE(OFFSET($AM$3,0,0,'Données projet'!$E$10+1,1))-AVERAGE(OFFSET($H$3,0,0,'Données projet'!$E$10+1,1))</f>
        <v>264.73276096087574</v>
      </c>
      <c r="AO110" s="62">
        <f t="shared" si="90"/>
        <v>381.84464918049662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projet'!$B$10,Paramètres!$A$1:$I$88,3,0)*0.475*44/12</f>
        <v>47.898576642612326</v>
      </c>
      <c r="AV110" s="23">
        <f>EXP(-LN(2)/25)*AV109+(1-EXP(-LN(2)/25))/(LN(2)/25)*Calculateur!AQ110*Calculateur!AS110*VLOOKUP('Données projet'!$B$10,Paramètres!$A$1:$I$88,3,0)*0.475*44/12</f>
        <v>7.0710495654294236</v>
      </c>
      <c r="AW110" s="23">
        <f>EXP(-LN(2)/2)*AW109+(1-EXP(-LN(2)/2))/(LN(2)/2)*AQ110*AT110*VLOOKUP('Données projet'!$B$10,Paramètres!$A$1:$I$88,3,0)*0.475*44/12</f>
        <v>3.3596655610562252E-8</v>
      </c>
      <c r="AX110" s="23">
        <f t="shared" si="60"/>
        <v>54.969626241638409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68.73165462035864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4.2</v>
      </c>
      <c r="BD110" s="13">
        <f>IF('Données projet'!$A$88&gt;35,BD109+BC110-BL109,IF(A110&lt;'Données projet'!$A$88,$BA$205^A110,IF(A110='Données projet'!$A$88,'Données projet'!$B$88,BD109+BC110-BL109)))</f>
        <v>272.39999999999998</v>
      </c>
      <c r="BE110" s="14">
        <f>BD110*VLOOKUP('Données projet'!$B$11,Paramètres!$A$1:$I$88,3,0)*VLOOKUP('Données projet'!$B$11,Paramètres!$A$1:$I$88,5,0)</f>
        <v>310.20911999999998</v>
      </c>
      <c r="BF110" s="14">
        <f t="shared" si="91"/>
        <v>73.312501036804818</v>
      </c>
      <c r="BG110" s="22">
        <f t="shared" si="61"/>
        <v>667.96682330576834</v>
      </c>
      <c r="BH110" s="62">
        <f t="shared" si="62"/>
        <v>956.64955691375008</v>
      </c>
      <c r="BI110" s="62">
        <f ca="1">AVERAGE(OFFSET($BH$3,0,0,'Données projet'!$E$11+1,1))-AVERAGE(OFFSET($H$3,0,0,'Données projet'!$E$11+1,1))</f>
        <v>470.57532875732056</v>
      </c>
      <c r="BJ110" s="62">
        <f t="shared" si="92"/>
        <v>286.63787681165888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projet'!$B$11,Paramètres!$A$1:$I$88,3,0)*0.475*44/12</f>
        <v>41.71053422699373</v>
      </c>
      <c r="BQ110" s="23">
        <f>EXP(-LN(2)/25)*BQ109+(1-EXP(-LN(2)/25))/(LN(2)/25)*Calculateur!BL110*Calculateur!BN110*VLOOKUP('Données projet'!$B$11,Paramètres!$A$1:$I$88,3,0)*0.475*44/12</f>
        <v>0</v>
      </c>
      <c r="BR110" s="23">
        <f>EXP(-LN(2)/2)*BR109+(1-EXP(-LN(2)/2))/(LN(2)/2)*BL110*BO110*VLOOKUP('Données projet'!$B$11,Paramètres!$A$1:$I$88,3,0)*0.475*44/12</f>
        <v>0</v>
      </c>
      <c r="BS110" s="24">
        <f t="shared" si="63"/>
        <v>41.71053422699373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68.73165462035864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-2.2737367544323206E-13</v>
      </c>
      <c r="BZ110" s="14">
        <f>BY110*VLOOKUP('Données projet'!$B$12,Paramètres!$A$1:$I$88,3,0)*VLOOKUP('Données projet'!$B$12,Paramètres!$A$1:$I$88,5,0)</f>
        <v>-1.4897523215040565E-13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305.38855494899906</v>
      </c>
      <c r="CE110" s="62">
        <f t="shared" si="94"/>
        <v>298.48106301229177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projet'!$B$12,Paramètres!$A$1:$I$88,3,0)*0.475*44/12</f>
        <v>49.672596809473909</v>
      </c>
      <c r="CL110" s="23">
        <f>EXP(-LN(2)/25)*CL109+(1-EXP(-LN(2)/25))/(LN(2)/25)*Calculateur!CG110*Calculateur!CI110*VLOOKUP('Données projet'!$B$12,Paramètres!$A$1:$I$88,3,0)*0.475*44/12</f>
        <v>0</v>
      </c>
      <c r="CM110" s="23">
        <f>EXP(-LN(2)/2)*CM109+(1-EXP(-LN(2)/2))/(LN(2)/2)*CG110*CJ110*VLOOKUP('Données projet'!$B$12,Paramètres!$A$1:$I$88,3,0)*0.475*44/12</f>
        <v>0</v>
      </c>
      <c r="CN110" s="24">
        <f t="shared" si="66"/>
        <v>49.672596809473909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68.73165462035864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-2.2737367544323206E-13</v>
      </c>
      <c r="CU110" s="18">
        <f>CT110*VLOOKUP('Données projet'!$B$13,Paramètres!$A$1:$I$88,3,0)*VLOOKUP('Données projet'!$B$13,Paramètres!$A$1:$I$88,5,0)</f>
        <v>-1.8089849618263545E-13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361.30066984973894</v>
      </c>
      <c r="CZ110" s="62">
        <f t="shared" si="96"/>
        <v>351.78053157121622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projet'!$B$13,Paramètres!$A$1:$I$88,3,0)*0.475*44/12</f>
        <v>74.343869975641155</v>
      </c>
      <c r="DG110" s="23">
        <f>EXP(-LN(2)/25)*DG109+(1-EXP(-LN(2)/25))/(LN(2)/25)*Calculateur!DB110*Calculateur!DD110*VLOOKUP('Données projet'!$B$13,Paramètres!$A$1:$I$88,3,0)*0.475*44/12</f>
        <v>0</v>
      </c>
      <c r="DH110" s="23">
        <f>EXP(-LN(2)/2)*DH109+(1-EXP(-LN(2)/2))/(LN(2)/2)*DB110*DE110*VLOOKUP('Données projet'!$B$13,Paramètres!$A$1:$I$88,3,0)*0.475*44/12</f>
        <v>0</v>
      </c>
      <c r="DI110" s="24">
        <f t="shared" si="69"/>
        <v>74.343869975641155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68.73165462035864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>
        <f>DO110*VLOOKUP('Données projet'!$B$14,Paramètres!$A$1:$I$88,3,0)*VLOOKUP('Données projet'!$B$14,Paramètres!$A$1:$I$88,5,0)</f>
        <v>0</v>
      </c>
      <c r="DQ110" s="14" t="e">
        <f t="shared" si="97"/>
        <v>#NUM!</v>
      </c>
      <c r="DR110" s="22" t="e">
        <f t="shared" si="70"/>
        <v>#NUM!</v>
      </c>
      <c r="DS110" s="62" t="e">
        <f t="shared" si="71"/>
        <v>#NUM!</v>
      </c>
      <c r="DT110" s="62">
        <f ca="1">AVERAGE(OFFSET($DS$3,0,0,'Données projet'!$E$14+1,1))-AVERAGE(OFFSET($H$3,0,0,'Données projet'!$E$14+1,1))</f>
        <v>91.201152634762423</v>
      </c>
      <c r="DU110" s="62">
        <f t="shared" si="98"/>
        <v>233.36981992862445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projet'!$B$14,Paramètres!$A$1:$I$88,3,0)*0.475*44/12</f>
        <v>9.0225688477682251</v>
      </c>
      <c r="EB110" s="23">
        <f>EXP(-LN(2)/25)*EB109+(1-EXP(-LN(2)/25))/(LN(2)/25)*Calculateur!DW110*Calculateur!DY110*VLOOKUP('Données projet'!$B$14,Paramètres!$A$1:$I$88,3,0)*0.475*44/12</f>
        <v>0</v>
      </c>
      <c r="EC110" s="23">
        <f>EXP(-LN(2)/2)*EC109+(1-EXP(-LN(2)/2))/(LN(2)/2)*DW110*DZ110*VLOOKUP('Données projet'!$B$14,Paramètres!$A$1:$I$88,3,0)*0.475*44/12</f>
        <v>0</v>
      </c>
      <c r="ED110" s="24">
        <f t="shared" si="72"/>
        <v>9.0225688477682251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68.73165462035864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projet'!$B$15,Paramètres!$A$1:$I$88,3,0)*0.475*44/12</f>
        <v>#N/A</v>
      </c>
      <c r="EW110" s="23" t="e">
        <f>EXP(-LN(2)/25)*EW109+(1-EXP(-LN(2)/25))/(LN(2)/25)*Calculateur!ER110*Calculateur!ET110*VLOOKUP('Données projet'!$B$15,Paramètres!$A$1:$I$88,3,0)*0.475*44/12</f>
        <v>#N/A</v>
      </c>
      <c r="EX110" s="23" t="e">
        <f>EXP(-LN(2)/2)*EX109+(1-EXP(-LN(2)/2))/(LN(2)/2)*ER110*EU110*VLOOKUP('Données projet'!$B$15,Paramètres!$A$1:$I$88,3,0)*0.475*44/12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68.73165462035864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projet'!$B$16,Paramètres!$A$1:$I$88,3,0)*0.475*44/12</f>
        <v>#N/A</v>
      </c>
      <c r="FR110" s="23" t="e">
        <f>EXP(-LN(2)/25)*FR109+(1-EXP(-LN(2)/25))/(LN(2)/25)*Calculateur!FM110*Calculateur!FO110*VLOOKUP('Données projet'!$B$16,Paramètres!$A$1:$I$88,3,0)*0.475*44/12</f>
        <v>#N/A</v>
      </c>
      <c r="FS110" s="23" t="e">
        <f>EXP(-LN(2)/2)*FS109+(1-EXP(-LN(2)/2))/(LN(2)/2)*FM110*FP110*VLOOKUP('Données projet'!$B$16,Paramètres!$A$1:$I$88,3,0)*0.475*44/12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68.73165462035864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projet'!$B$17,Paramètres!$A$1:$I$88,3,0)*0.475*44/12</f>
        <v>#N/A</v>
      </c>
      <c r="GM110" s="23" t="e">
        <f>EXP(-LN(2)/25)*GM109+(1-EXP(-LN(2)/25))/(LN(2)/25)*Calculateur!GH110*Calculateur!GJ110*VLOOKUP('Données projet'!$B$17,Paramètres!$A$1:$I$88,3,0)*0.475*44/12</f>
        <v>#N/A</v>
      </c>
      <c r="GN110" s="23" t="e">
        <f>EXP(-LN(2)/2)*GN109+(1-EXP(-LN(2)/2))/(LN(2)/2)*GH110*GK110*VLOOKUP('Données projet'!$B$17,Paramètres!$A$1:$I$88,3,0)*0.475*44/12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68.73165462035864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projet'!$B$18,Paramètres!$A$1:$I$88,3,0)*0.475*44/12</f>
        <v>#N/A</v>
      </c>
      <c r="HH110" s="23" t="e">
        <f>EXP(-LN(2)/25)*HH109+(1-EXP(-LN(2)/25))/(LN(2)/25)*Calculateur!HC110*Calculateur!HE110*VLOOKUP('Données projet'!$B$18,Paramètres!$A$1:$I$88,3,0)*0.475*44/12</f>
        <v>#N/A</v>
      </c>
      <c r="HI110" s="23" t="e">
        <f>EXP(-LN(2)/2)*HI109+(1-EXP(-LN(2)/2))/(LN(2)/2)*HC110*HF110*VLOOKUP('Données projet'!$B$18,Paramètres!$A$1:$I$88,3,0)*0.475*44/12</f>
        <v>#N/A</v>
      </c>
      <c r="HJ110" s="24" t="e">
        <f t="shared" si="84"/>
        <v>#N/A</v>
      </c>
    </row>
    <row r="111" spans="1:218" s="5" customFormat="1" x14ac:dyDescent="0.2">
      <c r="A111" s="11">
        <f t="shared" si="85"/>
        <v>108</v>
      </c>
      <c r="B111" s="77">
        <f>'Scénario référence'!$B$16*5+'Scénario référence'!$B$17*0+'Scénario référence'!$B$18*5</f>
        <v>1.6500000000000001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6.0500000000000007</v>
      </c>
      <c r="H111" s="70">
        <f t="shared" si="56"/>
        <v>232.4666666666667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68.753657577099943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projet'!$B$9,Paramètres!$A$1:$I$88,3,0)*VLOOKUP('Données projet'!$B$9,Paramètres!$A$1:$I$88,5,0)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288.76341111603512</v>
      </c>
      <c r="S111" s="62">
        <f ca="1">AVERAGE(OFFSET($R$3,0,0,'Données projet'!$E$9+1,1))-AVERAGE(OFFSET($H$3,0,0,'Données projet'!$E$9+1,1))</f>
        <v>354.71367224254021</v>
      </c>
      <c r="T111" s="62">
        <f t="shared" si="88"/>
        <v>490.074370133397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66.959773688233255</v>
      </c>
      <c r="AA111" s="23">
        <f>EXP(-LN(2)/25)*AA110+(1-EXP(-LN(2)/25))/(LN(2)/25)*Calculateur!V111*Calculateur!X111*VLOOKUP('Données projet'!$B$9,Paramètres!$A$1:$I$88,3,0)*0.475*44/12</f>
        <v>9.7898597245998928</v>
      </c>
      <c r="AB111" s="23">
        <f>EXP(-LN(2)/2)*AB110+(1-EXP(-LN(2)/2))/(LN(2)/2)*V111*Y111*VLOOKUP('Données projet'!$B$9,Paramètres!$A$1:$I$88,3,0)*0.475*44/12</f>
        <v>3.3927651936640181E-8</v>
      </c>
      <c r="AC111" s="24">
        <f t="shared" si="57"/>
        <v>76.749633446760797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68.753657577099943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2.2737367544323206E-13</v>
      </c>
      <c r="AJ111" s="14">
        <f>AI111*VLOOKUP('Données projet'!$B$10,Paramètres!$A$1:$I$88,3,0)*VLOOKUP('Données projet'!$B$10,Paramètres!$A$1:$I$88,5,0)</f>
        <v>1.3596945791505279E-13</v>
      </c>
      <c r="AK111" s="14">
        <f t="shared" si="89"/>
        <v>1.9708830566360721E-12</v>
      </c>
      <c r="AL111" s="22">
        <f t="shared" si="58"/>
        <v>3.669434796176543E-12</v>
      </c>
      <c r="AM111" s="62">
        <f t="shared" si="59"/>
        <v>288.76341111603682</v>
      </c>
      <c r="AN111" s="62">
        <f ca="1">AVERAGE(OFFSET($AM$3,0,0,'Données projet'!$E$10+1,1))-AVERAGE(OFFSET($H$3,0,0,'Données projet'!$E$10+1,1))</f>
        <v>264.73276096087574</v>
      </c>
      <c r="AO111" s="62">
        <f t="shared" si="90"/>
        <v>381.84464918049662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projet'!$B$10,Paramètres!$A$1:$I$88,3,0)*0.475*44/12</f>
        <v>46.959314769897688</v>
      </c>
      <c r="AV111" s="23">
        <f>EXP(-LN(2)/25)*AV110+(1-EXP(-LN(2)/25))/(LN(2)/25)*Calculateur!AQ111*Calculateur!AS111*VLOOKUP('Données projet'!$B$10,Paramètres!$A$1:$I$88,3,0)*0.475*44/12</f>
        <v>6.8776913432124207</v>
      </c>
      <c r="AW111" s="23">
        <f>EXP(-LN(2)/2)*AW110+(1-EXP(-LN(2)/2))/(LN(2)/2)*AQ111*AT111*VLOOKUP('Données projet'!$B$10,Paramètres!$A$1:$I$88,3,0)*0.475*44/12</f>
        <v>2.3756423007417637E-8</v>
      </c>
      <c r="AX111" s="23">
        <f t="shared" si="60"/>
        <v>53.837006136866528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68.753657577099943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4.2</v>
      </c>
      <c r="BD111" s="13">
        <f>IF('Données projet'!$A$88&gt;35,BD110+BC111-BL110,IF(A111&lt;'Données projet'!$A$88,$BA$205^A111,IF(A111='Données projet'!$A$88,'Données projet'!$B$88,BD110+BC111-BL110)))</f>
        <v>276.59999999999997</v>
      </c>
      <c r="BE111" s="14">
        <f>BD111*VLOOKUP('Données projet'!$B$11,Paramètres!$A$1:$I$88,3,0)*VLOOKUP('Données projet'!$B$11,Paramètres!$A$1:$I$88,5,0)</f>
        <v>314.99207999999999</v>
      </c>
      <c r="BF111" s="14">
        <f t="shared" si="91"/>
        <v>74.310403875136487</v>
      </c>
      <c r="BG111" s="22">
        <f t="shared" si="61"/>
        <v>678.03515941586272</v>
      </c>
      <c r="BH111" s="62">
        <f t="shared" si="62"/>
        <v>966.79857053189585</v>
      </c>
      <c r="BI111" s="62">
        <f ca="1">AVERAGE(OFFSET($BH$3,0,0,'Données projet'!$E$11+1,1))-AVERAGE(OFFSET($H$3,0,0,'Données projet'!$E$11+1,1))</f>
        <v>470.57532875732056</v>
      </c>
      <c r="BJ111" s="62">
        <f t="shared" si="92"/>
        <v>286.63787681165888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projet'!$B$11,Paramètres!$A$1:$I$88,3,0)*0.475*44/12</f>
        <v>40.892616091716178</v>
      </c>
      <c r="BQ111" s="23">
        <f>EXP(-LN(2)/25)*BQ110+(1-EXP(-LN(2)/25))/(LN(2)/25)*Calculateur!BL111*Calculateur!BN111*VLOOKUP('Données projet'!$B$11,Paramètres!$A$1:$I$88,3,0)*0.475*44/12</f>
        <v>0</v>
      </c>
      <c r="BR111" s="23">
        <f>EXP(-LN(2)/2)*BR110+(1-EXP(-LN(2)/2))/(LN(2)/2)*BL111*BO111*VLOOKUP('Données projet'!$B$11,Paramètres!$A$1:$I$88,3,0)*0.475*44/12</f>
        <v>0</v>
      </c>
      <c r="BS111" s="24">
        <f t="shared" si="63"/>
        <v>40.892616091716178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68.753657577099943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-2.2737367544323206E-13</v>
      </c>
      <c r="BZ111" s="14">
        <f>BY111*VLOOKUP('Données projet'!$B$12,Paramètres!$A$1:$I$88,3,0)*VLOOKUP('Données projet'!$B$12,Paramètres!$A$1:$I$88,5,0)</f>
        <v>-1.4897523215040565E-13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305.38855494899906</v>
      </c>
      <c r="CE111" s="62">
        <f t="shared" si="94"/>
        <v>298.48106301229177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projet'!$B$12,Paramètres!$A$1:$I$88,3,0)*0.475*44/12</f>
        <v>48.698547483332568</v>
      </c>
      <c r="CL111" s="23">
        <f>EXP(-LN(2)/25)*CL110+(1-EXP(-LN(2)/25))/(LN(2)/25)*Calculateur!CG111*Calculateur!CI111*VLOOKUP('Données projet'!$B$12,Paramètres!$A$1:$I$88,3,0)*0.475*44/12</f>
        <v>0</v>
      </c>
      <c r="CM111" s="23">
        <f>EXP(-LN(2)/2)*CM110+(1-EXP(-LN(2)/2))/(LN(2)/2)*CG111*CJ111*VLOOKUP('Données projet'!$B$12,Paramètres!$A$1:$I$88,3,0)*0.475*44/12</f>
        <v>0</v>
      </c>
      <c r="CN111" s="24">
        <f t="shared" si="66"/>
        <v>48.698547483332568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68.753657577099943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-2.2737367544323206E-13</v>
      </c>
      <c r="CU111" s="18">
        <f>CT111*VLOOKUP('Données projet'!$B$13,Paramètres!$A$1:$I$88,3,0)*VLOOKUP('Données projet'!$B$13,Paramètres!$A$1:$I$88,5,0)</f>
        <v>-1.8089849618263545E-13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361.30066984973894</v>
      </c>
      <c r="CZ111" s="62">
        <f t="shared" si="96"/>
        <v>351.78053157121622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projet'!$B$13,Paramètres!$A$1:$I$88,3,0)*0.475*44/12</f>
        <v>72.88603203070204</v>
      </c>
      <c r="DG111" s="23">
        <f>EXP(-LN(2)/25)*DG110+(1-EXP(-LN(2)/25))/(LN(2)/25)*Calculateur!DB111*Calculateur!DD111*VLOOKUP('Données projet'!$B$13,Paramètres!$A$1:$I$88,3,0)*0.475*44/12</f>
        <v>0</v>
      </c>
      <c r="DH111" s="23">
        <f>EXP(-LN(2)/2)*DH110+(1-EXP(-LN(2)/2))/(LN(2)/2)*DB111*DE111*VLOOKUP('Données projet'!$B$13,Paramètres!$A$1:$I$88,3,0)*0.475*44/12</f>
        <v>0</v>
      </c>
      <c r="DI111" s="24">
        <f t="shared" si="69"/>
        <v>72.88603203070204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68.753657577099943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>
        <f>DO111*VLOOKUP('Données projet'!$B$14,Paramètres!$A$1:$I$88,3,0)*VLOOKUP('Données projet'!$B$14,Paramètres!$A$1:$I$88,5,0)</f>
        <v>0</v>
      </c>
      <c r="DQ111" s="14" t="e">
        <f t="shared" si="97"/>
        <v>#NUM!</v>
      </c>
      <c r="DR111" s="22" t="e">
        <f t="shared" si="70"/>
        <v>#NUM!</v>
      </c>
      <c r="DS111" s="62" t="e">
        <f t="shared" si="71"/>
        <v>#NUM!</v>
      </c>
      <c r="DT111" s="62">
        <f ca="1">AVERAGE(OFFSET($DS$3,0,0,'Données projet'!$E$14+1,1))-AVERAGE(OFFSET($H$3,0,0,'Données projet'!$E$14+1,1))</f>
        <v>91.201152634762423</v>
      </c>
      <c r="DU111" s="62">
        <f t="shared" si="98"/>
        <v>233.36981992862445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projet'!$B$14,Paramètres!$A$1:$I$88,3,0)*0.475*44/12</f>
        <v>8.8456417758870884</v>
      </c>
      <c r="EB111" s="23">
        <f>EXP(-LN(2)/25)*EB110+(1-EXP(-LN(2)/25))/(LN(2)/25)*Calculateur!DW111*Calculateur!DY111*VLOOKUP('Données projet'!$B$14,Paramètres!$A$1:$I$88,3,0)*0.475*44/12</f>
        <v>0</v>
      </c>
      <c r="EC111" s="23">
        <f>EXP(-LN(2)/2)*EC110+(1-EXP(-LN(2)/2))/(LN(2)/2)*DW111*DZ111*VLOOKUP('Données projet'!$B$14,Paramètres!$A$1:$I$88,3,0)*0.475*44/12</f>
        <v>0</v>
      </c>
      <c r="ED111" s="24">
        <f t="shared" si="72"/>
        <v>8.8456417758870884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68.753657577099943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projet'!$B$15,Paramètres!$A$1:$I$88,3,0)*0.475*44/12</f>
        <v>#N/A</v>
      </c>
      <c r="EW111" s="23" t="e">
        <f>EXP(-LN(2)/25)*EW110+(1-EXP(-LN(2)/25))/(LN(2)/25)*Calculateur!ER111*Calculateur!ET111*VLOOKUP('Données projet'!$B$15,Paramètres!$A$1:$I$88,3,0)*0.475*44/12</f>
        <v>#N/A</v>
      </c>
      <c r="EX111" s="23" t="e">
        <f>EXP(-LN(2)/2)*EX110+(1-EXP(-LN(2)/2))/(LN(2)/2)*ER111*EU111*VLOOKUP('Données projet'!$B$15,Paramètres!$A$1:$I$88,3,0)*0.475*44/12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68.753657577099943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projet'!$B$16,Paramètres!$A$1:$I$88,3,0)*0.475*44/12</f>
        <v>#N/A</v>
      </c>
      <c r="FR111" s="23" t="e">
        <f>EXP(-LN(2)/25)*FR110+(1-EXP(-LN(2)/25))/(LN(2)/25)*Calculateur!FM111*Calculateur!FO111*VLOOKUP('Données projet'!$B$16,Paramètres!$A$1:$I$88,3,0)*0.475*44/12</f>
        <v>#N/A</v>
      </c>
      <c r="FS111" s="23" t="e">
        <f>EXP(-LN(2)/2)*FS110+(1-EXP(-LN(2)/2))/(LN(2)/2)*FM111*FP111*VLOOKUP('Données projet'!$B$16,Paramètres!$A$1:$I$88,3,0)*0.475*44/12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68.753657577099943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projet'!$B$17,Paramètres!$A$1:$I$88,3,0)*0.475*44/12</f>
        <v>#N/A</v>
      </c>
      <c r="GM111" s="23" t="e">
        <f>EXP(-LN(2)/25)*GM110+(1-EXP(-LN(2)/25))/(LN(2)/25)*Calculateur!GH111*Calculateur!GJ111*VLOOKUP('Données projet'!$B$17,Paramètres!$A$1:$I$88,3,0)*0.475*44/12</f>
        <v>#N/A</v>
      </c>
      <c r="GN111" s="23" t="e">
        <f>EXP(-LN(2)/2)*GN110+(1-EXP(-LN(2)/2))/(LN(2)/2)*GH111*GK111*VLOOKUP('Données projet'!$B$17,Paramètres!$A$1:$I$88,3,0)*0.475*44/12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68.753657577099943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projet'!$B$18,Paramètres!$A$1:$I$88,3,0)*0.475*44/12</f>
        <v>#N/A</v>
      </c>
      <c r="HH111" s="23" t="e">
        <f>EXP(-LN(2)/25)*HH110+(1-EXP(-LN(2)/25))/(LN(2)/25)*Calculateur!HC111*Calculateur!HE111*VLOOKUP('Données projet'!$B$18,Paramètres!$A$1:$I$88,3,0)*0.475*44/12</f>
        <v>#N/A</v>
      </c>
      <c r="HI111" s="23" t="e">
        <f>EXP(-LN(2)/2)*HI110+(1-EXP(-LN(2)/2))/(LN(2)/2)*HC111*HF111*VLOOKUP('Données projet'!$B$18,Paramètres!$A$1:$I$88,3,0)*0.475*44/12</f>
        <v>#N/A</v>
      </c>
      <c r="HJ111" s="24" t="e">
        <f t="shared" si="84"/>
        <v>#N/A</v>
      </c>
    </row>
    <row r="112" spans="1:218" s="5" customFormat="1" x14ac:dyDescent="0.2">
      <c r="A112" s="11">
        <f t="shared" si="85"/>
        <v>109</v>
      </c>
      <c r="B112" s="77">
        <f>'Scénario référence'!$B$16*5+'Scénario référence'!$B$17*0+'Scénario référence'!$B$18*5</f>
        <v>1.6500000000000001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6.0500000000000007</v>
      </c>
      <c r="H112" s="70">
        <f t="shared" si="56"/>
        <v>232.4666666666667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68.775278831733033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projet'!$B$9,Paramètres!$A$1:$I$88,3,0)*VLOOKUP('Données projet'!$B$9,Paramètres!$A$1:$I$88,5,0)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288.8426890496898</v>
      </c>
      <c r="S112" s="62">
        <f ca="1">AVERAGE(OFFSET($R$3,0,0,'Données projet'!$E$9+1,1))-AVERAGE(OFFSET($H$3,0,0,'Données projet'!$E$9+1,1))</f>
        <v>354.71367224254021</v>
      </c>
      <c r="T112" s="62">
        <f t="shared" si="88"/>
        <v>490.074370133397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65.646733367636202</v>
      </c>
      <c r="AA112" s="23">
        <f>EXP(-LN(2)/25)*AA111+(1-EXP(-LN(2)/25))/(LN(2)/25)*Calculateur!V112*Calculateur!X112*VLOOKUP('Données projet'!$B$9,Paramètres!$A$1:$I$88,3,0)*0.475*44/12</f>
        <v>9.5221554956043608</v>
      </c>
      <c r="AB112" s="23">
        <f>EXP(-LN(2)/2)*AB111+(1-EXP(-LN(2)/2))/(LN(2)/2)*V112*Y112*VLOOKUP('Données projet'!$B$9,Paramètres!$A$1:$I$88,3,0)*0.475*44/12</f>
        <v>2.3990472754135175E-8</v>
      </c>
      <c r="AC112" s="24">
        <f t="shared" si="57"/>
        <v>75.168888887231034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68.775278831733033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2.2737367544323206E-13</v>
      </c>
      <c r="AJ112" s="14">
        <f>AI112*VLOOKUP('Données projet'!$B$10,Paramètres!$A$1:$I$88,3,0)*VLOOKUP('Données projet'!$B$10,Paramètres!$A$1:$I$88,5,0)</f>
        <v>1.3596945791505279E-13</v>
      </c>
      <c r="AK112" s="14">
        <f t="shared" si="89"/>
        <v>1.9708830566360721E-12</v>
      </c>
      <c r="AL112" s="22">
        <f t="shared" si="58"/>
        <v>3.669434796176543E-12</v>
      </c>
      <c r="AM112" s="62">
        <f t="shared" si="59"/>
        <v>288.8426890496915</v>
      </c>
      <c r="AN112" s="62">
        <f ca="1">AVERAGE(OFFSET($AM$3,0,0,'Données projet'!$E$10+1,1))-AVERAGE(OFFSET($H$3,0,0,'Données projet'!$E$10+1,1))</f>
        <v>264.73276096087574</v>
      </c>
      <c r="AO112" s="62">
        <f t="shared" si="90"/>
        <v>381.84464918049662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projet'!$B$10,Paramètres!$A$1:$I$88,3,0)*0.475*44/12</f>
        <v>46.038471249613806</v>
      </c>
      <c r="AV112" s="23">
        <f>EXP(-LN(2)/25)*AV111+(1-EXP(-LN(2)/25))/(LN(2)/25)*Calculateur!AQ112*Calculateur!AS112*VLOOKUP('Données projet'!$B$10,Paramètres!$A$1:$I$88,3,0)*0.475*44/12</f>
        <v>6.6896205117502081</v>
      </c>
      <c r="AW112" s="23">
        <f>EXP(-LN(2)/2)*AW111+(1-EXP(-LN(2)/2))/(LN(2)/2)*AQ112*AT112*VLOOKUP('Données projet'!$B$10,Paramètres!$A$1:$I$88,3,0)*0.475*44/12</f>
        <v>1.6798327805281126E-8</v>
      </c>
      <c r="AX112" s="23">
        <f t="shared" si="60"/>
        <v>52.728091778162337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68.775278831733033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4.2</v>
      </c>
      <c r="BD112" s="13">
        <f>IF('Données projet'!$A$88&gt;35,BD111+BC112-BL111,IF(A112&lt;'Données projet'!$A$88,$BA$205^A112,IF(A112='Données projet'!$A$88,'Données projet'!$B$88,BD111+BC112-BL111)))</f>
        <v>280.79999999999995</v>
      </c>
      <c r="BE112" s="14">
        <f>BD112*VLOOKUP('Données projet'!$B$11,Paramètres!$A$1:$I$88,3,0)*VLOOKUP('Données projet'!$B$11,Paramètres!$A$1:$I$88,5,0)</f>
        <v>319.77503999999993</v>
      </c>
      <c r="BF112" s="14">
        <f t="shared" si="91"/>
        <v>75.306544444248402</v>
      </c>
      <c r="BG112" s="22">
        <f t="shared" si="61"/>
        <v>688.10042624039909</v>
      </c>
      <c r="BH112" s="62">
        <f t="shared" si="62"/>
        <v>976.94311529008689</v>
      </c>
      <c r="BI112" s="62">
        <f ca="1">AVERAGE(OFFSET($BH$3,0,0,'Données projet'!$E$11+1,1))-AVERAGE(OFFSET($H$3,0,0,'Données projet'!$E$11+1,1))</f>
        <v>470.57532875732056</v>
      </c>
      <c r="BJ112" s="62">
        <f t="shared" si="92"/>
        <v>286.63787681165888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projet'!$B$11,Paramètres!$A$1:$I$88,3,0)*0.475*44/12</f>
        <v>40.090736832190622</v>
      </c>
      <c r="BQ112" s="23">
        <f>EXP(-LN(2)/25)*BQ111+(1-EXP(-LN(2)/25))/(LN(2)/25)*Calculateur!BL112*Calculateur!BN112*VLOOKUP('Données projet'!$B$11,Paramètres!$A$1:$I$88,3,0)*0.475*44/12</f>
        <v>0</v>
      </c>
      <c r="BR112" s="23">
        <f>EXP(-LN(2)/2)*BR111+(1-EXP(-LN(2)/2))/(LN(2)/2)*BL112*BO112*VLOOKUP('Données projet'!$B$11,Paramètres!$A$1:$I$88,3,0)*0.475*44/12</f>
        <v>0</v>
      </c>
      <c r="BS112" s="24">
        <f t="shared" si="63"/>
        <v>40.090736832190622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68.775278831733033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-2.2737367544323206E-13</v>
      </c>
      <c r="BZ112" s="14">
        <f>BY112*VLOOKUP('Données projet'!$B$12,Paramètres!$A$1:$I$88,3,0)*VLOOKUP('Données projet'!$B$12,Paramètres!$A$1:$I$88,5,0)</f>
        <v>-1.4897523215040565E-13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305.38855494899906</v>
      </c>
      <c r="CE112" s="62">
        <f t="shared" si="94"/>
        <v>298.48106301229177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projet'!$B$12,Paramètres!$A$1:$I$88,3,0)*0.475*44/12</f>
        <v>47.743598670365436</v>
      </c>
      <c r="CL112" s="23">
        <f>EXP(-LN(2)/25)*CL111+(1-EXP(-LN(2)/25))/(LN(2)/25)*Calculateur!CG112*Calculateur!CI112*VLOOKUP('Données projet'!$B$12,Paramètres!$A$1:$I$88,3,0)*0.475*44/12</f>
        <v>0</v>
      </c>
      <c r="CM112" s="23">
        <f>EXP(-LN(2)/2)*CM111+(1-EXP(-LN(2)/2))/(LN(2)/2)*CG112*CJ112*VLOOKUP('Données projet'!$B$12,Paramètres!$A$1:$I$88,3,0)*0.475*44/12</f>
        <v>0</v>
      </c>
      <c r="CN112" s="24">
        <f t="shared" si="66"/>
        <v>47.743598670365436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68.775278831733033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-2.2737367544323206E-13</v>
      </c>
      <c r="CU112" s="18">
        <f>CT112*VLOOKUP('Données projet'!$B$13,Paramètres!$A$1:$I$88,3,0)*VLOOKUP('Données projet'!$B$13,Paramètres!$A$1:$I$88,5,0)</f>
        <v>-1.8089849618263545E-13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361.30066984973894</v>
      </c>
      <c r="CZ112" s="62">
        <f t="shared" si="96"/>
        <v>351.78053157121622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projet'!$B$13,Paramètres!$A$1:$I$88,3,0)*0.475*44/12</f>
        <v>71.456781398669833</v>
      </c>
      <c r="DG112" s="23">
        <f>EXP(-LN(2)/25)*DG111+(1-EXP(-LN(2)/25))/(LN(2)/25)*Calculateur!DB112*Calculateur!DD112*VLOOKUP('Données projet'!$B$13,Paramètres!$A$1:$I$88,3,0)*0.475*44/12</f>
        <v>0</v>
      </c>
      <c r="DH112" s="23">
        <f>EXP(-LN(2)/2)*DH111+(1-EXP(-LN(2)/2))/(LN(2)/2)*DB112*DE112*VLOOKUP('Données projet'!$B$13,Paramètres!$A$1:$I$88,3,0)*0.475*44/12</f>
        <v>0</v>
      </c>
      <c r="DI112" s="24">
        <f t="shared" si="69"/>
        <v>71.456781398669833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68.775278831733033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>
        <f>DO112*VLOOKUP('Données projet'!$B$14,Paramètres!$A$1:$I$88,3,0)*VLOOKUP('Données projet'!$B$14,Paramètres!$A$1:$I$88,5,0)</f>
        <v>0</v>
      </c>
      <c r="DQ112" s="14" t="e">
        <f t="shared" si="97"/>
        <v>#NUM!</v>
      </c>
      <c r="DR112" s="22" t="e">
        <f t="shared" si="70"/>
        <v>#NUM!</v>
      </c>
      <c r="DS112" s="62" t="e">
        <f t="shared" si="71"/>
        <v>#NUM!</v>
      </c>
      <c r="DT112" s="62">
        <f ca="1">AVERAGE(OFFSET($DS$3,0,0,'Données projet'!$E$14+1,1))-AVERAGE(OFFSET($H$3,0,0,'Données projet'!$E$14+1,1))</f>
        <v>91.201152634762423</v>
      </c>
      <c r="DU112" s="62">
        <f t="shared" si="98"/>
        <v>233.36981992862445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projet'!$B$14,Paramètres!$A$1:$I$88,3,0)*0.475*44/12</f>
        <v>8.6721841359706833</v>
      </c>
      <c r="EB112" s="23">
        <f>EXP(-LN(2)/25)*EB111+(1-EXP(-LN(2)/25))/(LN(2)/25)*Calculateur!DW112*Calculateur!DY112*VLOOKUP('Données projet'!$B$14,Paramètres!$A$1:$I$88,3,0)*0.475*44/12</f>
        <v>0</v>
      </c>
      <c r="EC112" s="23">
        <f>EXP(-LN(2)/2)*EC111+(1-EXP(-LN(2)/2))/(LN(2)/2)*DW112*DZ112*VLOOKUP('Données projet'!$B$14,Paramètres!$A$1:$I$88,3,0)*0.475*44/12</f>
        <v>0</v>
      </c>
      <c r="ED112" s="24">
        <f t="shared" si="72"/>
        <v>8.6721841359706833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68.775278831733033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projet'!$B$15,Paramètres!$A$1:$I$88,3,0)*0.475*44/12</f>
        <v>#N/A</v>
      </c>
      <c r="EW112" s="23" t="e">
        <f>EXP(-LN(2)/25)*EW111+(1-EXP(-LN(2)/25))/(LN(2)/25)*Calculateur!ER112*Calculateur!ET112*VLOOKUP('Données projet'!$B$15,Paramètres!$A$1:$I$88,3,0)*0.475*44/12</f>
        <v>#N/A</v>
      </c>
      <c r="EX112" s="23" t="e">
        <f>EXP(-LN(2)/2)*EX111+(1-EXP(-LN(2)/2))/(LN(2)/2)*ER112*EU112*VLOOKUP('Données projet'!$B$15,Paramètres!$A$1:$I$88,3,0)*0.475*44/12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68.775278831733033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projet'!$B$16,Paramètres!$A$1:$I$88,3,0)*0.475*44/12</f>
        <v>#N/A</v>
      </c>
      <c r="FR112" s="23" t="e">
        <f>EXP(-LN(2)/25)*FR111+(1-EXP(-LN(2)/25))/(LN(2)/25)*Calculateur!FM112*Calculateur!FO112*VLOOKUP('Données projet'!$B$16,Paramètres!$A$1:$I$88,3,0)*0.475*44/12</f>
        <v>#N/A</v>
      </c>
      <c r="FS112" s="23" t="e">
        <f>EXP(-LN(2)/2)*FS111+(1-EXP(-LN(2)/2))/(LN(2)/2)*FM112*FP112*VLOOKUP('Données projet'!$B$16,Paramètres!$A$1:$I$88,3,0)*0.475*44/12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68.775278831733033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projet'!$B$17,Paramètres!$A$1:$I$88,3,0)*0.475*44/12</f>
        <v>#N/A</v>
      </c>
      <c r="GM112" s="23" t="e">
        <f>EXP(-LN(2)/25)*GM111+(1-EXP(-LN(2)/25))/(LN(2)/25)*Calculateur!GH112*Calculateur!GJ112*VLOOKUP('Données projet'!$B$17,Paramètres!$A$1:$I$88,3,0)*0.475*44/12</f>
        <v>#N/A</v>
      </c>
      <c r="GN112" s="23" t="e">
        <f>EXP(-LN(2)/2)*GN111+(1-EXP(-LN(2)/2))/(LN(2)/2)*GH112*GK112*VLOOKUP('Données projet'!$B$17,Paramètres!$A$1:$I$88,3,0)*0.475*44/12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68.775278831733033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projet'!$B$18,Paramètres!$A$1:$I$88,3,0)*0.475*44/12</f>
        <v>#N/A</v>
      </c>
      <c r="HH112" s="23" t="e">
        <f>EXP(-LN(2)/25)*HH111+(1-EXP(-LN(2)/25))/(LN(2)/25)*Calculateur!HC112*Calculateur!HE112*VLOOKUP('Données projet'!$B$18,Paramètres!$A$1:$I$88,3,0)*0.475*44/12</f>
        <v>#N/A</v>
      </c>
      <c r="HI112" s="23" t="e">
        <f>EXP(-LN(2)/2)*HI111+(1-EXP(-LN(2)/2))/(LN(2)/2)*HC112*HF112*VLOOKUP('Données projet'!$B$18,Paramètres!$A$1:$I$88,3,0)*0.475*44/12</f>
        <v>#N/A</v>
      </c>
      <c r="HJ112" s="24" t="e">
        <f t="shared" si="84"/>
        <v>#N/A</v>
      </c>
    </row>
    <row r="113" spans="1:218" s="5" customFormat="1" x14ac:dyDescent="0.2">
      <c r="A113" s="11">
        <f t="shared" si="85"/>
        <v>110</v>
      </c>
      <c r="B113" s="77">
        <f>'Scénario référence'!$B$16*5+'Scénario référence'!$B$17*0+'Scénario référence'!$B$18*5</f>
        <v>1.6500000000000001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6.0500000000000007</v>
      </c>
      <c r="H113" s="70">
        <f t="shared" si="56"/>
        <v>232.4666666666667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68.796525005936132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projet'!$B$9,Paramètres!$A$1:$I$88,3,0)*VLOOKUP('Données projet'!$B$9,Paramètres!$A$1:$I$88,5,0)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288.92059168843446</v>
      </c>
      <c r="S113" s="62">
        <f ca="1">AVERAGE(OFFSET($R$3,0,0,'Données projet'!$E$9+1,1))-AVERAGE(OFFSET($H$3,0,0,'Données projet'!$E$9+1,1))</f>
        <v>354.71367224254021</v>
      </c>
      <c r="T113" s="62">
        <f t="shared" si="88"/>
        <v>490.074370133397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64.359440966850528</v>
      </c>
      <c r="AA113" s="23">
        <f>EXP(-LN(2)/25)*AA112+(1-EXP(-LN(2)/25))/(LN(2)/25)*Calculateur!V113*Calculateur!X113*VLOOKUP('Données projet'!$B$9,Paramètres!$A$1:$I$88,3,0)*0.475*44/12</f>
        <v>9.2617716528286653</v>
      </c>
      <c r="AB113" s="23">
        <f>EXP(-LN(2)/2)*AB112+(1-EXP(-LN(2)/2))/(LN(2)/2)*V113*Y113*VLOOKUP('Données projet'!$B$9,Paramètres!$A$1:$I$88,3,0)*0.475*44/12</f>
        <v>1.6963825968320091E-8</v>
      </c>
      <c r="AC113" s="24">
        <f t="shared" si="57"/>
        <v>73.621212636643023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68.796525005936132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2.2737367544323206E-13</v>
      </c>
      <c r="AJ113" s="14">
        <f>AI113*VLOOKUP('Données projet'!$B$10,Paramètres!$A$1:$I$88,3,0)*VLOOKUP('Données projet'!$B$10,Paramètres!$A$1:$I$88,5,0)</f>
        <v>1.3596945791505279E-13</v>
      </c>
      <c r="AK113" s="14">
        <f t="shared" si="89"/>
        <v>1.9708830566360721E-12</v>
      </c>
      <c r="AL113" s="22">
        <f t="shared" si="58"/>
        <v>3.669434796176543E-12</v>
      </c>
      <c r="AM113" s="62">
        <f t="shared" si="59"/>
        <v>288.92059168843616</v>
      </c>
      <c r="AN113" s="62">
        <f ca="1">AVERAGE(OFFSET($AM$3,0,0,'Données projet'!$E$10+1,1))-AVERAGE(OFFSET($H$3,0,0,'Données projet'!$E$10+1,1))</f>
        <v>264.73276096087574</v>
      </c>
      <c r="AO113" s="62">
        <f t="shared" si="90"/>
        <v>381.84464918049662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projet'!$B$10,Paramètres!$A$1:$I$88,3,0)*0.475*44/12</f>
        <v>45.135684909103603</v>
      </c>
      <c r="AV113" s="23">
        <f>EXP(-LN(2)/25)*AV112+(1-EXP(-LN(2)/25))/(LN(2)/25)*Calculateur!AQ113*Calculateur!AS113*VLOOKUP('Données projet'!$B$10,Paramètres!$A$1:$I$88,3,0)*0.475*44/12</f>
        <v>6.5066924870645453</v>
      </c>
      <c r="AW113" s="23">
        <f>EXP(-LN(2)/2)*AW112+(1-EXP(-LN(2)/2))/(LN(2)/2)*AQ113*AT113*VLOOKUP('Données projet'!$B$10,Paramètres!$A$1:$I$88,3,0)*0.475*44/12</f>
        <v>1.1878211503708818E-8</v>
      </c>
      <c r="AX113" s="23">
        <f t="shared" si="60"/>
        <v>51.642377408046364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68.796525005936132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285</v>
      </c>
      <c r="BB113" s="13">
        <f>VLOOKUP(A113,'Données projet'!$A$87:$I$107,9,0)</f>
        <v>4.2</v>
      </c>
      <c r="BC113" s="13">
        <f t="array" ref="BC113">INDEX(BB:BB,MIN(IF(ISNUMBER(BB113:BB309),ROW(BB113:BB309),"")))</f>
        <v>4.2</v>
      </c>
      <c r="BD113" s="13">
        <f>IF('Données projet'!$A$88&gt;35,BD112+BC113-BL112,IF(A113&lt;'Données projet'!$A$88,$BA$205^A113,IF(A113='Données projet'!$A$88,'Données projet'!$B$88,BD112+BC113-BL112)))</f>
        <v>284.99999999999994</v>
      </c>
      <c r="BE113" s="14">
        <f>BD113*VLOOKUP('Données projet'!$B$11,Paramètres!$A$1:$I$88,3,0)*VLOOKUP('Données projet'!$B$11,Paramètres!$A$1:$I$88,5,0)</f>
        <v>324.55799999999994</v>
      </c>
      <c r="BF113" s="14">
        <f t="shared" si="91"/>
        <v>76.300952147630198</v>
      </c>
      <c r="BG113" s="22">
        <f t="shared" si="61"/>
        <v>698.1626749904558</v>
      </c>
      <c r="BH113" s="62">
        <f t="shared" si="62"/>
        <v>987.08326667888832</v>
      </c>
      <c r="BI113" s="62">
        <f ca="1">AVERAGE(OFFSET($BH$3,0,0,'Données projet'!$E$11+1,1))-AVERAGE(OFFSET($H$3,0,0,'Données projet'!$E$11+1,1))</f>
        <v>470.57532875732056</v>
      </c>
      <c r="BJ113" s="62">
        <f t="shared" si="92"/>
        <v>286.63787681165888</v>
      </c>
      <c r="BK113" s="16">
        <f>IF(ISNA(VLOOKUP(A113,'Données projet'!$A$87:$I$107,3,0)),0,VLOOKUP(A113,'Données projet'!$A$87:$I$107,3,0))</f>
        <v>19</v>
      </c>
      <c r="BL113" s="16">
        <f>IF(ISNA(VLOOKUP(A113,'Données projet'!$A$87:$I$107,4,0)),0,VLOOKUP(A113,'Données projet'!$A$87:$I$107,4,0))</f>
        <v>19</v>
      </c>
      <c r="BM113" s="17">
        <f>IF(ISNA(VLOOKUP(A113,'Données projet'!$A$87:$I$107,5,0)),0%,VLOOKUP(A113,'Données projet'!$A$87:$I$107,5,0)*VLOOKUP('Données projet'!$B$11,Paramètres!$A$1:$I$88,7,0))</f>
        <v>0.34400000000000003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projet'!$B$11,Paramètres!$A$1:$I$88,3,0)*0.475*44/12</f>
        <v>47.532815527280746</v>
      </c>
      <c r="BQ113" s="23">
        <f>EXP(-LN(2)/25)*BQ112+(1-EXP(-LN(2)/25))/(LN(2)/25)*Calculateur!BL113*Calculateur!BN113*VLOOKUP('Données projet'!$B$11,Paramètres!$A$1:$I$88,3,0)*0.475*44/12</f>
        <v>0</v>
      </c>
      <c r="BR113" s="23">
        <f>EXP(-LN(2)/2)*BR112+(1-EXP(-LN(2)/2))/(LN(2)/2)*BL113*BO113*VLOOKUP('Données projet'!$B$11,Paramètres!$A$1:$I$88,3,0)*0.475*44/12</f>
        <v>0</v>
      </c>
      <c r="BS113" s="24">
        <f t="shared" si="63"/>
        <v>47.532815527280746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68.796525005936132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-2.2737367544323206E-13</v>
      </c>
      <c r="BZ113" s="14">
        <f>BY113*VLOOKUP('Données projet'!$B$12,Paramètres!$A$1:$I$88,3,0)*VLOOKUP('Données projet'!$B$12,Paramètres!$A$1:$I$88,5,0)</f>
        <v>-1.4897523215040565E-13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305.38855494899906</v>
      </c>
      <c r="CE113" s="62">
        <f t="shared" si="94"/>
        <v>298.48106301229177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projet'!$B$12,Paramètres!$A$1:$I$88,3,0)*0.475*44/12</f>
        <v>46.807375821159326</v>
      </c>
      <c r="CL113" s="23">
        <f>EXP(-LN(2)/25)*CL112+(1-EXP(-LN(2)/25))/(LN(2)/25)*Calculateur!CG113*Calculateur!CI113*VLOOKUP('Données projet'!$B$12,Paramètres!$A$1:$I$88,3,0)*0.475*44/12</f>
        <v>0</v>
      </c>
      <c r="CM113" s="23">
        <f>EXP(-LN(2)/2)*CM112+(1-EXP(-LN(2)/2))/(LN(2)/2)*CG113*CJ113*VLOOKUP('Données projet'!$B$12,Paramètres!$A$1:$I$88,3,0)*0.475*44/12</f>
        <v>0</v>
      </c>
      <c r="CN113" s="24">
        <f t="shared" si="66"/>
        <v>46.807375821159326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68.796525005936132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-2.2737367544323206E-13</v>
      </c>
      <c r="CU113" s="18">
        <f>CT113*VLOOKUP('Données projet'!$B$13,Paramètres!$A$1:$I$88,3,0)*VLOOKUP('Données projet'!$B$13,Paramètres!$A$1:$I$88,5,0)</f>
        <v>-1.8089849618263545E-13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361.30066984973894</v>
      </c>
      <c r="CZ113" s="62">
        <f t="shared" si="96"/>
        <v>351.78053157121622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projet'!$B$13,Paramètres!$A$1:$I$88,3,0)*0.475*44/12</f>
        <v>70.055557499774977</v>
      </c>
      <c r="DG113" s="23">
        <f>EXP(-LN(2)/25)*DG112+(1-EXP(-LN(2)/25))/(LN(2)/25)*Calculateur!DB113*Calculateur!DD113*VLOOKUP('Données projet'!$B$13,Paramètres!$A$1:$I$88,3,0)*0.475*44/12</f>
        <v>0</v>
      </c>
      <c r="DH113" s="23">
        <f>EXP(-LN(2)/2)*DH112+(1-EXP(-LN(2)/2))/(LN(2)/2)*DB113*DE113*VLOOKUP('Données projet'!$B$13,Paramètres!$A$1:$I$88,3,0)*0.475*44/12</f>
        <v>0</v>
      </c>
      <c r="DI113" s="24">
        <f t="shared" si="69"/>
        <v>70.055557499774977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68.796525005936132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>
        <f>DO113*VLOOKUP('Données projet'!$B$14,Paramètres!$A$1:$I$88,3,0)*VLOOKUP('Données projet'!$B$14,Paramètres!$A$1:$I$88,5,0)</f>
        <v>0</v>
      </c>
      <c r="DQ113" s="14" t="e">
        <f t="shared" si="97"/>
        <v>#NUM!</v>
      </c>
      <c r="DR113" s="22" t="e">
        <f t="shared" si="70"/>
        <v>#NUM!</v>
      </c>
      <c r="DS113" s="62" t="e">
        <f t="shared" si="71"/>
        <v>#NUM!</v>
      </c>
      <c r="DT113" s="62">
        <f ca="1">AVERAGE(OFFSET($DS$3,0,0,'Données projet'!$E$14+1,1))-AVERAGE(OFFSET($H$3,0,0,'Données projet'!$E$14+1,1))</f>
        <v>91.201152634762423</v>
      </c>
      <c r="DU113" s="62">
        <f t="shared" si="98"/>
        <v>233.36981992862445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projet'!$B$14,Paramètres!$A$1:$I$88,3,0)*0.475*44/12</f>
        <v>8.5021278945743255</v>
      </c>
      <c r="EB113" s="23">
        <f>EXP(-LN(2)/25)*EB112+(1-EXP(-LN(2)/25))/(LN(2)/25)*Calculateur!DW113*Calculateur!DY113*VLOOKUP('Données projet'!$B$14,Paramètres!$A$1:$I$88,3,0)*0.475*44/12</f>
        <v>0</v>
      </c>
      <c r="EC113" s="23">
        <f>EXP(-LN(2)/2)*EC112+(1-EXP(-LN(2)/2))/(LN(2)/2)*DW113*DZ113*VLOOKUP('Données projet'!$B$14,Paramètres!$A$1:$I$88,3,0)*0.475*44/12</f>
        <v>0</v>
      </c>
      <c r="ED113" s="24">
        <f t="shared" si="72"/>
        <v>8.5021278945743255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68.796525005936132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projet'!$B$15,Paramètres!$A$1:$I$88,3,0)*0.475*44/12</f>
        <v>#N/A</v>
      </c>
      <c r="EW113" s="23" t="e">
        <f>EXP(-LN(2)/25)*EW112+(1-EXP(-LN(2)/25))/(LN(2)/25)*Calculateur!ER113*Calculateur!ET113*VLOOKUP('Données projet'!$B$15,Paramètres!$A$1:$I$88,3,0)*0.475*44/12</f>
        <v>#N/A</v>
      </c>
      <c r="EX113" s="23" t="e">
        <f>EXP(-LN(2)/2)*EX112+(1-EXP(-LN(2)/2))/(LN(2)/2)*ER113*EU113*VLOOKUP('Données projet'!$B$15,Paramètres!$A$1:$I$88,3,0)*0.475*44/12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68.796525005936132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projet'!$B$16,Paramètres!$A$1:$I$88,3,0)*0.475*44/12</f>
        <v>#N/A</v>
      </c>
      <c r="FR113" s="23" t="e">
        <f>EXP(-LN(2)/25)*FR112+(1-EXP(-LN(2)/25))/(LN(2)/25)*Calculateur!FM113*Calculateur!FO113*VLOOKUP('Données projet'!$B$16,Paramètres!$A$1:$I$88,3,0)*0.475*44/12</f>
        <v>#N/A</v>
      </c>
      <c r="FS113" s="23" t="e">
        <f>EXP(-LN(2)/2)*FS112+(1-EXP(-LN(2)/2))/(LN(2)/2)*FM113*FP113*VLOOKUP('Données projet'!$B$16,Paramètres!$A$1:$I$88,3,0)*0.475*44/12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68.796525005936132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projet'!$B$17,Paramètres!$A$1:$I$88,3,0)*0.475*44/12</f>
        <v>#N/A</v>
      </c>
      <c r="GM113" s="23" t="e">
        <f>EXP(-LN(2)/25)*GM112+(1-EXP(-LN(2)/25))/(LN(2)/25)*Calculateur!GH113*Calculateur!GJ113*VLOOKUP('Données projet'!$B$17,Paramètres!$A$1:$I$88,3,0)*0.475*44/12</f>
        <v>#N/A</v>
      </c>
      <c r="GN113" s="23" t="e">
        <f>EXP(-LN(2)/2)*GN112+(1-EXP(-LN(2)/2))/(LN(2)/2)*GH113*GK113*VLOOKUP('Données projet'!$B$17,Paramètres!$A$1:$I$88,3,0)*0.475*44/12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68.796525005936132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projet'!$B$18,Paramètres!$A$1:$I$88,3,0)*0.475*44/12</f>
        <v>#N/A</v>
      </c>
      <c r="HH113" s="23" t="e">
        <f>EXP(-LN(2)/25)*HH112+(1-EXP(-LN(2)/25))/(LN(2)/25)*Calculateur!HC113*Calculateur!HE113*VLOOKUP('Données projet'!$B$18,Paramètres!$A$1:$I$88,3,0)*0.475*44/12</f>
        <v>#N/A</v>
      </c>
      <c r="HI113" s="23" t="e">
        <f>EXP(-LN(2)/2)*HI112+(1-EXP(-LN(2)/2))/(LN(2)/2)*HC113*HF113*VLOOKUP('Données projet'!$B$18,Paramètres!$A$1:$I$88,3,0)*0.475*44/12</f>
        <v>#N/A</v>
      </c>
      <c r="HJ113" s="24" t="e">
        <f t="shared" si="84"/>
        <v>#N/A</v>
      </c>
    </row>
    <row r="114" spans="1:218" s="5" customFormat="1" x14ac:dyDescent="0.2">
      <c r="A114" s="11">
        <f t="shared" si="85"/>
        <v>111</v>
      </c>
      <c r="B114" s="77">
        <f>'Scénario référence'!$B$16*5+'Scénario référence'!$B$17*0+'Scénario référence'!$B$18*5</f>
        <v>1.6500000000000001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6.0500000000000007</v>
      </c>
      <c r="H114" s="70">
        <f t="shared" si="56"/>
        <v>232.4666666666667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68.817402606516126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projet'!$B$9,Paramètres!$A$1:$I$88,3,0)*VLOOKUP('Données projet'!$B$9,Paramètres!$A$1:$I$88,5,0)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288.99714289056112</v>
      </c>
      <c r="S114" s="62">
        <f ca="1">AVERAGE(OFFSET($R$3,0,0,'Données projet'!$E$9+1,1))-AVERAGE(OFFSET($H$3,0,0,'Données projet'!$E$9+1,1))</f>
        <v>354.71367224254021</v>
      </c>
      <c r="T114" s="62">
        <f t="shared" si="88"/>
        <v>490.074370133397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63.097391584873435</v>
      </c>
      <c r="AA114" s="23">
        <f>EXP(-LN(2)/25)*AA113+(1-EXP(-LN(2)/25))/(LN(2)/25)*Calculateur!V114*Calculateur!X114*VLOOKUP('Données projet'!$B$9,Paramètres!$A$1:$I$88,3,0)*0.475*44/12</f>
        <v>9.0085080199266621</v>
      </c>
      <c r="AB114" s="23">
        <f>EXP(-LN(2)/2)*AB113+(1-EXP(-LN(2)/2))/(LN(2)/2)*V114*Y114*VLOOKUP('Données projet'!$B$9,Paramètres!$A$1:$I$88,3,0)*0.475*44/12</f>
        <v>1.1995236377067587E-8</v>
      </c>
      <c r="AC114" s="24">
        <f t="shared" si="57"/>
        <v>72.105899616795341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68.817402606516126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2.2737367544323206E-13</v>
      </c>
      <c r="AJ114" s="14">
        <f>AI114*VLOOKUP('Données projet'!$B$10,Paramètres!$A$1:$I$88,3,0)*VLOOKUP('Données projet'!$B$10,Paramètres!$A$1:$I$88,5,0)</f>
        <v>1.3596945791505279E-13</v>
      </c>
      <c r="AK114" s="14">
        <f t="shared" si="89"/>
        <v>1.9708830566360721E-12</v>
      </c>
      <c r="AL114" s="22">
        <f t="shared" si="58"/>
        <v>3.669434796176543E-12</v>
      </c>
      <c r="AM114" s="62">
        <f t="shared" si="59"/>
        <v>288.99714289056283</v>
      </c>
      <c r="AN114" s="62">
        <f ca="1">AVERAGE(OFFSET($AM$3,0,0,'Données projet'!$E$10+1,1))-AVERAGE(OFFSET($H$3,0,0,'Données projet'!$E$10+1,1))</f>
        <v>264.73276096087574</v>
      </c>
      <c r="AO114" s="62">
        <f t="shared" si="90"/>
        <v>381.84464918049662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projet'!$B$10,Paramètres!$A$1:$I$88,3,0)*0.475*44/12</f>
        <v>44.250601658085507</v>
      </c>
      <c r="AV114" s="23">
        <f>EXP(-LN(2)/25)*AV113+(1-EXP(-LN(2)/25))/(LN(2)/25)*Calculateur!AQ114*Calculateur!AS114*VLOOKUP('Données projet'!$B$10,Paramètres!$A$1:$I$88,3,0)*0.475*44/12</f>
        <v>6.3287666388336783</v>
      </c>
      <c r="AW114" s="23">
        <f>EXP(-LN(2)/2)*AW113+(1-EXP(-LN(2)/2))/(LN(2)/2)*AQ114*AT114*VLOOKUP('Données projet'!$B$10,Paramètres!$A$1:$I$88,3,0)*0.475*44/12</f>
        <v>8.3991639026405629E-9</v>
      </c>
      <c r="AX114" s="23">
        <f t="shared" si="60"/>
        <v>50.579368305318347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68.817402606516126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1.9</v>
      </c>
      <c r="BD114" s="13">
        <f>IF('Données projet'!$A$88&gt;35,BD113+BC114-BL113,IF(A114&lt;'Données projet'!$A$88,$BA$205^A114,IF(A114='Données projet'!$A$88,'Données projet'!$B$88,BD113+BC114-BL113)))</f>
        <v>267.89999999999992</v>
      </c>
      <c r="BE114" s="14">
        <f>BD114*VLOOKUP('Données projet'!$B$11,Paramètres!$A$1:$I$88,3,0)*VLOOKUP('Données projet'!$B$11,Paramètres!$A$1:$I$88,5,0)</f>
        <v>305.08451999999994</v>
      </c>
      <c r="BF114" s="14">
        <f t="shared" si="91"/>
        <v>72.241329327748659</v>
      </c>
      <c r="BG114" s="22">
        <f t="shared" si="61"/>
        <v>657.17585424582876</v>
      </c>
      <c r="BH114" s="62">
        <f t="shared" si="62"/>
        <v>946.17299713638795</v>
      </c>
      <c r="BI114" s="62">
        <f ca="1">AVERAGE(OFFSET($BH$3,0,0,'Données projet'!$E$11+1,1))-AVERAGE(OFFSET($H$3,0,0,'Données projet'!$E$11+1,1))</f>
        <v>470.57532875732056</v>
      </c>
      <c r="BJ114" s="62">
        <f t="shared" si="92"/>
        <v>286.63787681165888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projet'!$B$11,Paramètres!$A$1:$I$88,3,0)*0.475*44/12</f>
        <v>46.600726006945507</v>
      </c>
      <c r="BQ114" s="23">
        <f>EXP(-LN(2)/25)*BQ113+(1-EXP(-LN(2)/25))/(LN(2)/25)*Calculateur!BL114*Calculateur!BN114*VLOOKUP('Données projet'!$B$11,Paramètres!$A$1:$I$88,3,0)*0.475*44/12</f>
        <v>0</v>
      </c>
      <c r="BR114" s="23">
        <f>EXP(-LN(2)/2)*BR113+(1-EXP(-LN(2)/2))/(LN(2)/2)*BL114*BO114*VLOOKUP('Données projet'!$B$11,Paramètres!$A$1:$I$88,3,0)*0.475*44/12</f>
        <v>0</v>
      </c>
      <c r="BS114" s="24">
        <f t="shared" si="63"/>
        <v>46.600726006945507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68.817402606516126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-2.2737367544323206E-13</v>
      </c>
      <c r="BZ114" s="14">
        <f>BY114*VLOOKUP('Données projet'!$B$12,Paramètres!$A$1:$I$88,3,0)*VLOOKUP('Données projet'!$B$12,Paramètres!$A$1:$I$88,5,0)</f>
        <v>-1.4897523215040565E-13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305.38855494899906</v>
      </c>
      <c r="CE114" s="62">
        <f t="shared" si="94"/>
        <v>298.48106301229177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projet'!$B$12,Paramètres!$A$1:$I$88,3,0)*0.475*44/12</f>
        <v>45.889511730986598</v>
      </c>
      <c r="CL114" s="23">
        <f>EXP(-LN(2)/25)*CL113+(1-EXP(-LN(2)/25))/(LN(2)/25)*Calculateur!CG114*Calculateur!CI114*VLOOKUP('Données projet'!$B$12,Paramètres!$A$1:$I$88,3,0)*0.475*44/12</f>
        <v>0</v>
      </c>
      <c r="CM114" s="23">
        <f>EXP(-LN(2)/2)*CM113+(1-EXP(-LN(2)/2))/(LN(2)/2)*CG114*CJ114*VLOOKUP('Données projet'!$B$12,Paramètres!$A$1:$I$88,3,0)*0.475*44/12</f>
        <v>0</v>
      </c>
      <c r="CN114" s="24">
        <f t="shared" si="66"/>
        <v>45.889511730986598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68.817402606516126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-2.2737367544323206E-13</v>
      </c>
      <c r="CU114" s="18">
        <f>CT114*VLOOKUP('Données projet'!$B$13,Paramètres!$A$1:$I$88,3,0)*VLOOKUP('Données projet'!$B$13,Paramètres!$A$1:$I$88,5,0)</f>
        <v>-1.8089849618263545E-13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361.30066984973894</v>
      </c>
      <c r="CZ114" s="62">
        <f t="shared" si="96"/>
        <v>351.78053157121622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projet'!$B$13,Paramètres!$A$1:$I$88,3,0)*0.475*44/12</f>
        <v>68.681810746875257</v>
      </c>
      <c r="DG114" s="23">
        <f>EXP(-LN(2)/25)*DG113+(1-EXP(-LN(2)/25))/(LN(2)/25)*Calculateur!DB114*Calculateur!DD114*VLOOKUP('Données projet'!$B$13,Paramètres!$A$1:$I$88,3,0)*0.475*44/12</f>
        <v>0</v>
      </c>
      <c r="DH114" s="23">
        <f>EXP(-LN(2)/2)*DH113+(1-EXP(-LN(2)/2))/(LN(2)/2)*DB114*DE114*VLOOKUP('Données projet'!$B$13,Paramètres!$A$1:$I$88,3,0)*0.475*44/12</f>
        <v>0</v>
      </c>
      <c r="DI114" s="24">
        <f t="shared" si="69"/>
        <v>68.681810746875257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68.817402606516126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>
        <f>DO114*VLOOKUP('Données projet'!$B$14,Paramètres!$A$1:$I$88,3,0)*VLOOKUP('Données projet'!$B$14,Paramètres!$A$1:$I$88,5,0)</f>
        <v>0</v>
      </c>
      <c r="DQ114" s="14" t="e">
        <f t="shared" si="97"/>
        <v>#NUM!</v>
      </c>
      <c r="DR114" s="22" t="e">
        <f t="shared" si="70"/>
        <v>#NUM!</v>
      </c>
      <c r="DS114" s="62" t="e">
        <f t="shared" si="71"/>
        <v>#NUM!</v>
      </c>
      <c r="DT114" s="62">
        <f ca="1">AVERAGE(OFFSET($DS$3,0,0,'Données projet'!$E$14+1,1))-AVERAGE(OFFSET($H$3,0,0,'Données projet'!$E$14+1,1))</f>
        <v>91.201152634762423</v>
      </c>
      <c r="DU114" s="62">
        <f t="shared" si="98"/>
        <v>233.36981992862445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projet'!$B$14,Paramètres!$A$1:$I$88,3,0)*0.475*44/12</f>
        <v>8.3354063523476842</v>
      </c>
      <c r="EB114" s="23">
        <f>EXP(-LN(2)/25)*EB113+(1-EXP(-LN(2)/25))/(LN(2)/25)*Calculateur!DW114*Calculateur!DY114*VLOOKUP('Données projet'!$B$14,Paramètres!$A$1:$I$88,3,0)*0.475*44/12</f>
        <v>0</v>
      </c>
      <c r="EC114" s="23">
        <f>EXP(-LN(2)/2)*EC113+(1-EXP(-LN(2)/2))/(LN(2)/2)*DW114*DZ114*VLOOKUP('Données projet'!$B$14,Paramètres!$A$1:$I$88,3,0)*0.475*44/12</f>
        <v>0</v>
      </c>
      <c r="ED114" s="24">
        <f t="shared" si="72"/>
        <v>8.3354063523476842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68.817402606516126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projet'!$B$15,Paramètres!$A$1:$I$88,3,0)*0.475*44/12</f>
        <v>#N/A</v>
      </c>
      <c r="EW114" s="23" t="e">
        <f>EXP(-LN(2)/25)*EW113+(1-EXP(-LN(2)/25))/(LN(2)/25)*Calculateur!ER114*Calculateur!ET114*VLOOKUP('Données projet'!$B$15,Paramètres!$A$1:$I$88,3,0)*0.475*44/12</f>
        <v>#N/A</v>
      </c>
      <c r="EX114" s="23" t="e">
        <f>EXP(-LN(2)/2)*EX113+(1-EXP(-LN(2)/2))/(LN(2)/2)*ER114*EU114*VLOOKUP('Données projet'!$B$15,Paramètres!$A$1:$I$88,3,0)*0.475*44/12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68.817402606516126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projet'!$B$16,Paramètres!$A$1:$I$88,3,0)*0.475*44/12</f>
        <v>#N/A</v>
      </c>
      <c r="FR114" s="23" t="e">
        <f>EXP(-LN(2)/25)*FR113+(1-EXP(-LN(2)/25))/(LN(2)/25)*Calculateur!FM114*Calculateur!FO114*VLOOKUP('Données projet'!$B$16,Paramètres!$A$1:$I$88,3,0)*0.475*44/12</f>
        <v>#N/A</v>
      </c>
      <c r="FS114" s="23" t="e">
        <f>EXP(-LN(2)/2)*FS113+(1-EXP(-LN(2)/2))/(LN(2)/2)*FM114*FP114*VLOOKUP('Données projet'!$B$16,Paramètres!$A$1:$I$88,3,0)*0.475*44/12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68.817402606516126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projet'!$B$17,Paramètres!$A$1:$I$88,3,0)*0.475*44/12</f>
        <v>#N/A</v>
      </c>
      <c r="GM114" s="23" t="e">
        <f>EXP(-LN(2)/25)*GM113+(1-EXP(-LN(2)/25))/(LN(2)/25)*Calculateur!GH114*Calculateur!GJ114*VLOOKUP('Données projet'!$B$17,Paramètres!$A$1:$I$88,3,0)*0.475*44/12</f>
        <v>#N/A</v>
      </c>
      <c r="GN114" s="23" t="e">
        <f>EXP(-LN(2)/2)*GN113+(1-EXP(-LN(2)/2))/(LN(2)/2)*GH114*GK114*VLOOKUP('Données projet'!$B$17,Paramètres!$A$1:$I$88,3,0)*0.475*44/12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68.817402606516126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projet'!$B$18,Paramètres!$A$1:$I$88,3,0)*0.475*44/12</f>
        <v>#N/A</v>
      </c>
      <c r="HH114" s="23" t="e">
        <f>EXP(-LN(2)/25)*HH113+(1-EXP(-LN(2)/25))/(LN(2)/25)*Calculateur!HC114*Calculateur!HE114*VLOOKUP('Données projet'!$B$18,Paramètres!$A$1:$I$88,3,0)*0.475*44/12</f>
        <v>#N/A</v>
      </c>
      <c r="HI114" s="23" t="e">
        <f>EXP(-LN(2)/2)*HI113+(1-EXP(-LN(2)/2))/(LN(2)/2)*HC114*HF114*VLOOKUP('Données projet'!$B$18,Paramètres!$A$1:$I$88,3,0)*0.475*44/12</f>
        <v>#N/A</v>
      </c>
      <c r="HJ114" s="24" t="e">
        <f t="shared" si="84"/>
        <v>#N/A</v>
      </c>
    </row>
    <row r="115" spans="1:218" s="5" customFormat="1" x14ac:dyDescent="0.2">
      <c r="A115" s="11">
        <f t="shared" si="85"/>
        <v>112</v>
      </c>
      <c r="B115" s="77">
        <f>'Scénario référence'!$B$16*5+'Scénario référence'!$B$17*0+'Scénario référence'!$B$18*5</f>
        <v>1.6500000000000001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6.0500000000000007</v>
      </c>
      <c r="H115" s="70">
        <f t="shared" si="56"/>
        <v>232.4666666666667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68.837918027401386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projet'!$B$9,Paramètres!$A$1:$I$88,3,0)*VLOOKUP('Données projet'!$B$9,Paramètres!$A$1:$I$88,5,0)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289.07236610047374</v>
      </c>
      <c r="S115" s="62">
        <f ca="1">AVERAGE(OFFSET($R$3,0,0,'Données projet'!$E$9+1,1))-AVERAGE(OFFSET($H$3,0,0,'Données projet'!$E$9+1,1))</f>
        <v>354.71367224254021</v>
      </c>
      <c r="T115" s="62">
        <f t="shared" si="88"/>
        <v>490.074370133397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61.860090221502794</v>
      </c>
      <c r="AA115" s="23">
        <f>EXP(-LN(2)/25)*AA114+(1-EXP(-LN(2)/25))/(LN(2)/25)*Calculateur!V115*Calculateur!X115*VLOOKUP('Données projet'!$B$9,Paramètres!$A$1:$I$88,3,0)*0.475*44/12</f>
        <v>8.76216989438492</v>
      </c>
      <c r="AB115" s="23">
        <f>EXP(-LN(2)/2)*AB114+(1-EXP(-LN(2)/2))/(LN(2)/2)*V115*Y115*VLOOKUP('Données projet'!$B$9,Paramètres!$A$1:$I$88,3,0)*0.475*44/12</f>
        <v>8.4819129841600453E-9</v>
      </c>
      <c r="AC115" s="24">
        <f t="shared" si="57"/>
        <v>70.622260124369632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68.837918027401386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2.2737367544323206E-13</v>
      </c>
      <c r="AJ115" s="14">
        <f>AI115*VLOOKUP('Données projet'!$B$10,Paramètres!$A$1:$I$88,3,0)*VLOOKUP('Données projet'!$B$10,Paramètres!$A$1:$I$88,5,0)</f>
        <v>1.3596945791505279E-13</v>
      </c>
      <c r="AK115" s="14">
        <f t="shared" si="89"/>
        <v>1.9708830566360721E-12</v>
      </c>
      <c r="AL115" s="22">
        <f t="shared" si="58"/>
        <v>3.669434796176543E-12</v>
      </c>
      <c r="AM115" s="62">
        <f t="shared" si="59"/>
        <v>289.07236610047545</v>
      </c>
      <c r="AN115" s="62">
        <f ca="1">AVERAGE(OFFSET($AM$3,0,0,'Données projet'!$E$10+1,1))-AVERAGE(OFFSET($H$3,0,0,'Données projet'!$E$10+1,1))</f>
        <v>264.73276096087574</v>
      </c>
      <c r="AO115" s="62">
        <f t="shared" si="90"/>
        <v>381.84464918049662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projet'!$B$10,Paramètres!$A$1:$I$88,3,0)*0.475*44/12</f>
        <v>43.382874349772401</v>
      </c>
      <c r="AV115" s="23">
        <f>EXP(-LN(2)/25)*AV114+(1-EXP(-LN(2)/25))/(LN(2)/25)*Calculateur!AQ115*Calculateur!AS115*VLOOKUP('Données projet'!$B$10,Paramètres!$A$1:$I$88,3,0)*0.475*44/12</f>
        <v>6.1557061822793981</v>
      </c>
      <c r="AW115" s="23">
        <f>EXP(-LN(2)/2)*AW114+(1-EXP(-LN(2)/2))/(LN(2)/2)*AQ115*AT115*VLOOKUP('Données projet'!$B$10,Paramètres!$A$1:$I$88,3,0)*0.475*44/12</f>
        <v>5.9391057518544091E-9</v>
      </c>
      <c r="AX115" s="23">
        <f t="shared" si="60"/>
        <v>49.538580537990903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68.837918027401386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1.9</v>
      </c>
      <c r="BD115" s="13">
        <f>IF('Données projet'!$A$88&gt;35,BD114+BC115-BL114,IF(A115&lt;'Données projet'!$A$88,$BA$205^A115,IF(A115='Données projet'!$A$88,'Données projet'!$B$88,BD114+BC115-BL114)))</f>
        <v>269.7999999999999</v>
      </c>
      <c r="BE115" s="14">
        <f>BD115*VLOOKUP('Données projet'!$B$11,Paramètres!$A$1:$I$88,3,0)*VLOOKUP('Données projet'!$B$11,Paramètres!$A$1:$I$88,5,0)</f>
        <v>307.2482399999999</v>
      </c>
      <c r="BF115" s="14">
        <f t="shared" si="91"/>
        <v>72.693855285301694</v>
      </c>
      <c r="BG115" s="22">
        <f t="shared" si="61"/>
        <v>661.7324826219002</v>
      </c>
      <c r="BH115" s="62">
        <f t="shared" si="62"/>
        <v>950.80484872237196</v>
      </c>
      <c r="BI115" s="62">
        <f ca="1">AVERAGE(OFFSET($BH$3,0,0,'Données projet'!$E$11+1,1))-AVERAGE(OFFSET($H$3,0,0,'Données projet'!$E$11+1,1))</f>
        <v>470.57532875732056</v>
      </c>
      <c r="BJ115" s="62">
        <f t="shared" si="92"/>
        <v>286.63787681165888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projet'!$B$11,Paramètres!$A$1:$I$88,3,0)*0.475*44/12</f>
        <v>45.686914193585572</v>
      </c>
      <c r="BQ115" s="23">
        <f>EXP(-LN(2)/25)*BQ114+(1-EXP(-LN(2)/25))/(LN(2)/25)*Calculateur!BL115*Calculateur!BN115*VLOOKUP('Données projet'!$B$11,Paramètres!$A$1:$I$88,3,0)*0.475*44/12</f>
        <v>0</v>
      </c>
      <c r="BR115" s="23">
        <f>EXP(-LN(2)/2)*BR114+(1-EXP(-LN(2)/2))/(LN(2)/2)*BL115*BO115*VLOOKUP('Données projet'!$B$11,Paramètres!$A$1:$I$88,3,0)*0.475*44/12</f>
        <v>0</v>
      </c>
      <c r="BS115" s="24">
        <f t="shared" si="63"/>
        <v>45.686914193585572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68.837918027401386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-2.2737367544323206E-13</v>
      </c>
      <c r="BZ115" s="14">
        <f>BY115*VLOOKUP('Données projet'!$B$12,Paramètres!$A$1:$I$88,3,0)*VLOOKUP('Données projet'!$B$12,Paramètres!$A$1:$I$88,5,0)</f>
        <v>-1.4897523215040565E-13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305.38855494899906</v>
      </c>
      <c r="CE115" s="62">
        <f t="shared" si="94"/>
        <v>298.48106301229177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projet'!$B$12,Paramètres!$A$1:$I$88,3,0)*0.475*44/12</f>
        <v>44.989646395780341</v>
      </c>
      <c r="CL115" s="23">
        <f>EXP(-LN(2)/25)*CL114+(1-EXP(-LN(2)/25))/(LN(2)/25)*Calculateur!CG115*Calculateur!CI115*VLOOKUP('Données projet'!$B$12,Paramètres!$A$1:$I$88,3,0)*0.475*44/12</f>
        <v>0</v>
      </c>
      <c r="CM115" s="23">
        <f>EXP(-LN(2)/2)*CM114+(1-EXP(-LN(2)/2))/(LN(2)/2)*CG115*CJ115*VLOOKUP('Données projet'!$B$12,Paramètres!$A$1:$I$88,3,0)*0.475*44/12</f>
        <v>0</v>
      </c>
      <c r="CN115" s="24">
        <f t="shared" si="66"/>
        <v>44.989646395780341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68.837918027401386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-2.2737367544323206E-13</v>
      </c>
      <c r="CU115" s="18">
        <f>CT115*VLOOKUP('Données projet'!$B$13,Paramètres!$A$1:$I$88,3,0)*VLOOKUP('Données projet'!$B$13,Paramètres!$A$1:$I$88,5,0)</f>
        <v>-1.8089849618263545E-13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361.30066984973894</v>
      </c>
      <c r="CZ115" s="62">
        <f t="shared" si="96"/>
        <v>351.78053157121622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projet'!$B$13,Paramètres!$A$1:$I$88,3,0)*0.475*44/12</f>
        <v>67.335002329897122</v>
      </c>
      <c r="DG115" s="23">
        <f>EXP(-LN(2)/25)*DG114+(1-EXP(-LN(2)/25))/(LN(2)/25)*Calculateur!DB115*Calculateur!DD115*VLOOKUP('Données projet'!$B$13,Paramètres!$A$1:$I$88,3,0)*0.475*44/12</f>
        <v>0</v>
      </c>
      <c r="DH115" s="23">
        <f>EXP(-LN(2)/2)*DH114+(1-EXP(-LN(2)/2))/(LN(2)/2)*DB115*DE115*VLOOKUP('Données projet'!$B$13,Paramètres!$A$1:$I$88,3,0)*0.475*44/12</f>
        <v>0</v>
      </c>
      <c r="DI115" s="24">
        <f t="shared" si="69"/>
        <v>67.335002329897122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68.837918027401386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>
        <f>DO115*VLOOKUP('Données projet'!$B$14,Paramètres!$A$1:$I$88,3,0)*VLOOKUP('Données projet'!$B$14,Paramètres!$A$1:$I$88,5,0)</f>
        <v>0</v>
      </c>
      <c r="DQ115" s="14" t="e">
        <f t="shared" si="97"/>
        <v>#NUM!</v>
      </c>
      <c r="DR115" s="22" t="e">
        <f t="shared" si="70"/>
        <v>#NUM!</v>
      </c>
      <c r="DS115" s="62" t="e">
        <f t="shared" si="71"/>
        <v>#NUM!</v>
      </c>
      <c r="DT115" s="62">
        <f ca="1">AVERAGE(OFFSET($DS$3,0,0,'Données projet'!$E$14+1,1))-AVERAGE(OFFSET($H$3,0,0,'Données projet'!$E$14+1,1))</f>
        <v>91.201152634762423</v>
      </c>
      <c r="DU115" s="62">
        <f t="shared" si="98"/>
        <v>233.36981992862445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projet'!$B$14,Paramètres!$A$1:$I$88,3,0)*0.475*44/12</f>
        <v>8.1719541178740087</v>
      </c>
      <c r="EB115" s="23">
        <f>EXP(-LN(2)/25)*EB114+(1-EXP(-LN(2)/25))/(LN(2)/25)*Calculateur!DW115*Calculateur!DY115*VLOOKUP('Données projet'!$B$14,Paramètres!$A$1:$I$88,3,0)*0.475*44/12</f>
        <v>0</v>
      </c>
      <c r="EC115" s="23">
        <f>EXP(-LN(2)/2)*EC114+(1-EXP(-LN(2)/2))/(LN(2)/2)*DW115*DZ115*VLOOKUP('Données projet'!$B$14,Paramètres!$A$1:$I$88,3,0)*0.475*44/12</f>
        <v>0</v>
      </c>
      <c r="ED115" s="24">
        <f t="shared" si="72"/>
        <v>8.1719541178740087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68.837918027401386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projet'!$B$15,Paramètres!$A$1:$I$88,3,0)*0.475*44/12</f>
        <v>#N/A</v>
      </c>
      <c r="EW115" s="23" t="e">
        <f>EXP(-LN(2)/25)*EW114+(1-EXP(-LN(2)/25))/(LN(2)/25)*Calculateur!ER115*Calculateur!ET115*VLOOKUP('Données projet'!$B$15,Paramètres!$A$1:$I$88,3,0)*0.475*44/12</f>
        <v>#N/A</v>
      </c>
      <c r="EX115" s="23" t="e">
        <f>EXP(-LN(2)/2)*EX114+(1-EXP(-LN(2)/2))/(LN(2)/2)*ER115*EU115*VLOOKUP('Données projet'!$B$15,Paramètres!$A$1:$I$88,3,0)*0.475*44/12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68.837918027401386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projet'!$B$16,Paramètres!$A$1:$I$88,3,0)*0.475*44/12</f>
        <v>#N/A</v>
      </c>
      <c r="FR115" s="23" t="e">
        <f>EXP(-LN(2)/25)*FR114+(1-EXP(-LN(2)/25))/(LN(2)/25)*Calculateur!FM115*Calculateur!FO115*VLOOKUP('Données projet'!$B$16,Paramètres!$A$1:$I$88,3,0)*0.475*44/12</f>
        <v>#N/A</v>
      </c>
      <c r="FS115" s="23" t="e">
        <f>EXP(-LN(2)/2)*FS114+(1-EXP(-LN(2)/2))/(LN(2)/2)*FM115*FP115*VLOOKUP('Données projet'!$B$16,Paramètres!$A$1:$I$88,3,0)*0.475*44/12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68.837918027401386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projet'!$B$17,Paramètres!$A$1:$I$88,3,0)*0.475*44/12</f>
        <v>#N/A</v>
      </c>
      <c r="GM115" s="23" t="e">
        <f>EXP(-LN(2)/25)*GM114+(1-EXP(-LN(2)/25))/(LN(2)/25)*Calculateur!GH115*Calculateur!GJ115*VLOOKUP('Données projet'!$B$17,Paramètres!$A$1:$I$88,3,0)*0.475*44/12</f>
        <v>#N/A</v>
      </c>
      <c r="GN115" s="23" t="e">
        <f>EXP(-LN(2)/2)*GN114+(1-EXP(-LN(2)/2))/(LN(2)/2)*GH115*GK115*VLOOKUP('Données projet'!$B$17,Paramètres!$A$1:$I$88,3,0)*0.475*44/12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68.837918027401386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projet'!$B$18,Paramètres!$A$1:$I$88,3,0)*0.475*44/12</f>
        <v>#N/A</v>
      </c>
      <c r="HH115" s="23" t="e">
        <f>EXP(-LN(2)/25)*HH114+(1-EXP(-LN(2)/25))/(LN(2)/25)*Calculateur!HC115*Calculateur!HE115*VLOOKUP('Données projet'!$B$18,Paramètres!$A$1:$I$88,3,0)*0.475*44/12</f>
        <v>#N/A</v>
      </c>
      <c r="HI115" s="23" t="e">
        <f>EXP(-LN(2)/2)*HI114+(1-EXP(-LN(2)/2))/(LN(2)/2)*HC115*HF115*VLOOKUP('Données projet'!$B$18,Paramètres!$A$1:$I$88,3,0)*0.475*44/12</f>
        <v>#N/A</v>
      </c>
      <c r="HJ115" s="24" t="e">
        <f t="shared" si="84"/>
        <v>#N/A</v>
      </c>
    </row>
    <row r="116" spans="1:218" s="5" customFormat="1" x14ac:dyDescent="0.2">
      <c r="A116" s="11">
        <f t="shared" si="85"/>
        <v>113</v>
      </c>
      <c r="B116" s="77">
        <f>'Scénario référence'!$B$16*5+'Scénario référence'!$B$17*0+'Scénario référence'!$B$18*5</f>
        <v>1.6500000000000001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6.0500000000000007</v>
      </c>
      <c r="H116" s="70">
        <f t="shared" si="56"/>
        <v>232.4666666666667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68.858077551599891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projet'!$B$9,Paramètres!$A$1:$I$88,3,0)*VLOOKUP('Données projet'!$B$9,Paramètres!$A$1:$I$88,5,0)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289.14628435586826</v>
      </c>
      <c r="S116" s="62">
        <f ca="1">AVERAGE(OFFSET($R$3,0,0,'Données projet'!$E$9+1,1))-AVERAGE(OFFSET($H$3,0,0,'Données projet'!$E$9+1,1))</f>
        <v>354.71367224254021</v>
      </c>
      <c r="T116" s="62">
        <f t="shared" si="88"/>
        <v>490.074370133397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60.647051583188542</v>
      </c>
      <c r="AA116" s="23">
        <f>EXP(-LN(2)/25)*AA115+(1-EXP(-LN(2)/25))/(LN(2)/25)*Calculateur!V116*Calculateur!X116*VLOOKUP('Données projet'!$B$9,Paramètres!$A$1:$I$88,3,0)*0.475*44/12</f>
        <v>8.5225678978404762</v>
      </c>
      <c r="AB116" s="23">
        <f>EXP(-LN(2)/2)*AB115+(1-EXP(-LN(2)/2))/(LN(2)/2)*V116*Y116*VLOOKUP('Données projet'!$B$9,Paramètres!$A$1:$I$88,3,0)*0.475*44/12</f>
        <v>5.9976181885337936E-9</v>
      </c>
      <c r="AC116" s="24">
        <f t="shared" si="57"/>
        <v>69.169619487026637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68.858077551599891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2.2737367544323206E-13</v>
      </c>
      <c r="AJ116" s="14">
        <f>AI116*VLOOKUP('Données projet'!$B$10,Paramètres!$A$1:$I$88,3,0)*VLOOKUP('Données projet'!$B$10,Paramètres!$A$1:$I$88,5,0)</f>
        <v>1.3596945791505279E-13</v>
      </c>
      <c r="AK116" s="14">
        <f t="shared" si="89"/>
        <v>1.9708830566360721E-12</v>
      </c>
      <c r="AL116" s="22">
        <f t="shared" si="58"/>
        <v>3.669434796176543E-12</v>
      </c>
      <c r="AM116" s="62">
        <f t="shared" si="59"/>
        <v>289.14628435586997</v>
      </c>
      <c r="AN116" s="62">
        <f ca="1">AVERAGE(OFFSET($AM$3,0,0,'Données projet'!$E$10+1,1))-AVERAGE(OFFSET($H$3,0,0,'Données projet'!$E$10+1,1))</f>
        <v>264.73276096087574</v>
      </c>
      <c r="AO116" s="62">
        <f t="shared" si="90"/>
        <v>381.84464918049662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projet'!$B$10,Paramètres!$A$1:$I$88,3,0)*0.475*44/12</f>
        <v>42.532162644713914</v>
      </c>
      <c r="AV116" s="23">
        <f>EXP(-LN(2)/25)*AV115+(1-EXP(-LN(2)/25))/(LN(2)/25)*Calculateur!AQ116*Calculateur!AS116*VLOOKUP('Données projet'!$B$10,Paramètres!$A$1:$I$88,3,0)*0.475*44/12</f>
        <v>5.9873780730104489</v>
      </c>
      <c r="AW116" s="23">
        <f>EXP(-LN(2)/2)*AW115+(1-EXP(-LN(2)/2))/(LN(2)/2)*AQ116*AT116*VLOOKUP('Données projet'!$B$10,Paramètres!$A$1:$I$88,3,0)*0.475*44/12</f>
        <v>4.1995819513202815E-9</v>
      </c>
      <c r="AX116" s="23">
        <f t="shared" si="60"/>
        <v>48.519540721923946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68.858077551599891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1.9</v>
      </c>
      <c r="BD116" s="13">
        <f>IF('Données projet'!$A$88&gt;35,BD115+BC116-BL115,IF(A116&lt;'Données projet'!$A$88,$BA$205^A116,IF(A116='Données projet'!$A$88,'Données projet'!$B$88,BD115+BC116-BL115)))</f>
        <v>271.69999999999987</v>
      </c>
      <c r="BE116" s="14">
        <f>BD116*VLOOKUP('Données projet'!$B$11,Paramètres!$A$1:$I$88,3,0)*VLOOKUP('Données projet'!$B$11,Paramètres!$A$1:$I$88,5,0)</f>
        <v>309.41195999999985</v>
      </c>
      <c r="BF116" s="14">
        <f t="shared" si="91"/>
        <v>73.146010447792946</v>
      </c>
      <c r="BG116" s="22">
        <f t="shared" si="61"/>
        <v>666.28846519657236</v>
      </c>
      <c r="BH116" s="62">
        <f t="shared" si="62"/>
        <v>955.43474955243869</v>
      </c>
      <c r="BI116" s="62">
        <f ca="1">AVERAGE(OFFSET($BH$3,0,0,'Données projet'!$E$11+1,1))-AVERAGE(OFFSET($H$3,0,0,'Données projet'!$E$11+1,1))</f>
        <v>470.57532875732056</v>
      </c>
      <c r="BJ116" s="62">
        <f t="shared" si="92"/>
        <v>286.63787681165888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projet'!$B$11,Paramètres!$A$1:$I$88,3,0)*0.475*44/12</f>
        <v>44.791021672515456</v>
      </c>
      <c r="BQ116" s="23">
        <f>EXP(-LN(2)/25)*BQ115+(1-EXP(-LN(2)/25))/(LN(2)/25)*Calculateur!BL116*Calculateur!BN116*VLOOKUP('Données projet'!$B$11,Paramètres!$A$1:$I$88,3,0)*0.475*44/12</f>
        <v>0</v>
      </c>
      <c r="BR116" s="23">
        <f>EXP(-LN(2)/2)*BR115+(1-EXP(-LN(2)/2))/(LN(2)/2)*BL116*BO116*VLOOKUP('Données projet'!$B$11,Paramètres!$A$1:$I$88,3,0)*0.475*44/12</f>
        <v>0</v>
      </c>
      <c r="BS116" s="24">
        <f t="shared" si="63"/>
        <v>44.791021672515456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68.858077551599891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-2.2737367544323206E-13</v>
      </c>
      <c r="BZ116" s="14">
        <f>BY116*VLOOKUP('Données projet'!$B$12,Paramètres!$A$1:$I$88,3,0)*VLOOKUP('Données projet'!$B$12,Paramètres!$A$1:$I$88,5,0)</f>
        <v>-1.4897523215040565E-13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305.38855494899906</v>
      </c>
      <c r="CE116" s="62">
        <f t="shared" si="94"/>
        <v>298.48106301229177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projet'!$B$12,Paramètres!$A$1:$I$88,3,0)*0.475*44/12</f>
        <v>44.107426870933821</v>
      </c>
      <c r="CL116" s="23">
        <f>EXP(-LN(2)/25)*CL115+(1-EXP(-LN(2)/25))/(LN(2)/25)*Calculateur!CG116*Calculateur!CI116*VLOOKUP('Données projet'!$B$12,Paramètres!$A$1:$I$88,3,0)*0.475*44/12</f>
        <v>0</v>
      </c>
      <c r="CM116" s="23">
        <f>EXP(-LN(2)/2)*CM115+(1-EXP(-LN(2)/2))/(LN(2)/2)*CG116*CJ116*VLOOKUP('Données projet'!$B$12,Paramètres!$A$1:$I$88,3,0)*0.475*44/12</f>
        <v>0</v>
      </c>
      <c r="CN116" s="24">
        <f t="shared" si="66"/>
        <v>44.107426870933821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68.858077551599891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-2.2737367544323206E-13</v>
      </c>
      <c r="CU116" s="18">
        <f>CT116*VLOOKUP('Données projet'!$B$13,Paramètres!$A$1:$I$88,3,0)*VLOOKUP('Données projet'!$B$13,Paramètres!$A$1:$I$88,5,0)</f>
        <v>-1.8089849618263545E-13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361.30066984973894</v>
      </c>
      <c r="CZ116" s="62">
        <f t="shared" si="96"/>
        <v>351.78053157121622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projet'!$B$13,Paramètres!$A$1:$I$88,3,0)*0.475*44/12</f>
        <v>66.014604004503909</v>
      </c>
      <c r="DG116" s="23">
        <f>EXP(-LN(2)/25)*DG115+(1-EXP(-LN(2)/25))/(LN(2)/25)*Calculateur!DB116*Calculateur!DD116*VLOOKUP('Données projet'!$B$13,Paramètres!$A$1:$I$88,3,0)*0.475*44/12</f>
        <v>0</v>
      </c>
      <c r="DH116" s="23">
        <f>EXP(-LN(2)/2)*DH115+(1-EXP(-LN(2)/2))/(LN(2)/2)*DB116*DE116*VLOOKUP('Données projet'!$B$13,Paramètres!$A$1:$I$88,3,0)*0.475*44/12</f>
        <v>0</v>
      </c>
      <c r="DI116" s="24">
        <f t="shared" si="69"/>
        <v>66.014604004503909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68.858077551599891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>
        <f>DO116*VLOOKUP('Données projet'!$B$14,Paramètres!$A$1:$I$88,3,0)*VLOOKUP('Données projet'!$B$14,Paramètres!$A$1:$I$88,5,0)</f>
        <v>0</v>
      </c>
      <c r="DQ116" s="14" t="e">
        <f t="shared" si="97"/>
        <v>#NUM!</v>
      </c>
      <c r="DR116" s="22" t="e">
        <f t="shared" si="70"/>
        <v>#NUM!</v>
      </c>
      <c r="DS116" s="62" t="e">
        <f t="shared" si="71"/>
        <v>#NUM!</v>
      </c>
      <c r="DT116" s="62">
        <f ca="1">AVERAGE(OFFSET($DS$3,0,0,'Données projet'!$E$14+1,1))-AVERAGE(OFFSET($H$3,0,0,'Données projet'!$E$14+1,1))</f>
        <v>91.201152634762423</v>
      </c>
      <c r="DU116" s="62">
        <f t="shared" si="98"/>
        <v>233.36981992862445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projet'!$B$14,Paramètres!$A$1:$I$88,3,0)*0.475*44/12</f>
        <v>8.0117070820223422</v>
      </c>
      <c r="EB116" s="23">
        <f>EXP(-LN(2)/25)*EB115+(1-EXP(-LN(2)/25))/(LN(2)/25)*Calculateur!DW116*Calculateur!DY116*VLOOKUP('Données projet'!$B$14,Paramètres!$A$1:$I$88,3,0)*0.475*44/12</f>
        <v>0</v>
      </c>
      <c r="EC116" s="23">
        <f>EXP(-LN(2)/2)*EC115+(1-EXP(-LN(2)/2))/(LN(2)/2)*DW116*DZ116*VLOOKUP('Données projet'!$B$14,Paramètres!$A$1:$I$88,3,0)*0.475*44/12</f>
        <v>0</v>
      </c>
      <c r="ED116" s="24">
        <f t="shared" si="72"/>
        <v>8.0117070820223422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68.858077551599891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projet'!$B$15,Paramètres!$A$1:$I$88,3,0)*0.475*44/12</f>
        <v>#N/A</v>
      </c>
      <c r="EW116" s="23" t="e">
        <f>EXP(-LN(2)/25)*EW115+(1-EXP(-LN(2)/25))/(LN(2)/25)*Calculateur!ER116*Calculateur!ET116*VLOOKUP('Données projet'!$B$15,Paramètres!$A$1:$I$88,3,0)*0.475*44/12</f>
        <v>#N/A</v>
      </c>
      <c r="EX116" s="23" t="e">
        <f>EXP(-LN(2)/2)*EX115+(1-EXP(-LN(2)/2))/(LN(2)/2)*ER116*EU116*VLOOKUP('Données projet'!$B$15,Paramètres!$A$1:$I$88,3,0)*0.475*44/12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68.858077551599891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projet'!$B$16,Paramètres!$A$1:$I$88,3,0)*0.475*44/12</f>
        <v>#N/A</v>
      </c>
      <c r="FR116" s="23" t="e">
        <f>EXP(-LN(2)/25)*FR115+(1-EXP(-LN(2)/25))/(LN(2)/25)*Calculateur!FM116*Calculateur!FO116*VLOOKUP('Données projet'!$B$16,Paramètres!$A$1:$I$88,3,0)*0.475*44/12</f>
        <v>#N/A</v>
      </c>
      <c r="FS116" s="23" t="e">
        <f>EXP(-LN(2)/2)*FS115+(1-EXP(-LN(2)/2))/(LN(2)/2)*FM116*FP116*VLOOKUP('Données projet'!$B$16,Paramètres!$A$1:$I$88,3,0)*0.475*44/12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68.858077551599891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projet'!$B$17,Paramètres!$A$1:$I$88,3,0)*0.475*44/12</f>
        <v>#N/A</v>
      </c>
      <c r="GM116" s="23" t="e">
        <f>EXP(-LN(2)/25)*GM115+(1-EXP(-LN(2)/25))/(LN(2)/25)*Calculateur!GH116*Calculateur!GJ116*VLOOKUP('Données projet'!$B$17,Paramètres!$A$1:$I$88,3,0)*0.475*44/12</f>
        <v>#N/A</v>
      </c>
      <c r="GN116" s="23" t="e">
        <f>EXP(-LN(2)/2)*GN115+(1-EXP(-LN(2)/2))/(LN(2)/2)*GH116*GK116*VLOOKUP('Données projet'!$B$17,Paramètres!$A$1:$I$88,3,0)*0.475*44/12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68.858077551599891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projet'!$B$18,Paramètres!$A$1:$I$88,3,0)*0.475*44/12</f>
        <v>#N/A</v>
      </c>
      <c r="HH116" s="23" t="e">
        <f>EXP(-LN(2)/25)*HH115+(1-EXP(-LN(2)/25))/(LN(2)/25)*Calculateur!HC116*Calculateur!HE116*VLOOKUP('Données projet'!$B$18,Paramètres!$A$1:$I$88,3,0)*0.475*44/12</f>
        <v>#N/A</v>
      </c>
      <c r="HI116" s="23" t="e">
        <f>EXP(-LN(2)/2)*HI115+(1-EXP(-LN(2)/2))/(LN(2)/2)*HC116*HF116*VLOOKUP('Données projet'!$B$18,Paramètres!$A$1:$I$88,3,0)*0.475*44/12</f>
        <v>#N/A</v>
      </c>
      <c r="HJ116" s="24" t="e">
        <f t="shared" si="84"/>
        <v>#N/A</v>
      </c>
    </row>
    <row r="117" spans="1:218" s="5" customFormat="1" x14ac:dyDescent="0.2">
      <c r="A117" s="11">
        <f t="shared" si="85"/>
        <v>114</v>
      </c>
      <c r="B117" s="77">
        <f>'Scénario référence'!$B$16*5+'Scénario référence'!$B$17*0+'Scénario référence'!$B$18*5</f>
        <v>1.6500000000000001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6.0500000000000007</v>
      </c>
      <c r="H117" s="70">
        <f t="shared" si="56"/>
        <v>232.4666666666667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68.877887353123498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projet'!$B$9,Paramètres!$A$1:$I$88,3,0)*VLOOKUP('Données projet'!$B$9,Paramètres!$A$1:$I$88,5,0)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289.21892029478818</v>
      </c>
      <c r="S117" s="62">
        <f ca="1">AVERAGE(OFFSET($R$3,0,0,'Données projet'!$E$9+1,1))-AVERAGE(OFFSET($H$3,0,0,'Données projet'!$E$9+1,1))</f>
        <v>354.71367224254021</v>
      </c>
      <c r="T117" s="62">
        <f t="shared" si="88"/>
        <v>490.074370133397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59.457799892691121</v>
      </c>
      <c r="AA117" s="23">
        <f>EXP(-LN(2)/25)*AA116+(1-EXP(-LN(2)/25))/(LN(2)/25)*Calculateur!V117*Calculateur!X117*VLOOKUP('Données projet'!$B$9,Paramètres!$A$1:$I$88,3,0)*0.475*44/12</f>
        <v>8.2895178304916612</v>
      </c>
      <c r="AB117" s="23">
        <f>EXP(-LN(2)/2)*AB116+(1-EXP(-LN(2)/2))/(LN(2)/2)*V117*Y117*VLOOKUP('Données projet'!$B$9,Paramètres!$A$1:$I$88,3,0)*0.475*44/12</f>
        <v>4.2409564920800227E-9</v>
      </c>
      <c r="AC117" s="24">
        <f t="shared" si="57"/>
        <v>67.747317727423749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68.877887353123498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2.2737367544323206E-13</v>
      </c>
      <c r="AJ117" s="14">
        <f>AI117*VLOOKUP('Données projet'!$B$10,Paramètres!$A$1:$I$88,3,0)*VLOOKUP('Données projet'!$B$10,Paramètres!$A$1:$I$88,5,0)</f>
        <v>1.3596945791505279E-13</v>
      </c>
      <c r="AK117" s="14">
        <f t="shared" si="89"/>
        <v>1.9708830566360721E-12</v>
      </c>
      <c r="AL117" s="22">
        <f t="shared" si="58"/>
        <v>3.669434796176543E-12</v>
      </c>
      <c r="AM117" s="62">
        <f t="shared" si="59"/>
        <v>289.21892029478988</v>
      </c>
      <c r="AN117" s="62">
        <f ca="1">AVERAGE(OFFSET($AM$3,0,0,'Données projet'!$E$10+1,1))-AVERAGE(OFFSET($H$3,0,0,'Données projet'!$E$10+1,1))</f>
        <v>264.73276096087574</v>
      </c>
      <c r="AO117" s="62">
        <f t="shared" si="90"/>
        <v>381.84464918049662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projet'!$B$10,Paramètres!$A$1:$I$88,3,0)*0.475*44/12</f>
        <v>41.698132877308723</v>
      </c>
      <c r="AV117" s="23">
        <f>EXP(-LN(2)/25)*AV116+(1-EXP(-LN(2)/25))/(LN(2)/25)*Calculateur!AQ117*Calculateur!AS117*VLOOKUP('Données projet'!$B$10,Paramètres!$A$1:$I$88,3,0)*0.475*44/12</f>
        <v>5.8236529047414498</v>
      </c>
      <c r="AW117" s="23">
        <f>EXP(-LN(2)/2)*AW116+(1-EXP(-LN(2)/2))/(LN(2)/2)*AQ117*AT117*VLOOKUP('Données projet'!$B$10,Paramètres!$A$1:$I$88,3,0)*0.475*44/12</f>
        <v>2.9695528759272046E-9</v>
      </c>
      <c r="AX117" s="23">
        <f t="shared" si="60"/>
        <v>47.521785785019723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68.877887353123498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1.9</v>
      </c>
      <c r="BD117" s="13">
        <f>IF('Données projet'!$A$88&gt;35,BD116+BC117-BL116,IF(A117&lt;'Données projet'!$A$88,$BA$205^A117,IF(A117='Données projet'!$A$88,'Données projet'!$B$88,BD116+BC117-BL116)))</f>
        <v>273.59999999999985</v>
      </c>
      <c r="BE117" s="14">
        <f>BD117*VLOOKUP('Données projet'!$B$11,Paramètres!$A$1:$I$88,3,0)*VLOOKUP('Données projet'!$B$11,Paramètres!$A$1:$I$88,5,0)</f>
        <v>311.57567999999986</v>
      </c>
      <c r="BF117" s="14">
        <f t="shared" si="91"/>
        <v>73.597797708886347</v>
      </c>
      <c r="BG117" s="22">
        <f t="shared" si="61"/>
        <v>670.84380700964346</v>
      </c>
      <c r="BH117" s="62">
        <f t="shared" si="62"/>
        <v>960.0627273044297</v>
      </c>
      <c r="BI117" s="62">
        <f ca="1">AVERAGE(OFFSET($BH$3,0,0,'Données projet'!$E$11+1,1))-AVERAGE(OFFSET($H$3,0,0,'Données projet'!$E$11+1,1))</f>
        <v>470.57532875732056</v>
      </c>
      <c r="BJ117" s="62">
        <f t="shared" si="92"/>
        <v>286.63787681165888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projet'!$B$11,Paramètres!$A$1:$I$88,3,0)*0.475*44/12</f>
        <v>43.912697057343038</v>
      </c>
      <c r="BQ117" s="23">
        <f>EXP(-LN(2)/25)*BQ116+(1-EXP(-LN(2)/25))/(LN(2)/25)*Calculateur!BL117*Calculateur!BN117*VLOOKUP('Données projet'!$B$11,Paramètres!$A$1:$I$88,3,0)*0.475*44/12</f>
        <v>0</v>
      </c>
      <c r="BR117" s="23">
        <f>EXP(-LN(2)/2)*BR116+(1-EXP(-LN(2)/2))/(LN(2)/2)*BL117*BO117*VLOOKUP('Données projet'!$B$11,Paramètres!$A$1:$I$88,3,0)*0.475*44/12</f>
        <v>0</v>
      </c>
      <c r="BS117" s="24">
        <f t="shared" si="63"/>
        <v>43.912697057343038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68.877887353123498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-2.2737367544323206E-13</v>
      </c>
      <c r="BZ117" s="14">
        <f>BY117*VLOOKUP('Données projet'!$B$12,Paramètres!$A$1:$I$88,3,0)*VLOOKUP('Données projet'!$B$12,Paramètres!$A$1:$I$88,5,0)</f>
        <v>-1.4897523215040565E-13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305.38855494899906</v>
      </c>
      <c r="CE117" s="62">
        <f t="shared" si="94"/>
        <v>298.48106301229177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projet'!$B$12,Paramètres!$A$1:$I$88,3,0)*0.475*44/12</f>
        <v>43.242507132868759</v>
      </c>
      <c r="CL117" s="23">
        <f>EXP(-LN(2)/25)*CL116+(1-EXP(-LN(2)/25))/(LN(2)/25)*Calculateur!CG117*Calculateur!CI117*VLOOKUP('Données projet'!$B$12,Paramètres!$A$1:$I$88,3,0)*0.475*44/12</f>
        <v>0</v>
      </c>
      <c r="CM117" s="23">
        <f>EXP(-LN(2)/2)*CM116+(1-EXP(-LN(2)/2))/(LN(2)/2)*CG117*CJ117*VLOOKUP('Données projet'!$B$12,Paramètres!$A$1:$I$88,3,0)*0.475*44/12</f>
        <v>0</v>
      </c>
      <c r="CN117" s="24">
        <f t="shared" si="66"/>
        <v>43.242507132868759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68.877887353123498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-2.2737367544323206E-13</v>
      </c>
      <c r="CU117" s="18">
        <f>CT117*VLOOKUP('Données projet'!$B$13,Paramètres!$A$1:$I$88,3,0)*VLOOKUP('Données projet'!$B$13,Paramètres!$A$1:$I$88,5,0)</f>
        <v>-1.8089849618263545E-13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361.30066984973894</v>
      </c>
      <c r="CZ117" s="62">
        <f t="shared" si="96"/>
        <v>351.78053157121622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projet'!$B$13,Paramètres!$A$1:$I$88,3,0)*0.475*44/12</f>
        <v>64.720097884908199</v>
      </c>
      <c r="DG117" s="23">
        <f>EXP(-LN(2)/25)*DG116+(1-EXP(-LN(2)/25))/(LN(2)/25)*Calculateur!DB117*Calculateur!DD117*VLOOKUP('Données projet'!$B$13,Paramètres!$A$1:$I$88,3,0)*0.475*44/12</f>
        <v>0</v>
      </c>
      <c r="DH117" s="23">
        <f>EXP(-LN(2)/2)*DH116+(1-EXP(-LN(2)/2))/(LN(2)/2)*DB117*DE117*VLOOKUP('Données projet'!$B$13,Paramètres!$A$1:$I$88,3,0)*0.475*44/12</f>
        <v>0</v>
      </c>
      <c r="DI117" s="24">
        <f t="shared" si="69"/>
        <v>64.720097884908199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68.877887353123498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>
        <f>DO117*VLOOKUP('Données projet'!$B$14,Paramètres!$A$1:$I$88,3,0)*VLOOKUP('Données projet'!$B$14,Paramètres!$A$1:$I$88,5,0)</f>
        <v>0</v>
      </c>
      <c r="DQ117" s="14" t="e">
        <f t="shared" si="97"/>
        <v>#NUM!</v>
      </c>
      <c r="DR117" s="22" t="e">
        <f t="shared" si="70"/>
        <v>#NUM!</v>
      </c>
      <c r="DS117" s="62" t="e">
        <f t="shared" si="71"/>
        <v>#NUM!</v>
      </c>
      <c r="DT117" s="62">
        <f ca="1">AVERAGE(OFFSET($DS$3,0,0,'Données projet'!$E$14+1,1))-AVERAGE(OFFSET($H$3,0,0,'Données projet'!$E$14+1,1))</f>
        <v>91.201152634762423</v>
      </c>
      <c r="DU117" s="62">
        <f t="shared" si="98"/>
        <v>233.36981992862445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projet'!$B$14,Paramètres!$A$1:$I$88,3,0)*0.475*44/12</f>
        <v>7.8546023928026862</v>
      </c>
      <c r="EB117" s="23">
        <f>EXP(-LN(2)/25)*EB116+(1-EXP(-LN(2)/25))/(LN(2)/25)*Calculateur!DW117*Calculateur!DY117*VLOOKUP('Données projet'!$B$14,Paramètres!$A$1:$I$88,3,0)*0.475*44/12</f>
        <v>0</v>
      </c>
      <c r="EC117" s="23">
        <f>EXP(-LN(2)/2)*EC116+(1-EXP(-LN(2)/2))/(LN(2)/2)*DW117*DZ117*VLOOKUP('Données projet'!$B$14,Paramètres!$A$1:$I$88,3,0)*0.475*44/12</f>
        <v>0</v>
      </c>
      <c r="ED117" s="24">
        <f t="shared" si="72"/>
        <v>7.8546023928026862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68.877887353123498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projet'!$B$15,Paramètres!$A$1:$I$88,3,0)*0.475*44/12</f>
        <v>#N/A</v>
      </c>
      <c r="EW117" s="23" t="e">
        <f>EXP(-LN(2)/25)*EW116+(1-EXP(-LN(2)/25))/(LN(2)/25)*Calculateur!ER117*Calculateur!ET117*VLOOKUP('Données projet'!$B$15,Paramètres!$A$1:$I$88,3,0)*0.475*44/12</f>
        <v>#N/A</v>
      </c>
      <c r="EX117" s="23" t="e">
        <f>EXP(-LN(2)/2)*EX116+(1-EXP(-LN(2)/2))/(LN(2)/2)*ER117*EU117*VLOOKUP('Données projet'!$B$15,Paramètres!$A$1:$I$88,3,0)*0.475*44/12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68.877887353123498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projet'!$B$16,Paramètres!$A$1:$I$88,3,0)*0.475*44/12</f>
        <v>#N/A</v>
      </c>
      <c r="FR117" s="23" t="e">
        <f>EXP(-LN(2)/25)*FR116+(1-EXP(-LN(2)/25))/(LN(2)/25)*Calculateur!FM117*Calculateur!FO117*VLOOKUP('Données projet'!$B$16,Paramètres!$A$1:$I$88,3,0)*0.475*44/12</f>
        <v>#N/A</v>
      </c>
      <c r="FS117" s="23" t="e">
        <f>EXP(-LN(2)/2)*FS116+(1-EXP(-LN(2)/2))/(LN(2)/2)*FM117*FP117*VLOOKUP('Données projet'!$B$16,Paramètres!$A$1:$I$88,3,0)*0.475*44/12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68.877887353123498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projet'!$B$17,Paramètres!$A$1:$I$88,3,0)*0.475*44/12</f>
        <v>#N/A</v>
      </c>
      <c r="GM117" s="23" t="e">
        <f>EXP(-LN(2)/25)*GM116+(1-EXP(-LN(2)/25))/(LN(2)/25)*Calculateur!GH117*Calculateur!GJ117*VLOOKUP('Données projet'!$B$17,Paramètres!$A$1:$I$88,3,0)*0.475*44/12</f>
        <v>#N/A</v>
      </c>
      <c r="GN117" s="23" t="e">
        <f>EXP(-LN(2)/2)*GN116+(1-EXP(-LN(2)/2))/(LN(2)/2)*GH117*GK117*VLOOKUP('Données projet'!$B$17,Paramètres!$A$1:$I$88,3,0)*0.475*44/12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68.877887353123498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projet'!$B$18,Paramètres!$A$1:$I$88,3,0)*0.475*44/12</f>
        <v>#N/A</v>
      </c>
      <c r="HH117" s="23" t="e">
        <f>EXP(-LN(2)/25)*HH116+(1-EXP(-LN(2)/25))/(LN(2)/25)*Calculateur!HC117*Calculateur!HE117*VLOOKUP('Données projet'!$B$18,Paramètres!$A$1:$I$88,3,0)*0.475*44/12</f>
        <v>#N/A</v>
      </c>
      <c r="HI117" s="23" t="e">
        <f>EXP(-LN(2)/2)*HI116+(1-EXP(-LN(2)/2))/(LN(2)/2)*HC117*HF117*VLOOKUP('Données projet'!$B$18,Paramètres!$A$1:$I$88,3,0)*0.475*44/12</f>
        <v>#N/A</v>
      </c>
      <c r="HJ117" s="24" t="e">
        <f t="shared" si="84"/>
        <v>#N/A</v>
      </c>
    </row>
    <row r="118" spans="1:218" s="5" customFormat="1" x14ac:dyDescent="0.2">
      <c r="A118" s="11">
        <f t="shared" si="85"/>
        <v>115</v>
      </c>
      <c r="B118" s="77">
        <f>'Scénario référence'!$B$16*5+'Scénario référence'!$B$17*0+'Scénario référence'!$B$18*5</f>
        <v>1.6500000000000001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6.0500000000000007</v>
      </c>
      <c r="H118" s="70">
        <f t="shared" si="56"/>
        <v>232.4666666666667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68.897353498878758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projet'!$B$9,Paramètres!$A$1:$I$88,3,0)*VLOOKUP('Données projet'!$B$9,Paramètres!$A$1:$I$88,5,0)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289.29029616255741</v>
      </c>
      <c r="S118" s="62">
        <f ca="1">AVERAGE(OFFSET($R$3,0,0,'Données projet'!$E$9+1,1))-AVERAGE(OFFSET($H$3,0,0,'Données projet'!$E$9+1,1))</f>
        <v>354.71367224254021</v>
      </c>
      <c r="T118" s="62">
        <f t="shared" si="88"/>
        <v>490.074370133397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58.291868702472442</v>
      </c>
      <c r="AA118" s="23">
        <f>EXP(-LN(2)/25)*AA117+(1-EXP(-LN(2)/25))/(LN(2)/25)*Calculateur!V118*Calculateur!X118*VLOOKUP('Données projet'!$B$9,Paramètres!$A$1:$I$88,3,0)*0.475*44/12</f>
        <v>8.0628405294900691</v>
      </c>
      <c r="AB118" s="23">
        <f>EXP(-LN(2)/2)*AB117+(1-EXP(-LN(2)/2))/(LN(2)/2)*V118*Y118*VLOOKUP('Données projet'!$B$9,Paramètres!$A$1:$I$88,3,0)*0.475*44/12</f>
        <v>2.9988090942668968E-9</v>
      </c>
      <c r="AC118" s="24">
        <f t="shared" si="57"/>
        <v>66.354709234961319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68.897353498878758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2.2737367544323206E-13</v>
      </c>
      <c r="AJ118" s="14">
        <f>AI118*VLOOKUP('Données projet'!$B$10,Paramètres!$A$1:$I$88,3,0)*VLOOKUP('Données projet'!$B$10,Paramètres!$A$1:$I$88,5,0)</f>
        <v>1.3596945791505279E-13</v>
      </c>
      <c r="AK118" s="14">
        <f t="shared" si="89"/>
        <v>1.9708830566360721E-12</v>
      </c>
      <c r="AL118" s="22">
        <f t="shared" si="58"/>
        <v>3.669434796176543E-12</v>
      </c>
      <c r="AM118" s="62">
        <f t="shared" si="59"/>
        <v>289.29029616255912</v>
      </c>
      <c r="AN118" s="62">
        <f ca="1">AVERAGE(OFFSET($AM$3,0,0,'Données projet'!$E$10+1,1))-AVERAGE(OFFSET($H$3,0,0,'Données projet'!$E$10+1,1))</f>
        <v>264.73276096087574</v>
      </c>
      <c r="AO118" s="62">
        <f t="shared" si="90"/>
        <v>381.84464918049662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projet'!$B$10,Paramètres!$A$1:$I$88,3,0)*0.475*44/12</f>
        <v>40.880457924934419</v>
      </c>
      <c r="AV118" s="23">
        <f>EXP(-LN(2)/25)*AV117+(1-EXP(-LN(2)/25))/(LN(2)/25)*Calculateur!AQ118*Calculateur!AS118*VLOOKUP('Données projet'!$B$10,Paramètres!$A$1:$I$88,3,0)*0.475*44/12</f>
        <v>5.6644048098086985</v>
      </c>
      <c r="AW118" s="23">
        <f>EXP(-LN(2)/2)*AW117+(1-EXP(-LN(2)/2))/(LN(2)/2)*AQ118*AT118*VLOOKUP('Données projet'!$B$10,Paramètres!$A$1:$I$88,3,0)*0.475*44/12</f>
        <v>2.0997909756601407E-9</v>
      </c>
      <c r="AX118" s="23">
        <f t="shared" si="60"/>
        <v>46.544862736842909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68.897353498878758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1.9</v>
      </c>
      <c r="BD118" s="13">
        <f>IF('Données projet'!$A$88&gt;35,BD117+BC118-BL117,IF(A118&lt;'Données projet'!$A$88,$BA$205^A118,IF(A118='Données projet'!$A$88,'Données projet'!$B$88,BD117+BC118-BL117)))</f>
        <v>275.49999999999983</v>
      </c>
      <c r="BE118" s="14">
        <f>BD118*VLOOKUP('Données projet'!$B$11,Paramètres!$A$1:$I$88,3,0)*VLOOKUP('Données projet'!$B$11,Paramètres!$A$1:$I$88,5,0)</f>
        <v>313.73939999999982</v>
      </c>
      <c r="BF118" s="14">
        <f t="shared" si="91"/>
        <v>74.049219919733119</v>
      </c>
      <c r="BG118" s="22">
        <f t="shared" si="61"/>
        <v>675.39851302686805</v>
      </c>
      <c r="BH118" s="62">
        <f t="shared" si="62"/>
        <v>964.68880918942341</v>
      </c>
      <c r="BI118" s="62">
        <f ca="1">AVERAGE(OFFSET($BH$3,0,0,'Données projet'!$E$11+1,1))-AVERAGE(OFFSET($H$3,0,0,'Données projet'!$E$11+1,1))</f>
        <v>470.57532875732056</v>
      </c>
      <c r="BJ118" s="62">
        <f t="shared" si="92"/>
        <v>286.63787681165888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projet'!$B$11,Paramètres!$A$1:$I$88,3,0)*0.475*44/12</f>
        <v>43.051595852149035</v>
      </c>
      <c r="BQ118" s="23">
        <f>EXP(-LN(2)/25)*BQ117+(1-EXP(-LN(2)/25))/(LN(2)/25)*Calculateur!BL118*Calculateur!BN118*VLOOKUP('Données projet'!$B$11,Paramètres!$A$1:$I$88,3,0)*0.475*44/12</f>
        <v>0</v>
      </c>
      <c r="BR118" s="23">
        <f>EXP(-LN(2)/2)*BR117+(1-EXP(-LN(2)/2))/(LN(2)/2)*BL118*BO118*VLOOKUP('Données projet'!$B$11,Paramètres!$A$1:$I$88,3,0)*0.475*44/12</f>
        <v>0</v>
      </c>
      <c r="BS118" s="24">
        <f t="shared" si="63"/>
        <v>43.051595852149035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68.897353498878758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-2.2737367544323206E-13</v>
      </c>
      <c r="BZ118" s="14">
        <f>BY118*VLOOKUP('Données projet'!$B$12,Paramètres!$A$1:$I$88,3,0)*VLOOKUP('Données projet'!$B$12,Paramètres!$A$1:$I$88,5,0)</f>
        <v>-1.4897523215040565E-13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305.38855494899906</v>
      </c>
      <c r="CE118" s="62">
        <f t="shared" si="94"/>
        <v>298.48106301229177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projet'!$B$12,Paramètres!$A$1:$I$88,3,0)*0.475*44/12</f>
        <v>42.394547943318209</v>
      </c>
      <c r="CL118" s="23">
        <f>EXP(-LN(2)/25)*CL117+(1-EXP(-LN(2)/25))/(LN(2)/25)*Calculateur!CG118*Calculateur!CI118*VLOOKUP('Données projet'!$B$12,Paramètres!$A$1:$I$88,3,0)*0.475*44/12</f>
        <v>0</v>
      </c>
      <c r="CM118" s="23">
        <f>EXP(-LN(2)/2)*CM117+(1-EXP(-LN(2)/2))/(LN(2)/2)*CG118*CJ118*VLOOKUP('Données projet'!$B$12,Paramètres!$A$1:$I$88,3,0)*0.475*44/12</f>
        <v>0</v>
      </c>
      <c r="CN118" s="24">
        <f t="shared" si="66"/>
        <v>42.394547943318209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68.897353498878758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-2.2737367544323206E-13</v>
      </c>
      <c r="CU118" s="18">
        <f>CT118*VLOOKUP('Données projet'!$B$13,Paramètres!$A$1:$I$88,3,0)*VLOOKUP('Données projet'!$B$13,Paramètres!$A$1:$I$88,5,0)</f>
        <v>-1.8089849618263545E-13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361.30066984973894</v>
      </c>
      <c r="CZ118" s="62">
        <f t="shared" si="96"/>
        <v>351.78053157121622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projet'!$B$13,Paramètres!$A$1:$I$88,3,0)*0.475*44/12</f>
        <v>63.450976240746989</v>
      </c>
      <c r="DG118" s="23">
        <f>EXP(-LN(2)/25)*DG117+(1-EXP(-LN(2)/25))/(LN(2)/25)*Calculateur!DB118*Calculateur!DD118*VLOOKUP('Données projet'!$B$13,Paramètres!$A$1:$I$88,3,0)*0.475*44/12</f>
        <v>0</v>
      </c>
      <c r="DH118" s="23">
        <f>EXP(-LN(2)/2)*DH117+(1-EXP(-LN(2)/2))/(LN(2)/2)*DB118*DE118*VLOOKUP('Données projet'!$B$13,Paramètres!$A$1:$I$88,3,0)*0.475*44/12</f>
        <v>0</v>
      </c>
      <c r="DI118" s="24">
        <f t="shared" si="69"/>
        <v>63.450976240746989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68.897353498878758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>
        <f>DO118*VLOOKUP('Données projet'!$B$14,Paramètres!$A$1:$I$88,3,0)*VLOOKUP('Données projet'!$B$14,Paramètres!$A$1:$I$88,5,0)</f>
        <v>0</v>
      </c>
      <c r="DQ118" s="14" t="e">
        <f t="shared" si="97"/>
        <v>#NUM!</v>
      </c>
      <c r="DR118" s="22" t="e">
        <f t="shared" si="70"/>
        <v>#NUM!</v>
      </c>
      <c r="DS118" s="62" t="e">
        <f t="shared" si="71"/>
        <v>#NUM!</v>
      </c>
      <c r="DT118" s="62">
        <f ca="1">AVERAGE(OFFSET($DS$3,0,0,'Données projet'!$E$14+1,1))-AVERAGE(OFFSET($H$3,0,0,'Données projet'!$E$14+1,1))</f>
        <v>91.201152634762423</v>
      </c>
      <c r="DU118" s="62">
        <f t="shared" si="98"/>
        <v>233.36981992862445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projet'!$B$14,Paramètres!$A$1:$I$88,3,0)*0.475*44/12</f>
        <v>7.7005784307142298</v>
      </c>
      <c r="EB118" s="23">
        <f>EXP(-LN(2)/25)*EB117+(1-EXP(-LN(2)/25))/(LN(2)/25)*Calculateur!DW118*Calculateur!DY118*VLOOKUP('Données projet'!$B$14,Paramètres!$A$1:$I$88,3,0)*0.475*44/12</f>
        <v>0</v>
      </c>
      <c r="EC118" s="23">
        <f>EXP(-LN(2)/2)*EC117+(1-EXP(-LN(2)/2))/(LN(2)/2)*DW118*DZ118*VLOOKUP('Données projet'!$B$14,Paramètres!$A$1:$I$88,3,0)*0.475*44/12</f>
        <v>0</v>
      </c>
      <c r="ED118" s="24">
        <f t="shared" si="72"/>
        <v>7.7005784307142298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68.897353498878758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projet'!$B$15,Paramètres!$A$1:$I$88,3,0)*0.475*44/12</f>
        <v>#N/A</v>
      </c>
      <c r="EW118" s="23" t="e">
        <f>EXP(-LN(2)/25)*EW117+(1-EXP(-LN(2)/25))/(LN(2)/25)*Calculateur!ER118*Calculateur!ET118*VLOOKUP('Données projet'!$B$15,Paramètres!$A$1:$I$88,3,0)*0.475*44/12</f>
        <v>#N/A</v>
      </c>
      <c r="EX118" s="23" t="e">
        <f>EXP(-LN(2)/2)*EX117+(1-EXP(-LN(2)/2))/(LN(2)/2)*ER118*EU118*VLOOKUP('Données projet'!$B$15,Paramètres!$A$1:$I$88,3,0)*0.475*44/12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68.897353498878758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projet'!$B$16,Paramètres!$A$1:$I$88,3,0)*0.475*44/12</f>
        <v>#N/A</v>
      </c>
      <c r="FR118" s="23" t="e">
        <f>EXP(-LN(2)/25)*FR117+(1-EXP(-LN(2)/25))/(LN(2)/25)*Calculateur!FM118*Calculateur!FO118*VLOOKUP('Données projet'!$B$16,Paramètres!$A$1:$I$88,3,0)*0.475*44/12</f>
        <v>#N/A</v>
      </c>
      <c r="FS118" s="23" t="e">
        <f>EXP(-LN(2)/2)*FS117+(1-EXP(-LN(2)/2))/(LN(2)/2)*FM118*FP118*VLOOKUP('Données projet'!$B$16,Paramètres!$A$1:$I$88,3,0)*0.475*44/12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68.897353498878758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projet'!$B$17,Paramètres!$A$1:$I$88,3,0)*0.475*44/12</f>
        <v>#N/A</v>
      </c>
      <c r="GM118" s="23" t="e">
        <f>EXP(-LN(2)/25)*GM117+(1-EXP(-LN(2)/25))/(LN(2)/25)*Calculateur!GH118*Calculateur!GJ118*VLOOKUP('Données projet'!$B$17,Paramètres!$A$1:$I$88,3,0)*0.475*44/12</f>
        <v>#N/A</v>
      </c>
      <c r="GN118" s="23" t="e">
        <f>EXP(-LN(2)/2)*GN117+(1-EXP(-LN(2)/2))/(LN(2)/2)*GH118*GK118*VLOOKUP('Données projet'!$B$17,Paramètres!$A$1:$I$88,3,0)*0.475*44/12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68.897353498878758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projet'!$B$18,Paramètres!$A$1:$I$88,3,0)*0.475*44/12</f>
        <v>#N/A</v>
      </c>
      <c r="HH118" s="23" t="e">
        <f>EXP(-LN(2)/25)*HH117+(1-EXP(-LN(2)/25))/(LN(2)/25)*Calculateur!HC118*Calculateur!HE118*VLOOKUP('Données projet'!$B$18,Paramètres!$A$1:$I$88,3,0)*0.475*44/12</f>
        <v>#N/A</v>
      </c>
      <c r="HI118" s="23" t="e">
        <f>EXP(-LN(2)/2)*HI117+(1-EXP(-LN(2)/2))/(LN(2)/2)*HC118*HF118*VLOOKUP('Données projet'!$B$18,Paramètres!$A$1:$I$88,3,0)*0.475*44/12</f>
        <v>#N/A</v>
      </c>
      <c r="HJ118" s="24" t="e">
        <f t="shared" si="84"/>
        <v>#N/A</v>
      </c>
    </row>
    <row r="119" spans="1:218" s="5" customFormat="1" x14ac:dyDescent="0.2">
      <c r="A119" s="11">
        <f t="shared" si="85"/>
        <v>116</v>
      </c>
      <c r="B119" s="77">
        <f>'Scénario référence'!$B$16*5+'Scénario référence'!$B$17*0+'Scénario référence'!$B$18*5</f>
        <v>1.6500000000000001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6.0500000000000007</v>
      </c>
      <c r="H119" s="70">
        <f t="shared" si="56"/>
        <v>232.4666666666667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68.91648195052494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projet'!$B$9,Paramètres!$A$1:$I$88,3,0)*VLOOKUP('Données projet'!$B$9,Paramètres!$A$1:$I$88,5,0)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289.36043381859344</v>
      </c>
      <c r="S119" s="62">
        <f ca="1">AVERAGE(OFFSET($R$3,0,0,'Données projet'!$E$9+1,1))-AVERAGE(OFFSET($H$3,0,0,'Données projet'!$E$9+1,1))</f>
        <v>354.71367224254021</v>
      </c>
      <c r="T119" s="62">
        <f t="shared" si="88"/>
        <v>490.074370133397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57.148800711746148</v>
      </c>
      <c r="AA119" s="23">
        <f>EXP(-LN(2)/25)*AA118+(1-EXP(-LN(2)/25))/(LN(2)/25)*Calculateur!V119*Calculateur!X119*VLOOKUP('Données projet'!$B$9,Paramètres!$A$1:$I$88,3,0)*0.475*44/12</f>
        <v>7.8423617312048073</v>
      </c>
      <c r="AB119" s="23">
        <f>EXP(-LN(2)/2)*AB118+(1-EXP(-LN(2)/2))/(LN(2)/2)*V119*Y119*VLOOKUP('Données projet'!$B$9,Paramètres!$A$1:$I$88,3,0)*0.475*44/12</f>
        <v>2.1204782460400113E-9</v>
      </c>
      <c r="AC119" s="24">
        <f t="shared" si="57"/>
        <v>64.991162445071424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68.91648195052494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2.2737367544323206E-13</v>
      </c>
      <c r="AJ119" s="14">
        <f>AI119*VLOOKUP('Données projet'!$B$10,Paramètres!$A$1:$I$88,3,0)*VLOOKUP('Données projet'!$B$10,Paramètres!$A$1:$I$88,5,0)</f>
        <v>1.3596945791505279E-13</v>
      </c>
      <c r="AK119" s="14">
        <f t="shared" si="89"/>
        <v>1.9708830566360721E-12</v>
      </c>
      <c r="AL119" s="22">
        <f t="shared" si="58"/>
        <v>3.669434796176543E-12</v>
      </c>
      <c r="AM119" s="62">
        <f t="shared" si="59"/>
        <v>289.36043381859514</v>
      </c>
      <c r="AN119" s="62">
        <f ca="1">AVERAGE(OFFSET($AM$3,0,0,'Données projet'!$E$10+1,1))-AVERAGE(OFFSET($H$3,0,0,'Données projet'!$E$10+1,1))</f>
        <v>264.73276096087574</v>
      </c>
      <c r="AO119" s="62">
        <f t="shared" si="90"/>
        <v>381.84464918049662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projet'!$B$10,Paramètres!$A$1:$I$88,3,0)*0.475*44/12</f>
        <v>40.078817079643699</v>
      </c>
      <c r="AV119" s="23">
        <f>EXP(-LN(2)/25)*AV118+(1-EXP(-LN(2)/25))/(LN(2)/25)*Calculateur!AQ119*Calculateur!AS119*VLOOKUP('Données projet'!$B$10,Paramètres!$A$1:$I$88,3,0)*0.475*44/12</f>
        <v>5.5095113624063767</v>
      </c>
      <c r="AW119" s="23">
        <f>EXP(-LN(2)/2)*AW118+(1-EXP(-LN(2)/2))/(LN(2)/2)*AQ119*AT119*VLOOKUP('Données projet'!$B$10,Paramètres!$A$1:$I$88,3,0)*0.475*44/12</f>
        <v>1.4847764379636023E-9</v>
      </c>
      <c r="AX119" s="23">
        <f t="shared" si="60"/>
        <v>45.588328443534856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68.91648195052494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1.9</v>
      </c>
      <c r="BD119" s="13">
        <f>IF('Données projet'!$A$88&gt;35,BD118+BC119-BL118,IF(A119&lt;'Données projet'!$A$88,$BA$205^A119,IF(A119='Données projet'!$A$88,'Données projet'!$B$88,BD118+BC119-BL118)))</f>
        <v>277.39999999999981</v>
      </c>
      <c r="BE119" s="14">
        <f>BD119*VLOOKUP('Données projet'!$B$11,Paramètres!$A$1:$I$88,3,0)*VLOOKUP('Données projet'!$B$11,Paramètres!$A$1:$I$88,5,0)</f>
        <v>315.90311999999983</v>
      </c>
      <c r="BF119" s="14">
        <f t="shared" si="91"/>
        <v>74.500279889885235</v>
      </c>
      <c r="BG119" s="22">
        <f t="shared" si="61"/>
        <v>679.95258814154977</v>
      </c>
      <c r="BH119" s="62">
        <f t="shared" si="62"/>
        <v>969.31302196014121</v>
      </c>
      <c r="BI119" s="62">
        <f ca="1">AVERAGE(OFFSET($BH$3,0,0,'Données projet'!$E$11+1,1))-AVERAGE(OFFSET($H$3,0,0,'Données projet'!$E$11+1,1))</f>
        <v>470.57532875732056</v>
      </c>
      <c r="BJ119" s="62">
        <f t="shared" si="92"/>
        <v>286.63787681165888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projet'!$B$11,Paramètres!$A$1:$I$88,3,0)*0.475*44/12</f>
        <v>42.207380316369012</v>
      </c>
      <c r="BQ119" s="23">
        <f>EXP(-LN(2)/25)*BQ118+(1-EXP(-LN(2)/25))/(LN(2)/25)*Calculateur!BL119*Calculateur!BN119*VLOOKUP('Données projet'!$B$11,Paramètres!$A$1:$I$88,3,0)*0.475*44/12</f>
        <v>0</v>
      </c>
      <c r="BR119" s="23">
        <f>EXP(-LN(2)/2)*BR118+(1-EXP(-LN(2)/2))/(LN(2)/2)*BL119*BO119*VLOOKUP('Données projet'!$B$11,Paramètres!$A$1:$I$88,3,0)*0.475*44/12</f>
        <v>0</v>
      </c>
      <c r="BS119" s="24">
        <f t="shared" si="63"/>
        <v>42.207380316369012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68.91648195052494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-2.2737367544323206E-13</v>
      </c>
      <c r="BZ119" s="14">
        <f>BY119*VLOOKUP('Données projet'!$B$12,Paramètres!$A$1:$I$88,3,0)*VLOOKUP('Données projet'!$B$12,Paramètres!$A$1:$I$88,5,0)</f>
        <v>-1.4897523215040565E-13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305.38855494899906</v>
      </c>
      <c r="CE119" s="62">
        <f t="shared" si="94"/>
        <v>298.48106301229177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projet'!$B$12,Paramètres!$A$1:$I$88,3,0)*0.475*44/12</f>
        <v>41.563216716270709</v>
      </c>
      <c r="CL119" s="23">
        <f>EXP(-LN(2)/25)*CL118+(1-EXP(-LN(2)/25))/(LN(2)/25)*Calculateur!CG119*Calculateur!CI119*VLOOKUP('Données projet'!$B$12,Paramètres!$A$1:$I$88,3,0)*0.475*44/12</f>
        <v>0</v>
      </c>
      <c r="CM119" s="23">
        <f>EXP(-LN(2)/2)*CM118+(1-EXP(-LN(2)/2))/(LN(2)/2)*CG119*CJ119*VLOOKUP('Données projet'!$B$12,Paramètres!$A$1:$I$88,3,0)*0.475*44/12</f>
        <v>0</v>
      </c>
      <c r="CN119" s="24">
        <f t="shared" si="66"/>
        <v>41.563216716270709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68.91648195052494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-2.2737367544323206E-13</v>
      </c>
      <c r="CU119" s="18">
        <f>CT119*VLOOKUP('Données projet'!$B$13,Paramètres!$A$1:$I$88,3,0)*VLOOKUP('Données projet'!$B$13,Paramètres!$A$1:$I$88,5,0)</f>
        <v>-1.8089849618263545E-13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361.30066984973894</v>
      </c>
      <c r="CZ119" s="62">
        <f t="shared" si="96"/>
        <v>351.78053157121622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projet'!$B$13,Paramètres!$A$1:$I$88,3,0)*0.475*44/12</f>
        <v>62.206741297940013</v>
      </c>
      <c r="DG119" s="23">
        <f>EXP(-LN(2)/25)*DG118+(1-EXP(-LN(2)/25))/(LN(2)/25)*Calculateur!DB119*Calculateur!DD119*VLOOKUP('Données projet'!$B$13,Paramètres!$A$1:$I$88,3,0)*0.475*44/12</f>
        <v>0</v>
      </c>
      <c r="DH119" s="23">
        <f>EXP(-LN(2)/2)*DH118+(1-EXP(-LN(2)/2))/(LN(2)/2)*DB119*DE119*VLOOKUP('Données projet'!$B$13,Paramètres!$A$1:$I$88,3,0)*0.475*44/12</f>
        <v>0</v>
      </c>
      <c r="DI119" s="24">
        <f t="shared" si="69"/>
        <v>62.206741297940013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68.91648195052494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>
        <f>DO119*VLOOKUP('Données projet'!$B$14,Paramètres!$A$1:$I$88,3,0)*VLOOKUP('Données projet'!$B$14,Paramètres!$A$1:$I$88,5,0)</f>
        <v>0</v>
      </c>
      <c r="DQ119" s="14" t="e">
        <f t="shared" si="97"/>
        <v>#NUM!</v>
      </c>
      <c r="DR119" s="22" t="e">
        <f t="shared" si="70"/>
        <v>#NUM!</v>
      </c>
      <c r="DS119" s="62" t="e">
        <f t="shared" si="71"/>
        <v>#NUM!</v>
      </c>
      <c r="DT119" s="62">
        <f ca="1">AVERAGE(OFFSET($DS$3,0,0,'Données projet'!$E$14+1,1))-AVERAGE(OFFSET($H$3,0,0,'Données projet'!$E$14+1,1))</f>
        <v>91.201152634762423</v>
      </c>
      <c r="DU119" s="62">
        <f t="shared" si="98"/>
        <v>233.36981992862445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projet'!$B$14,Paramètres!$A$1:$I$88,3,0)*0.475*44/12</f>
        <v>7.5495747845769872</v>
      </c>
      <c r="EB119" s="23">
        <f>EXP(-LN(2)/25)*EB118+(1-EXP(-LN(2)/25))/(LN(2)/25)*Calculateur!DW119*Calculateur!DY119*VLOOKUP('Données projet'!$B$14,Paramètres!$A$1:$I$88,3,0)*0.475*44/12</f>
        <v>0</v>
      </c>
      <c r="EC119" s="23">
        <f>EXP(-LN(2)/2)*EC118+(1-EXP(-LN(2)/2))/(LN(2)/2)*DW119*DZ119*VLOOKUP('Données projet'!$B$14,Paramètres!$A$1:$I$88,3,0)*0.475*44/12</f>
        <v>0</v>
      </c>
      <c r="ED119" s="24">
        <f t="shared" si="72"/>
        <v>7.5495747845769872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68.91648195052494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projet'!$B$15,Paramètres!$A$1:$I$88,3,0)*0.475*44/12</f>
        <v>#N/A</v>
      </c>
      <c r="EW119" s="23" t="e">
        <f>EXP(-LN(2)/25)*EW118+(1-EXP(-LN(2)/25))/(LN(2)/25)*Calculateur!ER119*Calculateur!ET119*VLOOKUP('Données projet'!$B$15,Paramètres!$A$1:$I$88,3,0)*0.475*44/12</f>
        <v>#N/A</v>
      </c>
      <c r="EX119" s="23" t="e">
        <f>EXP(-LN(2)/2)*EX118+(1-EXP(-LN(2)/2))/(LN(2)/2)*ER119*EU119*VLOOKUP('Données projet'!$B$15,Paramètres!$A$1:$I$88,3,0)*0.475*44/12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68.91648195052494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projet'!$B$16,Paramètres!$A$1:$I$88,3,0)*0.475*44/12</f>
        <v>#N/A</v>
      </c>
      <c r="FR119" s="23" t="e">
        <f>EXP(-LN(2)/25)*FR118+(1-EXP(-LN(2)/25))/(LN(2)/25)*Calculateur!FM119*Calculateur!FO119*VLOOKUP('Données projet'!$B$16,Paramètres!$A$1:$I$88,3,0)*0.475*44/12</f>
        <v>#N/A</v>
      </c>
      <c r="FS119" s="23" t="e">
        <f>EXP(-LN(2)/2)*FS118+(1-EXP(-LN(2)/2))/(LN(2)/2)*FM119*FP119*VLOOKUP('Données projet'!$B$16,Paramètres!$A$1:$I$88,3,0)*0.475*44/12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68.91648195052494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projet'!$B$17,Paramètres!$A$1:$I$88,3,0)*0.475*44/12</f>
        <v>#N/A</v>
      </c>
      <c r="GM119" s="23" t="e">
        <f>EXP(-LN(2)/25)*GM118+(1-EXP(-LN(2)/25))/(LN(2)/25)*Calculateur!GH119*Calculateur!GJ119*VLOOKUP('Données projet'!$B$17,Paramètres!$A$1:$I$88,3,0)*0.475*44/12</f>
        <v>#N/A</v>
      </c>
      <c r="GN119" s="23" t="e">
        <f>EXP(-LN(2)/2)*GN118+(1-EXP(-LN(2)/2))/(LN(2)/2)*GH119*GK119*VLOOKUP('Données projet'!$B$17,Paramètres!$A$1:$I$88,3,0)*0.475*44/12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68.91648195052494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projet'!$B$18,Paramètres!$A$1:$I$88,3,0)*0.475*44/12</f>
        <v>#N/A</v>
      </c>
      <c r="HH119" s="23" t="e">
        <f>EXP(-LN(2)/25)*HH118+(1-EXP(-LN(2)/25))/(LN(2)/25)*Calculateur!HC119*Calculateur!HE119*VLOOKUP('Données projet'!$B$18,Paramètres!$A$1:$I$88,3,0)*0.475*44/12</f>
        <v>#N/A</v>
      </c>
      <c r="HI119" s="23" t="e">
        <f>EXP(-LN(2)/2)*HI118+(1-EXP(-LN(2)/2))/(LN(2)/2)*HC119*HF119*VLOOKUP('Données projet'!$B$18,Paramètres!$A$1:$I$88,3,0)*0.475*44/12</f>
        <v>#N/A</v>
      </c>
      <c r="HJ119" s="24" t="e">
        <f t="shared" si="84"/>
        <v>#N/A</v>
      </c>
    </row>
    <row r="120" spans="1:218" s="5" customFormat="1" x14ac:dyDescent="0.2">
      <c r="A120" s="11">
        <f t="shared" si="85"/>
        <v>117</v>
      </c>
      <c r="B120" s="77">
        <f>'Scénario référence'!$B$16*5+'Scénario référence'!$B$17*0+'Scénario référence'!$B$18*5</f>
        <v>1.6500000000000001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6.0500000000000007</v>
      </c>
      <c r="H120" s="70">
        <f t="shared" si="56"/>
        <v>232.4666666666667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68.935278566299871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projet'!$B$9,Paramètres!$A$1:$I$88,3,0)*VLOOKUP('Données projet'!$B$9,Paramètres!$A$1:$I$88,5,0)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289.4293547431015</v>
      </c>
      <c r="S120" s="62">
        <f ca="1">AVERAGE(OFFSET($R$3,0,0,'Données projet'!$E$9+1,1))-AVERAGE(OFFSET($H$3,0,0,'Données projet'!$E$9+1,1))</f>
        <v>354.71367224254021</v>
      </c>
      <c r="T120" s="62">
        <f t="shared" si="88"/>
        <v>490.074370133397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56.028147587115363</v>
      </c>
      <c r="AA120" s="23">
        <f>EXP(-LN(2)/25)*AA119+(1-EXP(-LN(2)/25))/(LN(2)/25)*Calculateur!V120*Calculateur!X120*VLOOKUP('Données projet'!$B$9,Paramètres!$A$1:$I$88,3,0)*0.475*44/12</f>
        <v>7.6279119372531321</v>
      </c>
      <c r="AB120" s="23">
        <f>EXP(-LN(2)/2)*AB119+(1-EXP(-LN(2)/2))/(LN(2)/2)*V120*Y120*VLOOKUP('Données projet'!$B$9,Paramètres!$A$1:$I$88,3,0)*0.475*44/12</f>
        <v>1.4994045471334484E-9</v>
      </c>
      <c r="AC120" s="24">
        <f t="shared" si="57"/>
        <v>63.656059525867896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68.935278566299871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2.2737367544323206E-13</v>
      </c>
      <c r="AJ120" s="14">
        <f>AI120*VLOOKUP('Données projet'!$B$10,Paramètres!$A$1:$I$88,3,0)*VLOOKUP('Données projet'!$B$10,Paramètres!$A$1:$I$88,5,0)</f>
        <v>1.3596945791505279E-13</v>
      </c>
      <c r="AK120" s="14">
        <f t="shared" si="89"/>
        <v>1.9708830566360721E-12</v>
      </c>
      <c r="AL120" s="22">
        <f t="shared" si="58"/>
        <v>3.669434796176543E-12</v>
      </c>
      <c r="AM120" s="62">
        <f t="shared" si="59"/>
        <v>289.4293547431032</v>
      </c>
      <c r="AN120" s="62">
        <f ca="1">AVERAGE(OFFSET($AM$3,0,0,'Données projet'!$E$10+1,1))-AVERAGE(OFFSET($H$3,0,0,'Données projet'!$E$10+1,1))</f>
        <v>264.73276096087574</v>
      </c>
      <c r="AO120" s="62">
        <f t="shared" si="90"/>
        <v>381.84464918049662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projet'!$B$10,Paramètres!$A$1:$I$88,3,0)*0.475*44/12</f>
        <v>39.292895922376495</v>
      </c>
      <c r="AV120" s="23">
        <f>EXP(-LN(2)/25)*AV119+(1-EXP(-LN(2)/25))/(LN(2)/25)*Calculateur!AQ120*Calculateur!AS120*VLOOKUP('Données projet'!$B$10,Paramètres!$A$1:$I$88,3,0)*0.475*44/12</f>
        <v>5.3588534844687636</v>
      </c>
      <c r="AW120" s="23">
        <f>EXP(-LN(2)/2)*AW119+(1-EXP(-LN(2)/2))/(LN(2)/2)*AQ120*AT120*VLOOKUP('Données projet'!$B$10,Paramètres!$A$1:$I$88,3,0)*0.475*44/12</f>
        <v>1.0498954878300704E-9</v>
      </c>
      <c r="AX120" s="23">
        <f t="shared" si="60"/>
        <v>44.651749407895153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68.935278566299871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1.9</v>
      </c>
      <c r="BD120" s="13">
        <f>IF('Données projet'!$A$88&gt;35,BD119+BC120-BL119,IF(A120&lt;'Données projet'!$A$88,$BA$205^A120,IF(A120='Données projet'!$A$88,'Données projet'!$B$88,BD119+BC120-BL119)))</f>
        <v>279.29999999999978</v>
      </c>
      <c r="BE120" s="14">
        <f>BD120*VLOOKUP('Données projet'!$B$11,Paramètres!$A$1:$I$88,3,0)*VLOOKUP('Données projet'!$B$11,Paramètres!$A$1:$I$88,5,0)</f>
        <v>318.06683999999979</v>
      </c>
      <c r="BF120" s="14">
        <f t="shared" si="91"/>
        <v>74.950980388183069</v>
      </c>
      <c r="BG120" s="22">
        <f t="shared" si="61"/>
        <v>684.50603717608499</v>
      </c>
      <c r="BH120" s="62">
        <f t="shared" si="62"/>
        <v>973.93539191918444</v>
      </c>
      <c r="BI120" s="62">
        <f ca="1">AVERAGE(OFFSET($BH$3,0,0,'Données projet'!$E$11+1,1))-AVERAGE(OFFSET($H$3,0,0,'Données projet'!$E$11+1,1))</f>
        <v>470.57532875732056</v>
      </c>
      <c r="BJ120" s="62">
        <f t="shared" si="92"/>
        <v>286.63787681165888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projet'!$B$11,Paramètres!$A$1:$I$88,3,0)*0.475*44/12</f>
        <v>41.379719332325003</v>
      </c>
      <c r="BQ120" s="23">
        <f>EXP(-LN(2)/25)*BQ119+(1-EXP(-LN(2)/25))/(LN(2)/25)*Calculateur!BL120*Calculateur!BN120*VLOOKUP('Données projet'!$B$11,Paramètres!$A$1:$I$88,3,0)*0.475*44/12</f>
        <v>0</v>
      </c>
      <c r="BR120" s="23">
        <f>EXP(-LN(2)/2)*BR119+(1-EXP(-LN(2)/2))/(LN(2)/2)*BL120*BO120*VLOOKUP('Données projet'!$B$11,Paramètres!$A$1:$I$88,3,0)*0.475*44/12</f>
        <v>0</v>
      </c>
      <c r="BS120" s="24">
        <f t="shared" si="63"/>
        <v>41.379719332325003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68.935278566299871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-2.2737367544323206E-13</v>
      </c>
      <c r="BZ120" s="14">
        <f>BY120*VLOOKUP('Données projet'!$B$12,Paramètres!$A$1:$I$88,3,0)*VLOOKUP('Données projet'!$B$12,Paramètres!$A$1:$I$88,5,0)</f>
        <v>-1.4897523215040565E-13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305.38855494899906</v>
      </c>
      <c r="CE120" s="62">
        <f t="shared" si="94"/>
        <v>298.48106301229177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projet'!$B$12,Paramètres!$A$1:$I$88,3,0)*0.475*44/12</f>
        <v>40.748187387523629</v>
      </c>
      <c r="CL120" s="23">
        <f>EXP(-LN(2)/25)*CL119+(1-EXP(-LN(2)/25))/(LN(2)/25)*Calculateur!CG120*Calculateur!CI120*VLOOKUP('Données projet'!$B$12,Paramètres!$A$1:$I$88,3,0)*0.475*44/12</f>
        <v>0</v>
      </c>
      <c r="CM120" s="23">
        <f>EXP(-LN(2)/2)*CM119+(1-EXP(-LN(2)/2))/(LN(2)/2)*CG120*CJ120*VLOOKUP('Données projet'!$B$12,Paramètres!$A$1:$I$88,3,0)*0.475*44/12</f>
        <v>0</v>
      </c>
      <c r="CN120" s="24">
        <f t="shared" si="66"/>
        <v>40.748187387523629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68.935278566299871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-2.2737367544323206E-13</v>
      </c>
      <c r="CU120" s="18">
        <f>CT120*VLOOKUP('Données projet'!$B$13,Paramètres!$A$1:$I$88,3,0)*VLOOKUP('Données projet'!$B$13,Paramètres!$A$1:$I$88,5,0)</f>
        <v>-1.8089849618263545E-13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361.30066984973894</v>
      </c>
      <c r="CZ120" s="62">
        <f t="shared" si="96"/>
        <v>351.78053157121622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projet'!$B$13,Paramètres!$A$1:$I$88,3,0)*0.475*44/12</f>
        <v>60.986905043453106</v>
      </c>
      <c r="DG120" s="23">
        <f>EXP(-LN(2)/25)*DG119+(1-EXP(-LN(2)/25))/(LN(2)/25)*Calculateur!DB120*Calculateur!DD120*VLOOKUP('Données projet'!$B$13,Paramètres!$A$1:$I$88,3,0)*0.475*44/12</f>
        <v>0</v>
      </c>
      <c r="DH120" s="23">
        <f>EXP(-LN(2)/2)*DH119+(1-EXP(-LN(2)/2))/(LN(2)/2)*DB120*DE120*VLOOKUP('Données projet'!$B$13,Paramètres!$A$1:$I$88,3,0)*0.475*44/12</f>
        <v>0</v>
      </c>
      <c r="DI120" s="24">
        <f t="shared" si="69"/>
        <v>60.986905043453106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68.935278566299871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>
        <f>DO120*VLOOKUP('Données projet'!$B$14,Paramètres!$A$1:$I$88,3,0)*VLOOKUP('Données projet'!$B$14,Paramètres!$A$1:$I$88,5,0)</f>
        <v>0</v>
      </c>
      <c r="DQ120" s="14" t="e">
        <f t="shared" si="97"/>
        <v>#NUM!</v>
      </c>
      <c r="DR120" s="22" t="e">
        <f t="shared" si="70"/>
        <v>#NUM!</v>
      </c>
      <c r="DS120" s="62" t="e">
        <f t="shared" si="71"/>
        <v>#NUM!</v>
      </c>
      <c r="DT120" s="62">
        <f ca="1">AVERAGE(OFFSET($DS$3,0,0,'Données projet'!$E$14+1,1))-AVERAGE(OFFSET($H$3,0,0,'Données projet'!$E$14+1,1))</f>
        <v>91.201152634762423</v>
      </c>
      <c r="DU120" s="62">
        <f t="shared" si="98"/>
        <v>233.36981992862445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projet'!$B$14,Paramètres!$A$1:$I$88,3,0)*0.475*44/12</f>
        <v>7.4015322278373663</v>
      </c>
      <c r="EB120" s="23">
        <f>EXP(-LN(2)/25)*EB119+(1-EXP(-LN(2)/25))/(LN(2)/25)*Calculateur!DW120*Calculateur!DY120*VLOOKUP('Données projet'!$B$14,Paramètres!$A$1:$I$88,3,0)*0.475*44/12</f>
        <v>0</v>
      </c>
      <c r="EC120" s="23">
        <f>EXP(-LN(2)/2)*EC119+(1-EXP(-LN(2)/2))/(LN(2)/2)*DW120*DZ120*VLOOKUP('Données projet'!$B$14,Paramètres!$A$1:$I$88,3,0)*0.475*44/12</f>
        <v>0</v>
      </c>
      <c r="ED120" s="24">
        <f t="shared" si="72"/>
        <v>7.4015322278373663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68.935278566299871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projet'!$B$15,Paramètres!$A$1:$I$88,3,0)*0.475*44/12</f>
        <v>#N/A</v>
      </c>
      <c r="EW120" s="23" t="e">
        <f>EXP(-LN(2)/25)*EW119+(1-EXP(-LN(2)/25))/(LN(2)/25)*Calculateur!ER120*Calculateur!ET120*VLOOKUP('Données projet'!$B$15,Paramètres!$A$1:$I$88,3,0)*0.475*44/12</f>
        <v>#N/A</v>
      </c>
      <c r="EX120" s="23" t="e">
        <f>EXP(-LN(2)/2)*EX119+(1-EXP(-LN(2)/2))/(LN(2)/2)*ER120*EU120*VLOOKUP('Données projet'!$B$15,Paramètres!$A$1:$I$88,3,0)*0.475*44/12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68.935278566299871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projet'!$B$16,Paramètres!$A$1:$I$88,3,0)*0.475*44/12</f>
        <v>#N/A</v>
      </c>
      <c r="FR120" s="23" t="e">
        <f>EXP(-LN(2)/25)*FR119+(1-EXP(-LN(2)/25))/(LN(2)/25)*Calculateur!FM120*Calculateur!FO120*VLOOKUP('Données projet'!$B$16,Paramètres!$A$1:$I$88,3,0)*0.475*44/12</f>
        <v>#N/A</v>
      </c>
      <c r="FS120" s="23" t="e">
        <f>EXP(-LN(2)/2)*FS119+(1-EXP(-LN(2)/2))/(LN(2)/2)*FM120*FP120*VLOOKUP('Données projet'!$B$16,Paramètres!$A$1:$I$88,3,0)*0.475*44/12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68.935278566299871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projet'!$B$17,Paramètres!$A$1:$I$88,3,0)*0.475*44/12</f>
        <v>#N/A</v>
      </c>
      <c r="GM120" s="23" t="e">
        <f>EXP(-LN(2)/25)*GM119+(1-EXP(-LN(2)/25))/(LN(2)/25)*Calculateur!GH120*Calculateur!GJ120*VLOOKUP('Données projet'!$B$17,Paramètres!$A$1:$I$88,3,0)*0.475*44/12</f>
        <v>#N/A</v>
      </c>
      <c r="GN120" s="23" t="e">
        <f>EXP(-LN(2)/2)*GN119+(1-EXP(-LN(2)/2))/(LN(2)/2)*GH120*GK120*VLOOKUP('Données projet'!$B$17,Paramètres!$A$1:$I$88,3,0)*0.475*44/12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68.935278566299871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projet'!$B$18,Paramètres!$A$1:$I$88,3,0)*0.475*44/12</f>
        <v>#N/A</v>
      </c>
      <c r="HH120" s="23" t="e">
        <f>EXP(-LN(2)/25)*HH119+(1-EXP(-LN(2)/25))/(LN(2)/25)*Calculateur!HC120*Calculateur!HE120*VLOOKUP('Données projet'!$B$18,Paramètres!$A$1:$I$88,3,0)*0.475*44/12</f>
        <v>#N/A</v>
      </c>
      <c r="HI120" s="23" t="e">
        <f>EXP(-LN(2)/2)*HI119+(1-EXP(-LN(2)/2))/(LN(2)/2)*HC120*HF120*VLOOKUP('Données projet'!$B$18,Paramètres!$A$1:$I$88,3,0)*0.475*44/12</f>
        <v>#N/A</v>
      </c>
      <c r="HJ120" s="24" t="e">
        <f t="shared" si="84"/>
        <v>#N/A</v>
      </c>
    </row>
    <row r="121" spans="1:218" s="5" customFormat="1" x14ac:dyDescent="0.2">
      <c r="A121" s="11">
        <f t="shared" si="85"/>
        <v>118</v>
      </c>
      <c r="B121" s="77">
        <f>'Scénario référence'!$B$16*5+'Scénario référence'!$B$17*0+'Scénario référence'!$B$18*5</f>
        <v>1.6500000000000001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6.0500000000000007</v>
      </c>
      <c r="H121" s="70">
        <f t="shared" si="56"/>
        <v>232.4666666666667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68.953749102814044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projet'!$B$9,Paramètres!$A$1:$I$88,3,0)*VLOOKUP('Données projet'!$B$9,Paramètres!$A$1:$I$88,5,0)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289.49708004365345</v>
      </c>
      <c r="S121" s="62">
        <f ca="1">AVERAGE(OFFSET($R$3,0,0,'Données projet'!$E$9+1,1))-AVERAGE(OFFSET($H$3,0,0,'Données projet'!$E$9+1,1))</f>
        <v>354.71367224254021</v>
      </c>
      <c r="T121" s="62">
        <f t="shared" si="88"/>
        <v>490.074370133397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54.92946978672768</v>
      </c>
      <c r="AA121" s="23">
        <f>EXP(-LN(2)/25)*AA120+(1-EXP(-LN(2)/25))/(LN(2)/25)*Calculateur!V121*Calculateur!X121*VLOOKUP('Données projet'!$B$9,Paramètres!$A$1:$I$88,3,0)*0.475*44/12</f>
        <v>7.41932628419449</v>
      </c>
      <c r="AB121" s="23">
        <f>EXP(-LN(2)/2)*AB120+(1-EXP(-LN(2)/2))/(LN(2)/2)*V121*Y121*VLOOKUP('Données projet'!$B$9,Paramètres!$A$1:$I$88,3,0)*0.475*44/12</f>
        <v>1.0602391230200057E-9</v>
      </c>
      <c r="AC121" s="24">
        <f t="shared" si="57"/>
        <v>62.348796071982406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68.953749102814044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2.2737367544323206E-13</v>
      </c>
      <c r="AJ121" s="14">
        <f>AI121*VLOOKUP('Données projet'!$B$10,Paramètres!$A$1:$I$88,3,0)*VLOOKUP('Données projet'!$B$10,Paramètres!$A$1:$I$88,5,0)</f>
        <v>1.3596945791505279E-13</v>
      </c>
      <c r="AK121" s="14">
        <f t="shared" si="89"/>
        <v>1.9708830566360721E-12</v>
      </c>
      <c r="AL121" s="22">
        <f t="shared" si="58"/>
        <v>3.669434796176543E-12</v>
      </c>
      <c r="AM121" s="62">
        <f t="shared" si="59"/>
        <v>289.49708004365516</v>
      </c>
      <c r="AN121" s="62">
        <f ca="1">AVERAGE(OFFSET($AM$3,0,0,'Données projet'!$E$10+1,1))-AVERAGE(OFFSET($H$3,0,0,'Données projet'!$E$10+1,1))</f>
        <v>264.73276096087574</v>
      </c>
      <c r="AO121" s="62">
        <f t="shared" si="90"/>
        <v>381.84464918049662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projet'!$B$10,Paramètres!$A$1:$I$88,3,0)*0.475*44/12</f>
        <v>38.522386199638731</v>
      </c>
      <c r="AV121" s="23">
        <f>EXP(-LN(2)/25)*AV120+(1-EXP(-LN(2)/25))/(LN(2)/25)*Calculateur!AQ121*Calculateur!AS121*VLOOKUP('Données projet'!$B$10,Paramètres!$A$1:$I$88,3,0)*0.475*44/12</f>
        <v>5.2123153541261082</v>
      </c>
      <c r="AW121" s="23">
        <f>EXP(-LN(2)/2)*AW120+(1-EXP(-LN(2)/2))/(LN(2)/2)*AQ121*AT121*VLOOKUP('Données projet'!$B$10,Paramètres!$A$1:$I$88,3,0)*0.475*44/12</f>
        <v>7.4238821898180114E-10</v>
      </c>
      <c r="AX121" s="23">
        <f t="shared" si="60"/>
        <v>43.734701554507225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68.953749102814044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1.9</v>
      </c>
      <c r="BD121" s="13">
        <f>IF('Données projet'!$A$88&gt;35,BD120+BC121-BL120,IF(A121&lt;'Données projet'!$A$88,$BA$205^A121,IF(A121='Données projet'!$A$88,'Données projet'!$B$88,BD120+BC121-BL120)))</f>
        <v>281.19999999999976</v>
      </c>
      <c r="BE121" s="14">
        <f>BD121*VLOOKUP('Données projet'!$B$11,Paramètres!$A$1:$I$88,3,0)*VLOOKUP('Données projet'!$B$11,Paramètres!$A$1:$I$88,5,0)</f>
        <v>320.23055999999974</v>
      </c>
      <c r="BF121" s="14">
        <f t="shared" si="91"/>
        <v>75.401324143618055</v>
      </c>
      <c r="BG121" s="22">
        <f t="shared" si="61"/>
        <v>689.05886488346766</v>
      </c>
      <c r="BH121" s="62">
        <f t="shared" si="62"/>
        <v>978.55594492711907</v>
      </c>
      <c r="BI121" s="62">
        <f ca="1">AVERAGE(OFFSET($BH$3,0,0,'Données projet'!$E$11+1,1))-AVERAGE(OFFSET($H$3,0,0,'Données projet'!$E$11+1,1))</f>
        <v>470.57532875732056</v>
      </c>
      <c r="BJ121" s="62">
        <f t="shared" si="92"/>
        <v>286.63787681165888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projet'!$B$11,Paramètres!$A$1:$I$88,3,0)*0.475*44/12</f>
        <v>40.568288275354746</v>
      </c>
      <c r="BQ121" s="23">
        <f>EXP(-LN(2)/25)*BQ120+(1-EXP(-LN(2)/25))/(LN(2)/25)*Calculateur!BL121*Calculateur!BN121*VLOOKUP('Données projet'!$B$11,Paramètres!$A$1:$I$88,3,0)*0.475*44/12</f>
        <v>0</v>
      </c>
      <c r="BR121" s="23">
        <f>EXP(-LN(2)/2)*BR120+(1-EXP(-LN(2)/2))/(LN(2)/2)*BL121*BO121*VLOOKUP('Données projet'!$B$11,Paramètres!$A$1:$I$88,3,0)*0.475*44/12</f>
        <v>0</v>
      </c>
      <c r="BS121" s="24">
        <f t="shared" si="63"/>
        <v>40.568288275354746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68.953749102814044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-2.2737367544323206E-13</v>
      </c>
      <c r="BZ121" s="14">
        <f>BY121*VLOOKUP('Données projet'!$B$12,Paramètres!$A$1:$I$88,3,0)*VLOOKUP('Données projet'!$B$12,Paramètres!$A$1:$I$88,5,0)</f>
        <v>-1.4897523215040565E-13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305.38855494899906</v>
      </c>
      <c r="CE121" s="62">
        <f t="shared" si="94"/>
        <v>298.48106301229177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projet'!$B$12,Paramètres!$A$1:$I$88,3,0)*0.475*44/12</f>
        <v>39.949140286794474</v>
      </c>
      <c r="CL121" s="23">
        <f>EXP(-LN(2)/25)*CL120+(1-EXP(-LN(2)/25))/(LN(2)/25)*Calculateur!CG121*Calculateur!CI121*VLOOKUP('Données projet'!$B$12,Paramètres!$A$1:$I$88,3,0)*0.475*44/12</f>
        <v>0</v>
      </c>
      <c r="CM121" s="23">
        <f>EXP(-LN(2)/2)*CM120+(1-EXP(-LN(2)/2))/(LN(2)/2)*CG121*CJ121*VLOOKUP('Données projet'!$B$12,Paramètres!$A$1:$I$88,3,0)*0.475*44/12</f>
        <v>0</v>
      </c>
      <c r="CN121" s="24">
        <f t="shared" si="66"/>
        <v>39.949140286794474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68.953749102814044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-2.2737367544323206E-13</v>
      </c>
      <c r="CU121" s="18">
        <f>CT121*VLOOKUP('Données projet'!$B$13,Paramètres!$A$1:$I$88,3,0)*VLOOKUP('Données projet'!$B$13,Paramètres!$A$1:$I$88,5,0)</f>
        <v>-1.8089849618263545E-13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361.30066984973894</v>
      </c>
      <c r="CZ121" s="62">
        <f t="shared" si="96"/>
        <v>351.78053157121622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projet'!$B$13,Paramètres!$A$1:$I$88,3,0)*0.475*44/12</f>
        <v>59.790989033890035</v>
      </c>
      <c r="DG121" s="23">
        <f>EXP(-LN(2)/25)*DG120+(1-EXP(-LN(2)/25))/(LN(2)/25)*Calculateur!DB121*Calculateur!DD121*VLOOKUP('Données projet'!$B$13,Paramètres!$A$1:$I$88,3,0)*0.475*44/12</f>
        <v>0</v>
      </c>
      <c r="DH121" s="23">
        <f>EXP(-LN(2)/2)*DH120+(1-EXP(-LN(2)/2))/(LN(2)/2)*DB121*DE121*VLOOKUP('Données projet'!$B$13,Paramètres!$A$1:$I$88,3,0)*0.475*44/12</f>
        <v>0</v>
      </c>
      <c r="DI121" s="24">
        <f t="shared" si="69"/>
        <v>59.790989033890035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68.953749102814044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>
        <f>DO121*VLOOKUP('Données projet'!$B$14,Paramètres!$A$1:$I$88,3,0)*VLOOKUP('Données projet'!$B$14,Paramètres!$A$1:$I$88,5,0)</f>
        <v>0</v>
      </c>
      <c r="DQ121" s="14" t="e">
        <f t="shared" si="97"/>
        <v>#NUM!</v>
      </c>
      <c r="DR121" s="22" t="e">
        <f t="shared" si="70"/>
        <v>#NUM!</v>
      </c>
      <c r="DS121" s="62" t="e">
        <f t="shared" si="71"/>
        <v>#NUM!</v>
      </c>
      <c r="DT121" s="62">
        <f ca="1">AVERAGE(OFFSET($DS$3,0,0,'Données projet'!$E$14+1,1))-AVERAGE(OFFSET($H$3,0,0,'Données projet'!$E$14+1,1))</f>
        <v>91.201152634762423</v>
      </c>
      <c r="DU121" s="62">
        <f t="shared" si="98"/>
        <v>233.36981992862445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projet'!$B$14,Paramètres!$A$1:$I$88,3,0)*0.475*44/12</f>
        <v>7.2563926953383655</v>
      </c>
      <c r="EB121" s="23">
        <f>EXP(-LN(2)/25)*EB120+(1-EXP(-LN(2)/25))/(LN(2)/25)*Calculateur!DW121*Calculateur!DY121*VLOOKUP('Données projet'!$B$14,Paramètres!$A$1:$I$88,3,0)*0.475*44/12</f>
        <v>0</v>
      </c>
      <c r="EC121" s="23">
        <f>EXP(-LN(2)/2)*EC120+(1-EXP(-LN(2)/2))/(LN(2)/2)*DW121*DZ121*VLOOKUP('Données projet'!$B$14,Paramètres!$A$1:$I$88,3,0)*0.475*44/12</f>
        <v>0</v>
      </c>
      <c r="ED121" s="24">
        <f t="shared" si="72"/>
        <v>7.2563926953383655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68.953749102814044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projet'!$B$15,Paramètres!$A$1:$I$88,3,0)*0.475*44/12</f>
        <v>#N/A</v>
      </c>
      <c r="EW121" s="23" t="e">
        <f>EXP(-LN(2)/25)*EW120+(1-EXP(-LN(2)/25))/(LN(2)/25)*Calculateur!ER121*Calculateur!ET121*VLOOKUP('Données projet'!$B$15,Paramètres!$A$1:$I$88,3,0)*0.475*44/12</f>
        <v>#N/A</v>
      </c>
      <c r="EX121" s="23" t="e">
        <f>EXP(-LN(2)/2)*EX120+(1-EXP(-LN(2)/2))/(LN(2)/2)*ER121*EU121*VLOOKUP('Données projet'!$B$15,Paramètres!$A$1:$I$88,3,0)*0.475*44/12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68.953749102814044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projet'!$B$16,Paramètres!$A$1:$I$88,3,0)*0.475*44/12</f>
        <v>#N/A</v>
      </c>
      <c r="FR121" s="23" t="e">
        <f>EXP(-LN(2)/25)*FR120+(1-EXP(-LN(2)/25))/(LN(2)/25)*Calculateur!FM121*Calculateur!FO121*VLOOKUP('Données projet'!$B$16,Paramètres!$A$1:$I$88,3,0)*0.475*44/12</f>
        <v>#N/A</v>
      </c>
      <c r="FS121" s="23" t="e">
        <f>EXP(-LN(2)/2)*FS120+(1-EXP(-LN(2)/2))/(LN(2)/2)*FM121*FP121*VLOOKUP('Données projet'!$B$16,Paramètres!$A$1:$I$88,3,0)*0.475*44/12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68.953749102814044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projet'!$B$17,Paramètres!$A$1:$I$88,3,0)*0.475*44/12</f>
        <v>#N/A</v>
      </c>
      <c r="GM121" s="23" t="e">
        <f>EXP(-LN(2)/25)*GM120+(1-EXP(-LN(2)/25))/(LN(2)/25)*Calculateur!GH121*Calculateur!GJ121*VLOOKUP('Données projet'!$B$17,Paramètres!$A$1:$I$88,3,0)*0.475*44/12</f>
        <v>#N/A</v>
      </c>
      <c r="GN121" s="23" t="e">
        <f>EXP(-LN(2)/2)*GN120+(1-EXP(-LN(2)/2))/(LN(2)/2)*GH121*GK121*VLOOKUP('Données projet'!$B$17,Paramètres!$A$1:$I$88,3,0)*0.475*44/12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68.953749102814044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projet'!$B$18,Paramètres!$A$1:$I$88,3,0)*0.475*44/12</f>
        <v>#N/A</v>
      </c>
      <c r="HH121" s="23" t="e">
        <f>EXP(-LN(2)/25)*HH120+(1-EXP(-LN(2)/25))/(LN(2)/25)*Calculateur!HC121*Calculateur!HE121*VLOOKUP('Données projet'!$B$18,Paramètres!$A$1:$I$88,3,0)*0.475*44/12</f>
        <v>#N/A</v>
      </c>
      <c r="HI121" s="23" t="e">
        <f>EXP(-LN(2)/2)*HI120+(1-EXP(-LN(2)/2))/(LN(2)/2)*HC121*HF121*VLOOKUP('Données projet'!$B$18,Paramètres!$A$1:$I$88,3,0)*0.475*44/12</f>
        <v>#N/A</v>
      </c>
      <c r="HJ121" s="24" t="e">
        <f t="shared" si="84"/>
        <v>#N/A</v>
      </c>
    </row>
    <row r="122" spans="1:218" s="5" customFormat="1" x14ac:dyDescent="0.2">
      <c r="A122" s="11">
        <f t="shared" si="85"/>
        <v>119</v>
      </c>
      <c r="B122" s="77">
        <f>'Scénario référence'!$B$16*5+'Scénario référence'!$B$17*0+'Scénario référence'!$B$18*5</f>
        <v>1.6500000000000001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6.0500000000000007</v>
      </c>
      <c r="H122" s="70">
        <f t="shared" si="56"/>
        <v>232.4666666666667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68.971899216813625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projet'!$B$9,Paramètres!$A$1:$I$88,3,0)*VLOOKUP('Données projet'!$B$9,Paramètres!$A$1:$I$88,5,0)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289.56363046165194</v>
      </c>
      <c r="S122" s="62">
        <f ca="1">AVERAGE(OFFSET($R$3,0,0,'Données projet'!$E$9+1,1))-AVERAGE(OFFSET($H$3,0,0,'Données projet'!$E$9+1,1))</f>
        <v>354.71367224254021</v>
      </c>
      <c r="T122" s="62">
        <f t="shared" si="88"/>
        <v>490.074370133397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53.85233638787831</v>
      </c>
      <c r="AA122" s="23">
        <f>EXP(-LN(2)/25)*AA121+(1-EXP(-LN(2)/25))/(LN(2)/25)*Calculateur!V122*Calculateur!X122*VLOOKUP('Données projet'!$B$9,Paramètres!$A$1:$I$88,3,0)*0.475*44/12</f>
        <v>7.2164444167877795</v>
      </c>
      <c r="AB122" s="23">
        <f>EXP(-LN(2)/2)*AB121+(1-EXP(-LN(2)/2))/(LN(2)/2)*V122*Y122*VLOOKUP('Données projet'!$B$9,Paramètres!$A$1:$I$88,3,0)*0.475*44/12</f>
        <v>7.497022735667242E-10</v>
      </c>
      <c r="AC122" s="24">
        <f t="shared" si="57"/>
        <v>61.068780805415791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68.971899216813625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2.2737367544323206E-13</v>
      </c>
      <c r="AJ122" s="14">
        <f>AI122*VLOOKUP('Données projet'!$B$10,Paramètres!$A$1:$I$88,3,0)*VLOOKUP('Données projet'!$B$10,Paramètres!$A$1:$I$88,5,0)</f>
        <v>1.3596945791505279E-13</v>
      </c>
      <c r="AK122" s="14">
        <f t="shared" si="89"/>
        <v>1.9708830566360721E-12</v>
      </c>
      <c r="AL122" s="22">
        <f t="shared" si="58"/>
        <v>3.669434796176543E-12</v>
      </c>
      <c r="AM122" s="62">
        <f t="shared" si="59"/>
        <v>289.56363046165364</v>
      </c>
      <c r="AN122" s="62">
        <f ca="1">AVERAGE(OFFSET($AM$3,0,0,'Données projet'!$E$10+1,1))-AVERAGE(OFFSET($H$3,0,0,'Données projet'!$E$10+1,1))</f>
        <v>264.73276096087574</v>
      </c>
      <c r="AO122" s="62">
        <f t="shared" si="90"/>
        <v>381.84464918049662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projet'!$B$10,Paramètres!$A$1:$I$88,3,0)*0.475*44/12</f>
        <v>37.766985702599328</v>
      </c>
      <c r="AV122" s="23">
        <f>EXP(-LN(2)/25)*AV121+(1-EXP(-LN(2)/25))/(LN(2)/25)*Calculateur!AQ122*Calculateur!AS122*VLOOKUP('Données projet'!$B$10,Paramètres!$A$1:$I$88,3,0)*0.475*44/12</f>
        <v>5.0697843166637782</v>
      </c>
      <c r="AW122" s="23">
        <f>EXP(-LN(2)/2)*AW121+(1-EXP(-LN(2)/2))/(LN(2)/2)*AQ122*AT122*VLOOKUP('Données projet'!$B$10,Paramètres!$A$1:$I$88,3,0)*0.475*44/12</f>
        <v>5.2494774391503518E-10</v>
      </c>
      <c r="AX122" s="23">
        <f t="shared" si="60"/>
        <v>42.836770019788055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68.971899216813625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1.9</v>
      </c>
      <c r="BD122" s="13">
        <f>IF('Données projet'!$A$88&gt;35,BD121+BC122-BL121,IF(A122&lt;'Données projet'!$A$88,$BA$205^A122,IF(A122='Données projet'!$A$88,'Données projet'!$B$88,BD121+BC122-BL121)))</f>
        <v>283.09999999999974</v>
      </c>
      <c r="BE122" s="14">
        <f>BD122*VLOOKUP('Données projet'!$B$11,Paramètres!$A$1:$I$88,3,0)*VLOOKUP('Données projet'!$B$11,Paramètres!$A$1:$I$88,5,0)</f>
        <v>322.3942799999997</v>
      </c>
      <c r="BF122" s="14">
        <f t="shared" si="91"/>
        <v>75.851313846171408</v>
      </c>
      <c r="BG122" s="22">
        <f t="shared" si="61"/>
        <v>693.61107594874795</v>
      </c>
      <c r="BH122" s="62">
        <f t="shared" si="62"/>
        <v>983.1747064103979</v>
      </c>
      <c r="BI122" s="62">
        <f ca="1">AVERAGE(OFFSET($BH$3,0,0,'Données projet'!$E$11+1,1))-AVERAGE(OFFSET($H$3,0,0,'Données projet'!$E$11+1,1))</f>
        <v>470.57532875732056</v>
      </c>
      <c r="BJ122" s="62">
        <f t="shared" si="92"/>
        <v>286.63787681165888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projet'!$B$11,Paramètres!$A$1:$I$88,3,0)*0.475*44/12</f>
        <v>39.772768886487597</v>
      </c>
      <c r="BQ122" s="23">
        <f>EXP(-LN(2)/25)*BQ121+(1-EXP(-LN(2)/25))/(LN(2)/25)*Calculateur!BL122*Calculateur!BN122*VLOOKUP('Données projet'!$B$11,Paramètres!$A$1:$I$88,3,0)*0.475*44/12</f>
        <v>0</v>
      </c>
      <c r="BR122" s="23">
        <f>EXP(-LN(2)/2)*BR121+(1-EXP(-LN(2)/2))/(LN(2)/2)*BL122*BO122*VLOOKUP('Données projet'!$B$11,Paramètres!$A$1:$I$88,3,0)*0.475*44/12</f>
        <v>0</v>
      </c>
      <c r="BS122" s="24">
        <f t="shared" si="63"/>
        <v>39.772768886487597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68.971899216813625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-2.2737367544323206E-13</v>
      </c>
      <c r="BZ122" s="14">
        <f>BY122*VLOOKUP('Données projet'!$B$12,Paramètres!$A$1:$I$88,3,0)*VLOOKUP('Données projet'!$B$12,Paramètres!$A$1:$I$88,5,0)</f>
        <v>-1.4897523215040565E-13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305.38855494899906</v>
      </c>
      <c r="CE122" s="62">
        <f t="shared" si="94"/>
        <v>298.48106301229177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projet'!$B$12,Paramètres!$A$1:$I$88,3,0)*0.475*44/12</f>
        <v>39.165762012340011</v>
      </c>
      <c r="CL122" s="23">
        <f>EXP(-LN(2)/25)*CL121+(1-EXP(-LN(2)/25))/(LN(2)/25)*Calculateur!CG122*Calculateur!CI122*VLOOKUP('Données projet'!$B$12,Paramètres!$A$1:$I$88,3,0)*0.475*44/12</f>
        <v>0</v>
      </c>
      <c r="CM122" s="23">
        <f>EXP(-LN(2)/2)*CM121+(1-EXP(-LN(2)/2))/(LN(2)/2)*CG122*CJ122*VLOOKUP('Données projet'!$B$12,Paramètres!$A$1:$I$88,3,0)*0.475*44/12</f>
        <v>0</v>
      </c>
      <c r="CN122" s="24">
        <f t="shared" si="66"/>
        <v>39.165762012340011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68.971899216813625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-2.2737367544323206E-13</v>
      </c>
      <c r="CU122" s="18">
        <f>CT122*VLOOKUP('Données projet'!$B$13,Paramètres!$A$1:$I$88,3,0)*VLOOKUP('Données projet'!$B$13,Paramètres!$A$1:$I$88,5,0)</f>
        <v>-1.8089849618263545E-13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361.30066984973894</v>
      </c>
      <c r="CZ122" s="62">
        <f t="shared" si="96"/>
        <v>351.78053157121622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projet'!$B$13,Paramètres!$A$1:$I$88,3,0)*0.475*44/12</f>
        <v>58.618524207837758</v>
      </c>
      <c r="DG122" s="23">
        <f>EXP(-LN(2)/25)*DG121+(1-EXP(-LN(2)/25))/(LN(2)/25)*Calculateur!DB122*Calculateur!DD122*VLOOKUP('Données projet'!$B$13,Paramètres!$A$1:$I$88,3,0)*0.475*44/12</f>
        <v>0</v>
      </c>
      <c r="DH122" s="23">
        <f>EXP(-LN(2)/2)*DH121+(1-EXP(-LN(2)/2))/(LN(2)/2)*DB122*DE122*VLOOKUP('Données projet'!$B$13,Paramètres!$A$1:$I$88,3,0)*0.475*44/12</f>
        <v>0</v>
      </c>
      <c r="DI122" s="24">
        <f t="shared" si="69"/>
        <v>58.618524207837758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68.971899216813625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>
        <f>DO122*VLOOKUP('Données projet'!$B$14,Paramètres!$A$1:$I$88,3,0)*VLOOKUP('Données projet'!$B$14,Paramètres!$A$1:$I$88,5,0)</f>
        <v>0</v>
      </c>
      <c r="DQ122" s="14" t="e">
        <f t="shared" si="97"/>
        <v>#NUM!</v>
      </c>
      <c r="DR122" s="22" t="e">
        <f t="shared" si="70"/>
        <v>#NUM!</v>
      </c>
      <c r="DS122" s="62" t="e">
        <f t="shared" si="71"/>
        <v>#NUM!</v>
      </c>
      <c r="DT122" s="62">
        <f ca="1">AVERAGE(OFFSET($DS$3,0,0,'Données projet'!$E$14+1,1))-AVERAGE(OFFSET($H$3,0,0,'Données projet'!$E$14+1,1))</f>
        <v>91.201152634762423</v>
      </c>
      <c r="DU122" s="62">
        <f t="shared" si="98"/>
        <v>233.36981992862445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projet'!$B$14,Paramètres!$A$1:$I$88,3,0)*0.475*44/12</f>
        <v>7.1140992605452968</v>
      </c>
      <c r="EB122" s="23">
        <f>EXP(-LN(2)/25)*EB121+(1-EXP(-LN(2)/25))/(LN(2)/25)*Calculateur!DW122*Calculateur!DY122*VLOOKUP('Données projet'!$B$14,Paramètres!$A$1:$I$88,3,0)*0.475*44/12</f>
        <v>0</v>
      </c>
      <c r="EC122" s="23">
        <f>EXP(-LN(2)/2)*EC121+(1-EXP(-LN(2)/2))/(LN(2)/2)*DW122*DZ122*VLOOKUP('Données projet'!$B$14,Paramètres!$A$1:$I$88,3,0)*0.475*44/12</f>
        <v>0</v>
      </c>
      <c r="ED122" s="24">
        <f t="shared" si="72"/>
        <v>7.1140992605452968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68.971899216813625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projet'!$B$15,Paramètres!$A$1:$I$88,3,0)*0.475*44/12</f>
        <v>#N/A</v>
      </c>
      <c r="EW122" s="23" t="e">
        <f>EXP(-LN(2)/25)*EW121+(1-EXP(-LN(2)/25))/(LN(2)/25)*Calculateur!ER122*Calculateur!ET122*VLOOKUP('Données projet'!$B$15,Paramètres!$A$1:$I$88,3,0)*0.475*44/12</f>
        <v>#N/A</v>
      </c>
      <c r="EX122" s="23" t="e">
        <f>EXP(-LN(2)/2)*EX121+(1-EXP(-LN(2)/2))/(LN(2)/2)*ER122*EU122*VLOOKUP('Données projet'!$B$15,Paramètres!$A$1:$I$88,3,0)*0.475*44/12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68.971899216813625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projet'!$B$16,Paramètres!$A$1:$I$88,3,0)*0.475*44/12</f>
        <v>#N/A</v>
      </c>
      <c r="FR122" s="23" t="e">
        <f>EXP(-LN(2)/25)*FR121+(1-EXP(-LN(2)/25))/(LN(2)/25)*Calculateur!FM122*Calculateur!FO122*VLOOKUP('Données projet'!$B$16,Paramètres!$A$1:$I$88,3,0)*0.475*44/12</f>
        <v>#N/A</v>
      </c>
      <c r="FS122" s="23" t="e">
        <f>EXP(-LN(2)/2)*FS121+(1-EXP(-LN(2)/2))/(LN(2)/2)*FM122*FP122*VLOOKUP('Données projet'!$B$16,Paramètres!$A$1:$I$88,3,0)*0.475*44/12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68.971899216813625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projet'!$B$17,Paramètres!$A$1:$I$88,3,0)*0.475*44/12</f>
        <v>#N/A</v>
      </c>
      <c r="GM122" s="23" t="e">
        <f>EXP(-LN(2)/25)*GM121+(1-EXP(-LN(2)/25))/(LN(2)/25)*Calculateur!GH122*Calculateur!GJ122*VLOOKUP('Données projet'!$B$17,Paramètres!$A$1:$I$88,3,0)*0.475*44/12</f>
        <v>#N/A</v>
      </c>
      <c r="GN122" s="23" t="e">
        <f>EXP(-LN(2)/2)*GN121+(1-EXP(-LN(2)/2))/(LN(2)/2)*GH122*GK122*VLOOKUP('Données projet'!$B$17,Paramètres!$A$1:$I$88,3,0)*0.475*44/12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68.971899216813625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projet'!$B$18,Paramètres!$A$1:$I$88,3,0)*0.475*44/12</f>
        <v>#N/A</v>
      </c>
      <c r="HH122" s="23" t="e">
        <f>EXP(-LN(2)/25)*HH121+(1-EXP(-LN(2)/25))/(LN(2)/25)*Calculateur!HC122*Calculateur!HE122*VLOOKUP('Données projet'!$B$18,Paramètres!$A$1:$I$88,3,0)*0.475*44/12</f>
        <v>#N/A</v>
      </c>
      <c r="HI122" s="23" t="e">
        <f>EXP(-LN(2)/2)*HI121+(1-EXP(-LN(2)/2))/(LN(2)/2)*HC122*HF122*VLOOKUP('Données projet'!$B$18,Paramètres!$A$1:$I$88,3,0)*0.475*44/12</f>
        <v>#N/A</v>
      </c>
      <c r="HJ122" s="24" t="e">
        <f t="shared" si="84"/>
        <v>#N/A</v>
      </c>
    </row>
    <row r="123" spans="1:218" s="5" customFormat="1" x14ac:dyDescent="0.2">
      <c r="A123" s="11">
        <f t="shared" si="85"/>
        <v>120</v>
      </c>
      <c r="B123" s="77">
        <f>'Scénario référence'!$B$16*5+'Scénario référence'!$B$17*0+'Scénario référence'!$B$18*5</f>
        <v>1.6500000000000001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6.0500000000000007</v>
      </c>
      <c r="H123" s="70">
        <f t="shared" si="56"/>
        <v>232.4666666666667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68.989734466912907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projet'!$B$9,Paramètres!$A$1:$I$88,3,0)*VLOOKUP('Données projet'!$B$9,Paramètres!$A$1:$I$88,5,0)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289.62902637868262</v>
      </c>
      <c r="S123" s="62">
        <f ca="1">AVERAGE(OFFSET($R$3,0,0,'Données projet'!$E$9+1,1))-AVERAGE(OFFSET($H$3,0,0,'Données projet'!$E$9+1,1))</f>
        <v>354.71367224254021</v>
      </c>
      <c r="T123" s="62">
        <f t="shared" si="88"/>
        <v>490.074370133397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52.796324917993871</v>
      </c>
      <c r="AA123" s="23">
        <f>EXP(-LN(2)/25)*AA122+(1-EXP(-LN(2)/25))/(LN(2)/25)*Calculateur!V123*Calculateur!X123*VLOOKUP('Données projet'!$B$9,Paramètres!$A$1:$I$88,3,0)*0.475*44/12</f>
        <v>7.0191103647143995</v>
      </c>
      <c r="AB123" s="23">
        <f>EXP(-LN(2)/2)*AB122+(1-EXP(-LN(2)/2))/(LN(2)/2)*V123*Y123*VLOOKUP('Données projet'!$B$9,Paramètres!$A$1:$I$88,3,0)*0.475*44/12</f>
        <v>5.3011956151000283E-10</v>
      </c>
      <c r="AC123" s="24">
        <f t="shared" si="57"/>
        <v>59.815435283238394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68.989734466912907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2.2737367544323206E-13</v>
      </c>
      <c r="AJ123" s="14">
        <f>AI123*VLOOKUP('Données projet'!$B$10,Paramètres!$A$1:$I$88,3,0)*VLOOKUP('Données projet'!$B$10,Paramètres!$A$1:$I$88,5,0)</f>
        <v>1.3596945791505279E-13</v>
      </c>
      <c r="AK123" s="14">
        <f t="shared" si="89"/>
        <v>1.9708830566360721E-12</v>
      </c>
      <c r="AL123" s="22">
        <f t="shared" si="58"/>
        <v>3.669434796176543E-12</v>
      </c>
      <c r="AM123" s="62">
        <f t="shared" si="59"/>
        <v>289.62902637868433</v>
      </c>
      <c r="AN123" s="62">
        <f ca="1">AVERAGE(OFFSET($AM$3,0,0,'Données projet'!$E$10+1,1))-AVERAGE(OFFSET($H$3,0,0,'Données projet'!$E$10+1,1))</f>
        <v>264.73276096087574</v>
      </c>
      <c r="AO123" s="62">
        <f t="shared" si="90"/>
        <v>381.84464918049662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projet'!$B$10,Paramètres!$A$1:$I$88,3,0)*0.475*44/12</f>
        <v>37.026398148558059</v>
      </c>
      <c r="AV123" s="23">
        <f>EXP(-LN(2)/25)*AV122+(1-EXP(-LN(2)/25))/(LN(2)/25)*Calculateur!AQ123*Calculateur!AS123*VLOOKUP('Données projet'!$B$10,Paramètres!$A$1:$I$88,3,0)*0.475*44/12</f>
        <v>4.9311507979162368</v>
      </c>
      <c r="AW123" s="23">
        <f>EXP(-LN(2)/2)*AW122+(1-EXP(-LN(2)/2))/(LN(2)/2)*AQ123*AT123*VLOOKUP('Données projet'!$B$10,Paramètres!$A$1:$I$88,3,0)*0.475*44/12</f>
        <v>3.7119410949090057E-10</v>
      </c>
      <c r="AX123" s="23">
        <f t="shared" si="60"/>
        <v>41.957548946845492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68.989734466912907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285</v>
      </c>
      <c r="BB123" s="13">
        <f>VLOOKUP(A123,'Données projet'!$A$87:$I$107,9,0)</f>
        <v>1.9</v>
      </c>
      <c r="BC123" s="13">
        <f t="array" ref="BC123">INDEX(BB:BB,MIN(IF(ISNUMBER(BB123:BB319),ROW(BB123:BB319),"")))</f>
        <v>1.9</v>
      </c>
      <c r="BD123" s="13">
        <f>IF('Données projet'!$A$88&gt;35,BD122+BC123-BL122,IF(A123&lt;'Données projet'!$A$88,$BA$205^A123,IF(A123='Données projet'!$A$88,'Données projet'!$B$88,BD122+BC123-BL122)))</f>
        <v>284.99999999999972</v>
      </c>
      <c r="BE123" s="14">
        <f>BD123*VLOOKUP('Données projet'!$B$11,Paramètres!$A$1:$I$88,3,0)*VLOOKUP('Données projet'!$B$11,Paramètres!$A$1:$I$88,5,0)</f>
        <v>324.55799999999965</v>
      </c>
      <c r="BF123" s="14">
        <f t="shared" si="91"/>
        <v>76.300952147630127</v>
      </c>
      <c r="BG123" s="22">
        <f t="shared" si="61"/>
        <v>698.16267499045523</v>
      </c>
      <c r="BH123" s="62">
        <f t="shared" si="62"/>
        <v>987.79170136913581</v>
      </c>
      <c r="BI123" s="62">
        <f ca="1">AVERAGE(OFFSET($BH$3,0,0,'Données projet'!$E$11+1,1))-AVERAGE(OFFSET($H$3,0,0,'Données projet'!$E$11+1,1))</f>
        <v>470.57532875732056</v>
      </c>
      <c r="BJ123" s="62">
        <f t="shared" si="92"/>
        <v>286.63787681165888</v>
      </c>
      <c r="BK123" s="16">
        <f>IF(ISNA(VLOOKUP(A123,'Données projet'!$A$87:$I$107,3,0)),0,VLOOKUP(A123,'Données projet'!$A$87:$I$107,3,0))</f>
        <v>20</v>
      </c>
      <c r="BL123" s="16">
        <f>IF(ISNA(VLOOKUP(A123,'Données projet'!$A$87:$I$107,4,0)),0,VLOOKUP(A123,'Données projet'!$A$87:$I$107,4,0))</f>
        <v>285</v>
      </c>
      <c r="BM123" s="17">
        <f>IF(ISNA(VLOOKUP(A123,'Données projet'!$A$87:$I$107,5,0)),0%,VLOOKUP(A123,'Données projet'!$A$87:$I$107,5,0)*VLOOKUP('Données projet'!$B$11,Paramètres!$A$1:$I$88,7,0))</f>
        <v>0.34400000000000003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projet'!$B$11,Paramètres!$A$1:$I$88,3,0)*0.475*44/12</f>
        <v>162.41635301913385</v>
      </c>
      <c r="BQ123" s="23">
        <f>EXP(-LN(2)/25)*BQ122+(1-EXP(-LN(2)/25))/(LN(2)/25)*Calculateur!BL123*Calculateur!BN123*VLOOKUP('Données projet'!$B$11,Paramètres!$A$1:$I$88,3,0)*0.475*44/12</f>
        <v>0</v>
      </c>
      <c r="BR123" s="23">
        <f>EXP(-LN(2)/2)*BR122+(1-EXP(-LN(2)/2))/(LN(2)/2)*BL123*BO123*VLOOKUP('Données projet'!$B$11,Paramètres!$A$1:$I$88,3,0)*0.475*44/12</f>
        <v>0</v>
      </c>
      <c r="BS123" s="24">
        <f t="shared" si="63"/>
        <v>162.41635301913385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68.989734466912907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-2.2737367544323206E-13</v>
      </c>
      <c r="BZ123" s="14">
        <f>BY123*VLOOKUP('Données projet'!$B$12,Paramètres!$A$1:$I$88,3,0)*VLOOKUP('Données projet'!$B$12,Paramètres!$A$1:$I$88,5,0)</f>
        <v>-1.4897523215040565E-13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305.38855494899906</v>
      </c>
      <c r="CE123" s="62">
        <f t="shared" si="94"/>
        <v>298.48106301229177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projet'!$B$12,Paramètres!$A$1:$I$88,3,0)*0.475*44/12</f>
        <v>38.397745308034033</v>
      </c>
      <c r="CL123" s="23">
        <f>EXP(-LN(2)/25)*CL122+(1-EXP(-LN(2)/25))/(LN(2)/25)*Calculateur!CG123*Calculateur!CI123*VLOOKUP('Données projet'!$B$12,Paramètres!$A$1:$I$88,3,0)*0.475*44/12</f>
        <v>0</v>
      </c>
      <c r="CM123" s="23">
        <f>EXP(-LN(2)/2)*CM122+(1-EXP(-LN(2)/2))/(LN(2)/2)*CG123*CJ123*VLOOKUP('Données projet'!$B$12,Paramètres!$A$1:$I$88,3,0)*0.475*44/12</f>
        <v>0</v>
      </c>
      <c r="CN123" s="24">
        <f t="shared" si="66"/>
        <v>38.397745308034033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68.989734466912907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-2.2737367544323206E-13</v>
      </c>
      <c r="CU123" s="18">
        <f>CT123*VLOOKUP('Données projet'!$B$13,Paramètres!$A$1:$I$88,3,0)*VLOOKUP('Données projet'!$B$13,Paramètres!$A$1:$I$88,5,0)</f>
        <v>-1.8089849618263545E-13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361.30066984973894</v>
      </c>
      <c r="CZ123" s="62">
        <f t="shared" si="96"/>
        <v>351.78053157121622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projet'!$B$13,Paramètres!$A$1:$I$88,3,0)*0.475*44/12</f>
        <v>57.469050701891433</v>
      </c>
      <c r="DG123" s="23">
        <f>EXP(-LN(2)/25)*DG122+(1-EXP(-LN(2)/25))/(LN(2)/25)*Calculateur!DB123*Calculateur!DD123*VLOOKUP('Données projet'!$B$13,Paramètres!$A$1:$I$88,3,0)*0.475*44/12</f>
        <v>0</v>
      </c>
      <c r="DH123" s="23">
        <f>EXP(-LN(2)/2)*DH122+(1-EXP(-LN(2)/2))/(LN(2)/2)*DB123*DE123*VLOOKUP('Données projet'!$B$13,Paramètres!$A$1:$I$88,3,0)*0.475*44/12</f>
        <v>0</v>
      </c>
      <c r="DI123" s="24">
        <f t="shared" si="69"/>
        <v>57.469050701891433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68.989734466912907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>
        <f>DO123*VLOOKUP('Données projet'!$B$14,Paramètres!$A$1:$I$88,3,0)*VLOOKUP('Données projet'!$B$14,Paramètres!$A$1:$I$88,5,0)</f>
        <v>0</v>
      </c>
      <c r="DQ123" s="14" t="e">
        <f t="shared" si="97"/>
        <v>#NUM!</v>
      </c>
      <c r="DR123" s="22" t="e">
        <f t="shared" si="70"/>
        <v>#NUM!</v>
      </c>
      <c r="DS123" s="62" t="e">
        <f t="shared" si="71"/>
        <v>#NUM!</v>
      </c>
      <c r="DT123" s="62">
        <f ca="1">AVERAGE(OFFSET($DS$3,0,0,'Données projet'!$E$14+1,1))-AVERAGE(OFFSET($H$3,0,0,'Données projet'!$E$14+1,1))</f>
        <v>91.201152634762423</v>
      </c>
      <c r="DU123" s="62">
        <f t="shared" si="98"/>
        <v>233.36981992862445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projet'!$B$14,Paramètres!$A$1:$I$88,3,0)*0.475*44/12</f>
        <v>6.9745961132180945</v>
      </c>
      <c r="EB123" s="23">
        <f>EXP(-LN(2)/25)*EB122+(1-EXP(-LN(2)/25))/(LN(2)/25)*Calculateur!DW123*Calculateur!DY123*VLOOKUP('Données projet'!$B$14,Paramètres!$A$1:$I$88,3,0)*0.475*44/12</f>
        <v>0</v>
      </c>
      <c r="EC123" s="23">
        <f>EXP(-LN(2)/2)*EC122+(1-EXP(-LN(2)/2))/(LN(2)/2)*DW123*DZ123*VLOOKUP('Données projet'!$B$14,Paramètres!$A$1:$I$88,3,0)*0.475*44/12</f>
        <v>0</v>
      </c>
      <c r="ED123" s="24">
        <f t="shared" si="72"/>
        <v>6.9745961132180945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68.989734466912907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projet'!$B$15,Paramètres!$A$1:$I$88,3,0)*0.475*44/12</f>
        <v>#N/A</v>
      </c>
      <c r="EW123" s="23" t="e">
        <f>EXP(-LN(2)/25)*EW122+(1-EXP(-LN(2)/25))/(LN(2)/25)*Calculateur!ER123*Calculateur!ET123*VLOOKUP('Données projet'!$B$15,Paramètres!$A$1:$I$88,3,0)*0.475*44/12</f>
        <v>#N/A</v>
      </c>
      <c r="EX123" s="23" t="e">
        <f>EXP(-LN(2)/2)*EX122+(1-EXP(-LN(2)/2))/(LN(2)/2)*ER123*EU123*VLOOKUP('Données projet'!$B$15,Paramètres!$A$1:$I$88,3,0)*0.475*44/12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68.989734466912907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projet'!$B$16,Paramètres!$A$1:$I$88,3,0)*0.475*44/12</f>
        <v>#N/A</v>
      </c>
      <c r="FR123" s="23" t="e">
        <f>EXP(-LN(2)/25)*FR122+(1-EXP(-LN(2)/25))/(LN(2)/25)*Calculateur!FM123*Calculateur!FO123*VLOOKUP('Données projet'!$B$16,Paramètres!$A$1:$I$88,3,0)*0.475*44/12</f>
        <v>#N/A</v>
      </c>
      <c r="FS123" s="23" t="e">
        <f>EXP(-LN(2)/2)*FS122+(1-EXP(-LN(2)/2))/(LN(2)/2)*FM123*FP123*VLOOKUP('Données projet'!$B$16,Paramètres!$A$1:$I$88,3,0)*0.475*44/12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68.989734466912907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projet'!$B$17,Paramètres!$A$1:$I$88,3,0)*0.475*44/12</f>
        <v>#N/A</v>
      </c>
      <c r="GM123" s="23" t="e">
        <f>EXP(-LN(2)/25)*GM122+(1-EXP(-LN(2)/25))/(LN(2)/25)*Calculateur!GH123*Calculateur!GJ123*VLOOKUP('Données projet'!$B$17,Paramètres!$A$1:$I$88,3,0)*0.475*44/12</f>
        <v>#N/A</v>
      </c>
      <c r="GN123" s="23" t="e">
        <f>EXP(-LN(2)/2)*GN122+(1-EXP(-LN(2)/2))/(LN(2)/2)*GH123*GK123*VLOOKUP('Données projet'!$B$17,Paramètres!$A$1:$I$88,3,0)*0.475*44/12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68.989734466912907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projet'!$B$18,Paramètres!$A$1:$I$88,3,0)*0.475*44/12</f>
        <v>#N/A</v>
      </c>
      <c r="HH123" s="23" t="e">
        <f>EXP(-LN(2)/25)*HH122+(1-EXP(-LN(2)/25))/(LN(2)/25)*Calculateur!HC123*Calculateur!HE123*VLOOKUP('Données projet'!$B$18,Paramètres!$A$1:$I$88,3,0)*0.475*44/12</f>
        <v>#N/A</v>
      </c>
      <c r="HI123" s="23" t="e">
        <f>EXP(-LN(2)/2)*HI122+(1-EXP(-LN(2)/2))/(LN(2)/2)*HC123*HF123*VLOOKUP('Données projet'!$B$18,Paramètres!$A$1:$I$88,3,0)*0.475*44/12</f>
        <v>#N/A</v>
      </c>
      <c r="HJ123" s="24" t="e">
        <f t="shared" si="84"/>
        <v>#N/A</v>
      </c>
    </row>
    <row r="124" spans="1:218" s="5" customFormat="1" x14ac:dyDescent="0.2">
      <c r="A124" s="11">
        <f t="shared" si="85"/>
        <v>121</v>
      </c>
      <c r="B124" s="77">
        <f>'Scénario référence'!$B$16*5+'Scénario référence'!$B$17*0+'Scénario référence'!$B$18*5</f>
        <v>1.6500000000000001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6.0500000000000007</v>
      </c>
      <c r="H124" s="70">
        <f t="shared" si="56"/>
        <v>232.4666666666667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69.007260315296605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projet'!$B$9,Paramètres!$A$1:$I$88,3,0)*VLOOKUP('Données projet'!$B$9,Paramètres!$A$1:$I$88,5,0)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289.69328782275619</v>
      </c>
      <c r="S124" s="62">
        <f ca="1">AVERAGE(OFFSET($R$3,0,0,'Données projet'!$E$9+1,1))-AVERAGE(OFFSET($H$3,0,0,'Données projet'!$E$9+1,1))</f>
        <v>354.71367224254021</v>
      </c>
      <c r="T124" s="62">
        <f t="shared" si="88"/>
        <v>490.074370133397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51.761021188930471</v>
      </c>
      <c r="AA124" s="23">
        <f>EXP(-LN(2)/25)*AA123+(1-EXP(-LN(2)/25))/(LN(2)/25)*Calculateur!V124*Calculateur!X124*VLOOKUP('Données projet'!$B$9,Paramètres!$A$1:$I$88,3,0)*0.475*44/12</f>
        <v>6.8271724226723123</v>
      </c>
      <c r="AB124" s="23">
        <f>EXP(-LN(2)/2)*AB123+(1-EXP(-LN(2)/2))/(LN(2)/2)*V124*Y124*VLOOKUP('Données projet'!$B$9,Paramètres!$A$1:$I$88,3,0)*0.475*44/12</f>
        <v>3.748511367833621E-10</v>
      </c>
      <c r="AC124" s="24">
        <f t="shared" si="57"/>
        <v>58.588193611977637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69.007260315296605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2.2737367544323206E-13</v>
      </c>
      <c r="AJ124" s="14">
        <f>AI124*VLOOKUP('Données projet'!$B$10,Paramètres!$A$1:$I$88,3,0)*VLOOKUP('Données projet'!$B$10,Paramètres!$A$1:$I$88,5,0)</f>
        <v>1.3596945791505279E-13</v>
      </c>
      <c r="AK124" s="14">
        <f t="shared" si="89"/>
        <v>1.9708830566360721E-12</v>
      </c>
      <c r="AL124" s="22">
        <f t="shared" si="58"/>
        <v>3.669434796176543E-12</v>
      </c>
      <c r="AM124" s="62">
        <f t="shared" si="59"/>
        <v>289.6932878227579</v>
      </c>
      <c r="AN124" s="62">
        <f ca="1">AVERAGE(OFFSET($AM$3,0,0,'Données projet'!$E$10+1,1))-AVERAGE(OFFSET($H$3,0,0,'Données projet'!$E$10+1,1))</f>
        <v>264.73276096087574</v>
      </c>
      <c r="AO124" s="62">
        <f t="shared" si="90"/>
        <v>381.84464918049662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projet'!$B$10,Paramètres!$A$1:$I$88,3,0)*0.475*44/12</f>
        <v>36.300333064737735</v>
      </c>
      <c r="AV124" s="23">
        <f>EXP(-LN(2)/25)*AV123+(1-EXP(-LN(2)/25))/(LN(2)/25)*Calculateur!AQ124*Calculateur!AS124*VLOOKUP('Données projet'!$B$10,Paramètres!$A$1:$I$88,3,0)*0.475*44/12</f>
        <v>4.7963082200292675</v>
      </c>
      <c r="AW124" s="23">
        <f>EXP(-LN(2)/2)*AW123+(1-EXP(-LN(2)/2))/(LN(2)/2)*AQ124*AT124*VLOOKUP('Données projet'!$B$10,Paramètres!$A$1:$I$88,3,0)*0.475*44/12</f>
        <v>2.6247387195751759E-10</v>
      </c>
      <c r="AX124" s="23">
        <f t="shared" si="60"/>
        <v>41.096641285029477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69.007260315296605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-2.8421709430404007E-13</v>
      </c>
      <c r="BE124" s="14">
        <f>BD124*VLOOKUP('Données projet'!$B$11,Paramètres!$A$1:$I$88,3,0)*VLOOKUP('Données projet'!$B$11,Paramètres!$A$1:$I$88,5,0)</f>
        <v>-3.2366642699344083E-13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470.57532875732056</v>
      </c>
      <c r="BJ124" s="62">
        <f t="shared" si="92"/>
        <v>286.63787681165888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projet'!$B$11,Paramètres!$A$1:$I$88,3,0)*0.475*44/12</f>
        <v>159.23146740062219</v>
      </c>
      <c r="BQ124" s="23">
        <f>EXP(-LN(2)/25)*BQ123+(1-EXP(-LN(2)/25))/(LN(2)/25)*Calculateur!BL124*Calculateur!BN124*VLOOKUP('Données projet'!$B$11,Paramètres!$A$1:$I$88,3,0)*0.475*44/12</f>
        <v>0</v>
      </c>
      <c r="BR124" s="23">
        <f>EXP(-LN(2)/2)*BR123+(1-EXP(-LN(2)/2))/(LN(2)/2)*BL124*BO124*VLOOKUP('Données projet'!$B$11,Paramètres!$A$1:$I$88,3,0)*0.475*44/12</f>
        <v>0</v>
      </c>
      <c r="BS124" s="24">
        <f t="shared" si="63"/>
        <v>159.23146740062219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69.007260315296605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-2.2737367544323206E-13</v>
      </c>
      <c r="BZ124" s="14">
        <f>BY124*VLOOKUP('Données projet'!$B$12,Paramètres!$A$1:$I$88,3,0)*VLOOKUP('Données projet'!$B$12,Paramètres!$A$1:$I$88,5,0)</f>
        <v>-1.4897523215040565E-13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305.38855494899906</v>
      </c>
      <c r="CE124" s="62">
        <f t="shared" si="94"/>
        <v>298.48106301229177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projet'!$B$12,Paramètres!$A$1:$I$88,3,0)*0.475*44/12</f>
        <v>37.644788942855563</v>
      </c>
      <c r="CL124" s="23">
        <f>EXP(-LN(2)/25)*CL123+(1-EXP(-LN(2)/25))/(LN(2)/25)*Calculateur!CG124*Calculateur!CI124*VLOOKUP('Données projet'!$B$12,Paramètres!$A$1:$I$88,3,0)*0.475*44/12</f>
        <v>0</v>
      </c>
      <c r="CM124" s="23">
        <f>EXP(-LN(2)/2)*CM123+(1-EXP(-LN(2)/2))/(LN(2)/2)*CG124*CJ124*VLOOKUP('Données projet'!$B$12,Paramètres!$A$1:$I$88,3,0)*0.475*44/12</f>
        <v>0</v>
      </c>
      <c r="CN124" s="24">
        <f t="shared" si="66"/>
        <v>37.644788942855563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69.007260315296605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-2.2737367544323206E-13</v>
      </c>
      <c r="CU124" s="18">
        <f>CT124*VLOOKUP('Données projet'!$B$13,Paramètres!$A$1:$I$88,3,0)*VLOOKUP('Données projet'!$B$13,Paramètres!$A$1:$I$88,5,0)</f>
        <v>-1.8089849618263545E-13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361.30066984973894</v>
      </c>
      <c r="CZ124" s="62">
        <f t="shared" si="96"/>
        <v>351.78053157121622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projet'!$B$13,Paramètres!$A$1:$I$88,3,0)*0.475*44/12</f>
        <v>56.342117670287109</v>
      </c>
      <c r="DG124" s="23">
        <f>EXP(-LN(2)/25)*DG123+(1-EXP(-LN(2)/25))/(LN(2)/25)*Calculateur!DB124*Calculateur!DD124*VLOOKUP('Données projet'!$B$13,Paramètres!$A$1:$I$88,3,0)*0.475*44/12</f>
        <v>0</v>
      </c>
      <c r="DH124" s="23">
        <f>EXP(-LN(2)/2)*DH123+(1-EXP(-LN(2)/2))/(LN(2)/2)*DB124*DE124*VLOOKUP('Données projet'!$B$13,Paramètres!$A$1:$I$88,3,0)*0.475*44/12</f>
        <v>0</v>
      </c>
      <c r="DI124" s="24">
        <f t="shared" si="69"/>
        <v>56.342117670287109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69.007260315296605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>
        <f>DO124*VLOOKUP('Données projet'!$B$14,Paramètres!$A$1:$I$88,3,0)*VLOOKUP('Données projet'!$B$14,Paramètres!$A$1:$I$88,5,0)</f>
        <v>0</v>
      </c>
      <c r="DQ124" s="14" t="e">
        <f t="shared" si="97"/>
        <v>#NUM!</v>
      </c>
      <c r="DR124" s="22" t="e">
        <f t="shared" si="70"/>
        <v>#NUM!</v>
      </c>
      <c r="DS124" s="62" t="e">
        <f t="shared" si="71"/>
        <v>#NUM!</v>
      </c>
      <c r="DT124" s="62">
        <f ca="1">AVERAGE(OFFSET($DS$3,0,0,'Données projet'!$E$14+1,1))-AVERAGE(OFFSET($H$3,0,0,'Données projet'!$E$14+1,1))</f>
        <v>91.201152634762423</v>
      </c>
      <c r="DU124" s="62">
        <f t="shared" si="98"/>
        <v>233.36981992862445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projet'!$B$14,Paramètres!$A$1:$I$88,3,0)*0.475*44/12</f>
        <v>6.8378285375214611</v>
      </c>
      <c r="EB124" s="23">
        <f>EXP(-LN(2)/25)*EB123+(1-EXP(-LN(2)/25))/(LN(2)/25)*Calculateur!DW124*Calculateur!DY124*VLOOKUP('Données projet'!$B$14,Paramètres!$A$1:$I$88,3,0)*0.475*44/12</f>
        <v>0</v>
      </c>
      <c r="EC124" s="23">
        <f>EXP(-LN(2)/2)*EC123+(1-EXP(-LN(2)/2))/(LN(2)/2)*DW124*DZ124*VLOOKUP('Données projet'!$B$14,Paramètres!$A$1:$I$88,3,0)*0.475*44/12</f>
        <v>0</v>
      </c>
      <c r="ED124" s="24">
        <f t="shared" si="72"/>
        <v>6.8378285375214611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69.007260315296605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projet'!$B$15,Paramètres!$A$1:$I$88,3,0)*0.475*44/12</f>
        <v>#N/A</v>
      </c>
      <c r="EW124" s="23" t="e">
        <f>EXP(-LN(2)/25)*EW123+(1-EXP(-LN(2)/25))/(LN(2)/25)*Calculateur!ER124*Calculateur!ET124*VLOOKUP('Données projet'!$B$15,Paramètres!$A$1:$I$88,3,0)*0.475*44/12</f>
        <v>#N/A</v>
      </c>
      <c r="EX124" s="23" t="e">
        <f>EXP(-LN(2)/2)*EX123+(1-EXP(-LN(2)/2))/(LN(2)/2)*ER124*EU124*VLOOKUP('Données projet'!$B$15,Paramètres!$A$1:$I$88,3,0)*0.475*44/12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69.007260315296605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projet'!$B$16,Paramètres!$A$1:$I$88,3,0)*0.475*44/12</f>
        <v>#N/A</v>
      </c>
      <c r="FR124" s="23" t="e">
        <f>EXP(-LN(2)/25)*FR123+(1-EXP(-LN(2)/25))/(LN(2)/25)*Calculateur!FM124*Calculateur!FO124*VLOOKUP('Données projet'!$B$16,Paramètres!$A$1:$I$88,3,0)*0.475*44/12</f>
        <v>#N/A</v>
      </c>
      <c r="FS124" s="23" t="e">
        <f>EXP(-LN(2)/2)*FS123+(1-EXP(-LN(2)/2))/(LN(2)/2)*FM124*FP124*VLOOKUP('Données projet'!$B$16,Paramètres!$A$1:$I$88,3,0)*0.475*44/12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69.007260315296605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projet'!$B$17,Paramètres!$A$1:$I$88,3,0)*0.475*44/12</f>
        <v>#N/A</v>
      </c>
      <c r="GM124" s="23" t="e">
        <f>EXP(-LN(2)/25)*GM123+(1-EXP(-LN(2)/25))/(LN(2)/25)*Calculateur!GH124*Calculateur!GJ124*VLOOKUP('Données projet'!$B$17,Paramètres!$A$1:$I$88,3,0)*0.475*44/12</f>
        <v>#N/A</v>
      </c>
      <c r="GN124" s="23" t="e">
        <f>EXP(-LN(2)/2)*GN123+(1-EXP(-LN(2)/2))/(LN(2)/2)*GH124*GK124*VLOOKUP('Données projet'!$B$17,Paramètres!$A$1:$I$88,3,0)*0.475*44/12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69.007260315296605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projet'!$B$18,Paramètres!$A$1:$I$88,3,0)*0.475*44/12</f>
        <v>#N/A</v>
      </c>
      <c r="HH124" s="23" t="e">
        <f>EXP(-LN(2)/25)*HH123+(1-EXP(-LN(2)/25))/(LN(2)/25)*Calculateur!HC124*Calculateur!HE124*VLOOKUP('Données projet'!$B$18,Paramètres!$A$1:$I$88,3,0)*0.475*44/12</f>
        <v>#N/A</v>
      </c>
      <c r="HI124" s="23" t="e">
        <f>EXP(-LN(2)/2)*HI123+(1-EXP(-LN(2)/2))/(LN(2)/2)*HC124*HF124*VLOOKUP('Données projet'!$B$18,Paramètres!$A$1:$I$88,3,0)*0.475*44/12</f>
        <v>#N/A</v>
      </c>
      <c r="HJ124" s="24" t="e">
        <f t="shared" si="84"/>
        <v>#N/A</v>
      </c>
    </row>
    <row r="125" spans="1:218" s="5" customFormat="1" x14ac:dyDescent="0.2">
      <c r="A125" s="11">
        <f t="shared" si="85"/>
        <v>122</v>
      </c>
      <c r="B125" s="77">
        <f>'Scénario référence'!$B$16*5+'Scénario référence'!$B$17*0+'Scénario référence'!$B$18*5</f>
        <v>1.6500000000000001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6.0500000000000007</v>
      </c>
      <c r="H125" s="70">
        <f t="shared" si="56"/>
        <v>232.4666666666667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69.024482129392766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projet'!$B$9,Paramètres!$A$1:$I$88,3,0)*VLOOKUP('Données projet'!$B$9,Paramètres!$A$1:$I$88,5,0)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289.75643447444213</v>
      </c>
      <c r="S125" s="62">
        <f ca="1">AVERAGE(OFFSET($R$3,0,0,'Données projet'!$E$9+1,1))-AVERAGE(OFFSET($H$3,0,0,'Données projet'!$E$9+1,1))</f>
        <v>354.71367224254021</v>
      </c>
      <c r="T125" s="62">
        <f t="shared" si="88"/>
        <v>490.074370133397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50.746019134521084</v>
      </c>
      <c r="AA125" s="23">
        <f>EXP(-LN(2)/25)*AA124+(1-EXP(-LN(2)/25))/(LN(2)/25)*Calculateur!V125*Calculateur!X125*VLOOKUP('Données projet'!$B$9,Paramètres!$A$1:$I$88,3,0)*0.475*44/12</f>
        <v>6.6404830337489438</v>
      </c>
      <c r="AB125" s="23">
        <f>EXP(-LN(2)/2)*AB124+(1-EXP(-LN(2)/2))/(LN(2)/2)*V125*Y125*VLOOKUP('Données projet'!$B$9,Paramètres!$A$1:$I$88,3,0)*0.475*44/12</f>
        <v>2.6505978075500142E-10</v>
      </c>
      <c r="AC125" s="24">
        <f t="shared" si="57"/>
        <v>57.386502168535088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69.024482129392766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2.2737367544323206E-13</v>
      </c>
      <c r="AJ125" s="14">
        <f>AI125*VLOOKUP('Données projet'!$B$10,Paramètres!$A$1:$I$88,3,0)*VLOOKUP('Données projet'!$B$10,Paramètres!$A$1:$I$88,5,0)</f>
        <v>1.3596945791505279E-13</v>
      </c>
      <c r="AK125" s="14">
        <f t="shared" si="89"/>
        <v>1.9708830566360721E-12</v>
      </c>
      <c r="AL125" s="22">
        <f t="shared" si="58"/>
        <v>3.669434796176543E-12</v>
      </c>
      <c r="AM125" s="62">
        <f t="shared" si="59"/>
        <v>289.75643447444384</v>
      </c>
      <c r="AN125" s="62">
        <f ca="1">AVERAGE(OFFSET($AM$3,0,0,'Données projet'!$E$10+1,1))-AVERAGE(OFFSET($H$3,0,0,'Données projet'!$E$10+1,1))</f>
        <v>264.73276096087574</v>
      </c>
      <c r="AO125" s="62">
        <f t="shared" si="90"/>
        <v>381.84464918049662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projet'!$B$10,Paramètres!$A$1:$I$88,3,0)*0.475*44/12</f>
        <v>35.588505674355154</v>
      </c>
      <c r="AV125" s="23">
        <f>EXP(-LN(2)/25)*AV124+(1-EXP(-LN(2)/25))/(LN(2)/25)*Calculateur!AQ125*Calculateur!AS125*VLOOKUP('Données projet'!$B$10,Paramètres!$A$1:$I$88,3,0)*0.475*44/12</f>
        <v>4.6651529195256796</v>
      </c>
      <c r="AW125" s="23">
        <f>EXP(-LN(2)/2)*AW124+(1-EXP(-LN(2)/2))/(LN(2)/2)*AQ125*AT125*VLOOKUP('Données projet'!$B$10,Paramètres!$A$1:$I$88,3,0)*0.475*44/12</f>
        <v>1.8559705474545029E-10</v>
      </c>
      <c r="AX125" s="23">
        <f t="shared" si="60"/>
        <v>40.25365859406643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69.024482129392766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-2.8421709430404007E-13</v>
      </c>
      <c r="BE125" s="14">
        <f>BD125*VLOOKUP('Données projet'!$B$11,Paramètres!$A$1:$I$88,3,0)*VLOOKUP('Données projet'!$B$11,Paramètres!$A$1:$I$88,5,0)</f>
        <v>-3.2366642699344083E-13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470.57532875732056</v>
      </c>
      <c r="BJ125" s="62">
        <f t="shared" si="92"/>
        <v>286.63787681165888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projet'!$B$11,Paramètres!$A$1:$I$88,3,0)*0.475*44/12</f>
        <v>156.10903544650114</v>
      </c>
      <c r="BQ125" s="23">
        <f>EXP(-LN(2)/25)*BQ124+(1-EXP(-LN(2)/25))/(LN(2)/25)*Calculateur!BL125*Calculateur!BN125*VLOOKUP('Données projet'!$B$11,Paramètres!$A$1:$I$88,3,0)*0.475*44/12</f>
        <v>0</v>
      </c>
      <c r="BR125" s="23">
        <f>EXP(-LN(2)/2)*BR124+(1-EXP(-LN(2)/2))/(LN(2)/2)*BL125*BO125*VLOOKUP('Données projet'!$B$11,Paramètres!$A$1:$I$88,3,0)*0.475*44/12</f>
        <v>0</v>
      </c>
      <c r="BS125" s="24">
        <f t="shared" si="63"/>
        <v>156.10903544650114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69.024482129392766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-2.2737367544323206E-13</v>
      </c>
      <c r="BZ125" s="14">
        <f>BY125*VLOOKUP('Données projet'!$B$12,Paramètres!$A$1:$I$88,3,0)*VLOOKUP('Données projet'!$B$12,Paramètres!$A$1:$I$88,5,0)</f>
        <v>-1.4897523215040565E-13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305.38855494899906</v>
      </c>
      <c r="CE125" s="62">
        <f t="shared" si="94"/>
        <v>298.48106301229177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projet'!$B$12,Paramètres!$A$1:$I$88,3,0)*0.475*44/12</f>
        <v>36.906597592740205</v>
      </c>
      <c r="CL125" s="23">
        <f>EXP(-LN(2)/25)*CL124+(1-EXP(-LN(2)/25))/(LN(2)/25)*Calculateur!CG125*Calculateur!CI125*VLOOKUP('Données projet'!$B$12,Paramètres!$A$1:$I$88,3,0)*0.475*44/12</f>
        <v>0</v>
      </c>
      <c r="CM125" s="23">
        <f>EXP(-LN(2)/2)*CM124+(1-EXP(-LN(2)/2))/(LN(2)/2)*CG125*CJ125*VLOOKUP('Données projet'!$B$12,Paramètres!$A$1:$I$88,3,0)*0.475*44/12</f>
        <v>0</v>
      </c>
      <c r="CN125" s="24">
        <f t="shared" si="66"/>
        <v>36.906597592740205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69.024482129392766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-2.2737367544323206E-13</v>
      </c>
      <c r="CU125" s="18">
        <f>CT125*VLOOKUP('Données projet'!$B$13,Paramètres!$A$1:$I$88,3,0)*VLOOKUP('Données projet'!$B$13,Paramètres!$A$1:$I$88,5,0)</f>
        <v>-1.8089849618263545E-13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361.30066984973894</v>
      </c>
      <c r="CZ125" s="62">
        <f t="shared" si="96"/>
        <v>351.78053157121622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projet'!$B$13,Paramètres!$A$1:$I$88,3,0)*0.475*44/12</f>
        <v>55.237283108071267</v>
      </c>
      <c r="DG125" s="23">
        <f>EXP(-LN(2)/25)*DG124+(1-EXP(-LN(2)/25))/(LN(2)/25)*Calculateur!DB125*Calculateur!DD125*VLOOKUP('Données projet'!$B$13,Paramètres!$A$1:$I$88,3,0)*0.475*44/12</f>
        <v>0</v>
      </c>
      <c r="DH125" s="23">
        <f>EXP(-LN(2)/2)*DH124+(1-EXP(-LN(2)/2))/(LN(2)/2)*DB125*DE125*VLOOKUP('Données projet'!$B$13,Paramètres!$A$1:$I$88,3,0)*0.475*44/12</f>
        <v>0</v>
      </c>
      <c r="DI125" s="24">
        <f t="shared" si="69"/>
        <v>55.237283108071267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69.024482129392766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>
        <f>DO125*VLOOKUP('Données projet'!$B$14,Paramètres!$A$1:$I$88,3,0)*VLOOKUP('Données projet'!$B$14,Paramètres!$A$1:$I$88,5,0)</f>
        <v>0</v>
      </c>
      <c r="DQ125" s="14" t="e">
        <f t="shared" si="97"/>
        <v>#NUM!</v>
      </c>
      <c r="DR125" s="22" t="e">
        <f t="shared" si="70"/>
        <v>#NUM!</v>
      </c>
      <c r="DS125" s="62" t="e">
        <f t="shared" si="71"/>
        <v>#NUM!</v>
      </c>
      <c r="DT125" s="62">
        <f ca="1">AVERAGE(OFFSET($DS$3,0,0,'Données projet'!$E$14+1,1))-AVERAGE(OFFSET($H$3,0,0,'Données projet'!$E$14+1,1))</f>
        <v>91.201152634762423</v>
      </c>
      <c r="DU125" s="62">
        <f t="shared" si="98"/>
        <v>233.36981992862445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projet'!$B$14,Paramètres!$A$1:$I$88,3,0)*0.475*44/12</f>
        <v>6.7037428905642544</v>
      </c>
      <c r="EB125" s="23">
        <f>EXP(-LN(2)/25)*EB124+(1-EXP(-LN(2)/25))/(LN(2)/25)*Calculateur!DW125*Calculateur!DY125*VLOOKUP('Données projet'!$B$14,Paramètres!$A$1:$I$88,3,0)*0.475*44/12</f>
        <v>0</v>
      </c>
      <c r="EC125" s="23">
        <f>EXP(-LN(2)/2)*EC124+(1-EXP(-LN(2)/2))/(LN(2)/2)*DW125*DZ125*VLOOKUP('Données projet'!$B$14,Paramètres!$A$1:$I$88,3,0)*0.475*44/12</f>
        <v>0</v>
      </c>
      <c r="ED125" s="24">
        <f t="shared" si="72"/>
        <v>6.7037428905642544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69.024482129392766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projet'!$B$15,Paramètres!$A$1:$I$88,3,0)*0.475*44/12</f>
        <v>#N/A</v>
      </c>
      <c r="EW125" s="23" t="e">
        <f>EXP(-LN(2)/25)*EW124+(1-EXP(-LN(2)/25))/(LN(2)/25)*Calculateur!ER125*Calculateur!ET125*VLOOKUP('Données projet'!$B$15,Paramètres!$A$1:$I$88,3,0)*0.475*44/12</f>
        <v>#N/A</v>
      </c>
      <c r="EX125" s="23" t="e">
        <f>EXP(-LN(2)/2)*EX124+(1-EXP(-LN(2)/2))/(LN(2)/2)*ER125*EU125*VLOOKUP('Données projet'!$B$15,Paramètres!$A$1:$I$88,3,0)*0.475*44/12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69.024482129392766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projet'!$B$16,Paramètres!$A$1:$I$88,3,0)*0.475*44/12</f>
        <v>#N/A</v>
      </c>
      <c r="FR125" s="23" t="e">
        <f>EXP(-LN(2)/25)*FR124+(1-EXP(-LN(2)/25))/(LN(2)/25)*Calculateur!FM125*Calculateur!FO125*VLOOKUP('Données projet'!$B$16,Paramètres!$A$1:$I$88,3,0)*0.475*44/12</f>
        <v>#N/A</v>
      </c>
      <c r="FS125" s="23" t="e">
        <f>EXP(-LN(2)/2)*FS124+(1-EXP(-LN(2)/2))/(LN(2)/2)*FM125*FP125*VLOOKUP('Données projet'!$B$16,Paramètres!$A$1:$I$88,3,0)*0.475*44/12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69.024482129392766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projet'!$B$17,Paramètres!$A$1:$I$88,3,0)*0.475*44/12</f>
        <v>#N/A</v>
      </c>
      <c r="GM125" s="23" t="e">
        <f>EXP(-LN(2)/25)*GM124+(1-EXP(-LN(2)/25))/(LN(2)/25)*Calculateur!GH125*Calculateur!GJ125*VLOOKUP('Données projet'!$B$17,Paramètres!$A$1:$I$88,3,0)*0.475*44/12</f>
        <v>#N/A</v>
      </c>
      <c r="GN125" s="23" t="e">
        <f>EXP(-LN(2)/2)*GN124+(1-EXP(-LN(2)/2))/(LN(2)/2)*GH125*GK125*VLOOKUP('Données projet'!$B$17,Paramètres!$A$1:$I$88,3,0)*0.475*44/12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69.024482129392766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projet'!$B$18,Paramètres!$A$1:$I$88,3,0)*0.475*44/12</f>
        <v>#N/A</v>
      </c>
      <c r="HH125" s="23" t="e">
        <f>EXP(-LN(2)/25)*HH124+(1-EXP(-LN(2)/25))/(LN(2)/25)*Calculateur!HC125*Calculateur!HE125*VLOOKUP('Données projet'!$B$18,Paramètres!$A$1:$I$88,3,0)*0.475*44/12</f>
        <v>#N/A</v>
      </c>
      <c r="HI125" s="23" t="e">
        <f>EXP(-LN(2)/2)*HI124+(1-EXP(-LN(2)/2))/(LN(2)/2)*HC125*HF125*VLOOKUP('Données projet'!$B$18,Paramètres!$A$1:$I$88,3,0)*0.475*44/12</f>
        <v>#N/A</v>
      </c>
      <c r="HJ125" s="24" t="e">
        <f t="shared" si="84"/>
        <v>#N/A</v>
      </c>
    </row>
    <row r="126" spans="1:218" s="5" customFormat="1" x14ac:dyDescent="0.2">
      <c r="A126" s="11">
        <f t="shared" si="85"/>
        <v>123</v>
      </c>
      <c r="B126" s="77">
        <f>'Scénario référence'!$B$16*5+'Scénario référence'!$B$17*0+'Scénario référence'!$B$18*5</f>
        <v>1.6500000000000001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6.0500000000000007</v>
      </c>
      <c r="H126" s="70">
        <f t="shared" si="56"/>
        <v>232.4666666666667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69.041405183516574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projet'!$B$9,Paramètres!$A$1:$I$88,3,0)*VLOOKUP('Données projet'!$B$9,Paramètres!$A$1:$I$88,5,0)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289.81848567289609</v>
      </c>
      <c r="S126" s="62">
        <f ca="1">AVERAGE(OFFSET($R$3,0,0,'Données projet'!$E$9+1,1))-AVERAGE(OFFSET($H$3,0,0,'Données projet'!$E$9+1,1))</f>
        <v>354.71367224254021</v>
      </c>
      <c r="T126" s="62">
        <f t="shared" si="88"/>
        <v>490.074370133397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49.75092065130854</v>
      </c>
      <c r="AA126" s="23">
        <f>EXP(-LN(2)/25)*AA125+(1-EXP(-LN(2)/25))/(LN(2)/25)*Calculateur!V126*Calculateur!X126*VLOOKUP('Données projet'!$B$9,Paramètres!$A$1:$I$88,3,0)*0.475*44/12</f>
        <v>6.458898675983253</v>
      </c>
      <c r="AB126" s="23">
        <f>EXP(-LN(2)/2)*AB125+(1-EXP(-LN(2)/2))/(LN(2)/2)*V126*Y126*VLOOKUP('Données projet'!$B$9,Paramètres!$A$1:$I$88,3,0)*0.475*44/12</f>
        <v>1.8742556839168105E-10</v>
      </c>
      <c r="AC126" s="24">
        <f t="shared" si="57"/>
        <v>56.209819327479224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69.041405183516574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2.2737367544323206E-13</v>
      </c>
      <c r="AJ126" s="14">
        <f>AI126*VLOOKUP('Données projet'!$B$10,Paramètres!$A$1:$I$88,3,0)*VLOOKUP('Données projet'!$B$10,Paramètres!$A$1:$I$88,5,0)</f>
        <v>1.3596945791505279E-13</v>
      </c>
      <c r="AK126" s="14">
        <f t="shared" si="89"/>
        <v>1.9708830566360721E-12</v>
      </c>
      <c r="AL126" s="22">
        <f t="shared" si="58"/>
        <v>3.669434796176543E-12</v>
      </c>
      <c r="AM126" s="62">
        <f t="shared" si="59"/>
        <v>289.81848567289779</v>
      </c>
      <c r="AN126" s="62">
        <f ca="1">AVERAGE(OFFSET($AM$3,0,0,'Données projet'!$E$10+1,1))-AVERAGE(OFFSET($H$3,0,0,'Données projet'!$E$10+1,1))</f>
        <v>264.73276096087574</v>
      </c>
      <c r="AO126" s="62">
        <f t="shared" si="90"/>
        <v>381.84464918049662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projet'!$B$10,Paramètres!$A$1:$I$88,3,0)*0.475*44/12</f>
        <v>34.890636784926137</v>
      </c>
      <c r="AV126" s="23">
        <f>EXP(-LN(2)/25)*AV125+(1-EXP(-LN(2)/25))/(LN(2)/25)*Calculateur!AQ126*Calculateur!AS126*VLOOKUP('Données projet'!$B$10,Paramètres!$A$1:$I$88,3,0)*0.475*44/12</f>
        <v>4.5375840676115198</v>
      </c>
      <c r="AW126" s="23">
        <f>EXP(-LN(2)/2)*AW125+(1-EXP(-LN(2)/2))/(LN(2)/2)*AQ126*AT126*VLOOKUP('Données projet'!$B$10,Paramètres!$A$1:$I$88,3,0)*0.475*44/12</f>
        <v>1.312369359787588E-10</v>
      </c>
      <c r="AX126" s="23">
        <f t="shared" si="60"/>
        <v>39.428220852668893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69.041405183516574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-2.8421709430404007E-13</v>
      </c>
      <c r="BE126" s="14">
        <f>BD126*VLOOKUP('Données projet'!$B$11,Paramètres!$A$1:$I$88,3,0)*VLOOKUP('Données projet'!$B$11,Paramètres!$A$1:$I$88,5,0)</f>
        <v>-3.2366642699344083E-13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470.57532875732056</v>
      </c>
      <c r="BJ126" s="62">
        <f t="shared" si="92"/>
        <v>286.63787681165888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projet'!$B$11,Paramètres!$A$1:$I$88,3,0)*0.475*44/12</f>
        <v>153.04783247850497</v>
      </c>
      <c r="BQ126" s="23">
        <f>EXP(-LN(2)/25)*BQ125+(1-EXP(-LN(2)/25))/(LN(2)/25)*Calculateur!BL126*Calculateur!BN126*VLOOKUP('Données projet'!$B$11,Paramètres!$A$1:$I$88,3,0)*0.475*44/12</f>
        <v>0</v>
      </c>
      <c r="BR126" s="23">
        <f>EXP(-LN(2)/2)*BR125+(1-EXP(-LN(2)/2))/(LN(2)/2)*BL126*BO126*VLOOKUP('Données projet'!$B$11,Paramètres!$A$1:$I$88,3,0)*0.475*44/12</f>
        <v>0</v>
      </c>
      <c r="BS126" s="24">
        <f t="shared" si="63"/>
        <v>153.04783247850497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69.041405183516574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-2.2737367544323206E-13</v>
      </c>
      <c r="BZ126" s="14">
        <f>BY126*VLOOKUP('Données projet'!$B$12,Paramètres!$A$1:$I$88,3,0)*VLOOKUP('Données projet'!$B$12,Paramètres!$A$1:$I$88,5,0)</f>
        <v>-1.4897523215040565E-13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305.38855494899906</v>
      </c>
      <c r="CE126" s="62">
        <f t="shared" si="94"/>
        <v>298.48106301229177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projet'!$B$12,Paramètres!$A$1:$I$88,3,0)*0.475*44/12</f>
        <v>36.182881724748341</v>
      </c>
      <c r="CL126" s="23">
        <f>EXP(-LN(2)/25)*CL125+(1-EXP(-LN(2)/25))/(LN(2)/25)*Calculateur!CG126*Calculateur!CI126*VLOOKUP('Données projet'!$B$12,Paramètres!$A$1:$I$88,3,0)*0.475*44/12</f>
        <v>0</v>
      </c>
      <c r="CM126" s="23">
        <f>EXP(-LN(2)/2)*CM125+(1-EXP(-LN(2)/2))/(LN(2)/2)*CG126*CJ126*VLOOKUP('Données projet'!$B$12,Paramètres!$A$1:$I$88,3,0)*0.475*44/12</f>
        <v>0</v>
      </c>
      <c r="CN126" s="24">
        <f t="shared" si="66"/>
        <v>36.182881724748341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69.041405183516574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-2.2737367544323206E-13</v>
      </c>
      <c r="CU126" s="18">
        <f>CT126*VLOOKUP('Données projet'!$B$13,Paramètres!$A$1:$I$88,3,0)*VLOOKUP('Données projet'!$B$13,Paramètres!$A$1:$I$88,5,0)</f>
        <v>-1.8089849618263545E-13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361.30066984973894</v>
      </c>
      <c r="CZ126" s="62">
        <f t="shared" si="96"/>
        <v>351.78053157121622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projet'!$B$13,Paramètres!$A$1:$I$88,3,0)*0.475*44/12</f>
        <v>54.154113677737932</v>
      </c>
      <c r="DG126" s="23">
        <f>EXP(-LN(2)/25)*DG125+(1-EXP(-LN(2)/25))/(LN(2)/25)*Calculateur!DB126*Calculateur!DD126*VLOOKUP('Données projet'!$B$13,Paramètres!$A$1:$I$88,3,0)*0.475*44/12</f>
        <v>0</v>
      </c>
      <c r="DH126" s="23">
        <f>EXP(-LN(2)/2)*DH125+(1-EXP(-LN(2)/2))/(LN(2)/2)*DB126*DE126*VLOOKUP('Données projet'!$B$13,Paramètres!$A$1:$I$88,3,0)*0.475*44/12</f>
        <v>0</v>
      </c>
      <c r="DI126" s="24">
        <f t="shared" si="69"/>
        <v>54.154113677737932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69.041405183516574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>
        <f>DO126*VLOOKUP('Données projet'!$B$14,Paramètres!$A$1:$I$88,3,0)*VLOOKUP('Données projet'!$B$14,Paramètres!$A$1:$I$88,5,0)</f>
        <v>0</v>
      </c>
      <c r="DQ126" s="14" t="e">
        <f t="shared" si="97"/>
        <v>#NUM!</v>
      </c>
      <c r="DR126" s="22" t="e">
        <f t="shared" si="70"/>
        <v>#NUM!</v>
      </c>
      <c r="DS126" s="62" t="e">
        <f t="shared" si="71"/>
        <v>#NUM!</v>
      </c>
      <c r="DT126" s="62">
        <f ca="1">AVERAGE(OFFSET($DS$3,0,0,'Données projet'!$E$14+1,1))-AVERAGE(OFFSET($H$3,0,0,'Données projet'!$E$14+1,1))</f>
        <v>91.201152634762423</v>
      </c>
      <c r="DU126" s="62">
        <f t="shared" si="98"/>
        <v>233.36981992862445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projet'!$B$14,Paramètres!$A$1:$I$88,3,0)*0.475*44/12</f>
        <v>6.5722865813597098</v>
      </c>
      <c r="EB126" s="23">
        <f>EXP(-LN(2)/25)*EB125+(1-EXP(-LN(2)/25))/(LN(2)/25)*Calculateur!DW126*Calculateur!DY126*VLOOKUP('Données projet'!$B$14,Paramètres!$A$1:$I$88,3,0)*0.475*44/12</f>
        <v>0</v>
      </c>
      <c r="EC126" s="23">
        <f>EXP(-LN(2)/2)*EC125+(1-EXP(-LN(2)/2))/(LN(2)/2)*DW126*DZ126*VLOOKUP('Données projet'!$B$14,Paramètres!$A$1:$I$88,3,0)*0.475*44/12</f>
        <v>0</v>
      </c>
      <c r="ED126" s="24">
        <f t="shared" si="72"/>
        <v>6.5722865813597098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69.041405183516574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projet'!$B$15,Paramètres!$A$1:$I$88,3,0)*0.475*44/12</f>
        <v>#N/A</v>
      </c>
      <c r="EW126" s="23" t="e">
        <f>EXP(-LN(2)/25)*EW125+(1-EXP(-LN(2)/25))/(LN(2)/25)*Calculateur!ER126*Calculateur!ET126*VLOOKUP('Données projet'!$B$15,Paramètres!$A$1:$I$88,3,0)*0.475*44/12</f>
        <v>#N/A</v>
      </c>
      <c r="EX126" s="23" t="e">
        <f>EXP(-LN(2)/2)*EX125+(1-EXP(-LN(2)/2))/(LN(2)/2)*ER126*EU126*VLOOKUP('Données projet'!$B$15,Paramètres!$A$1:$I$88,3,0)*0.475*44/12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69.041405183516574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projet'!$B$16,Paramètres!$A$1:$I$88,3,0)*0.475*44/12</f>
        <v>#N/A</v>
      </c>
      <c r="FR126" s="23" t="e">
        <f>EXP(-LN(2)/25)*FR125+(1-EXP(-LN(2)/25))/(LN(2)/25)*Calculateur!FM126*Calculateur!FO126*VLOOKUP('Données projet'!$B$16,Paramètres!$A$1:$I$88,3,0)*0.475*44/12</f>
        <v>#N/A</v>
      </c>
      <c r="FS126" s="23" t="e">
        <f>EXP(-LN(2)/2)*FS125+(1-EXP(-LN(2)/2))/(LN(2)/2)*FM126*FP126*VLOOKUP('Données projet'!$B$16,Paramètres!$A$1:$I$88,3,0)*0.475*44/12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69.041405183516574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projet'!$B$17,Paramètres!$A$1:$I$88,3,0)*0.475*44/12</f>
        <v>#N/A</v>
      </c>
      <c r="GM126" s="23" t="e">
        <f>EXP(-LN(2)/25)*GM125+(1-EXP(-LN(2)/25))/(LN(2)/25)*Calculateur!GH126*Calculateur!GJ126*VLOOKUP('Données projet'!$B$17,Paramètres!$A$1:$I$88,3,0)*0.475*44/12</f>
        <v>#N/A</v>
      </c>
      <c r="GN126" s="23" t="e">
        <f>EXP(-LN(2)/2)*GN125+(1-EXP(-LN(2)/2))/(LN(2)/2)*GH126*GK126*VLOOKUP('Données projet'!$B$17,Paramètres!$A$1:$I$88,3,0)*0.475*44/12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69.041405183516574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projet'!$B$18,Paramètres!$A$1:$I$88,3,0)*0.475*44/12</f>
        <v>#N/A</v>
      </c>
      <c r="HH126" s="23" t="e">
        <f>EXP(-LN(2)/25)*HH125+(1-EXP(-LN(2)/25))/(LN(2)/25)*Calculateur!HC126*Calculateur!HE126*VLOOKUP('Données projet'!$B$18,Paramètres!$A$1:$I$88,3,0)*0.475*44/12</f>
        <v>#N/A</v>
      </c>
      <c r="HI126" s="23" t="e">
        <f>EXP(-LN(2)/2)*HI125+(1-EXP(-LN(2)/2))/(LN(2)/2)*HC126*HF126*VLOOKUP('Données projet'!$B$18,Paramètres!$A$1:$I$88,3,0)*0.475*44/12</f>
        <v>#N/A</v>
      </c>
      <c r="HJ126" s="24" t="e">
        <f t="shared" si="84"/>
        <v>#N/A</v>
      </c>
    </row>
    <row r="127" spans="1:218" s="5" customFormat="1" x14ac:dyDescent="0.2">
      <c r="A127" s="11">
        <f t="shared" si="85"/>
        <v>124</v>
      </c>
      <c r="B127" s="77">
        <f>'Scénario référence'!$B$16*5+'Scénario référence'!$B$17*0+'Scénario référence'!$B$18*5</f>
        <v>1.6500000000000001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6.0500000000000007</v>
      </c>
      <c r="H127" s="70">
        <f t="shared" si="56"/>
        <v>232.4666666666667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69.058034660485603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projet'!$B$9,Paramètres!$A$1:$I$88,3,0)*VLOOKUP('Données projet'!$B$9,Paramètres!$A$1:$I$88,5,0)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289.87946042178254</v>
      </c>
      <c r="S127" s="62">
        <f ca="1">AVERAGE(OFFSET($R$3,0,0,'Données projet'!$E$9+1,1))-AVERAGE(OFFSET($H$3,0,0,'Données projet'!$E$9+1,1))</f>
        <v>354.71367224254021</v>
      </c>
      <c r="T127" s="62">
        <f t="shared" si="88"/>
        <v>490.074370133397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48.775335442401648</v>
      </c>
      <c r="AA127" s="23">
        <f>EXP(-LN(2)/25)*AA126+(1-EXP(-LN(2)/25))/(LN(2)/25)*Calculateur!V127*Calculateur!X127*VLOOKUP('Données projet'!$B$9,Paramètres!$A$1:$I$88,3,0)*0.475*44/12</f>
        <v>6.2822797520297717</v>
      </c>
      <c r="AB127" s="23">
        <f>EXP(-LN(2)/2)*AB126+(1-EXP(-LN(2)/2))/(LN(2)/2)*V127*Y127*VLOOKUP('Données projet'!$B$9,Paramètres!$A$1:$I$88,3,0)*0.475*44/12</f>
        <v>1.3252989037750071E-10</v>
      </c>
      <c r="AC127" s="24">
        <f t="shared" si="57"/>
        <v>55.057615194563951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69.058034660485603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2.2737367544323206E-13</v>
      </c>
      <c r="AJ127" s="14">
        <f>AI127*VLOOKUP('Données projet'!$B$10,Paramètres!$A$1:$I$88,3,0)*VLOOKUP('Données projet'!$B$10,Paramètres!$A$1:$I$88,5,0)</f>
        <v>1.3596945791505279E-13</v>
      </c>
      <c r="AK127" s="14">
        <f t="shared" si="89"/>
        <v>1.9708830566360721E-12</v>
      </c>
      <c r="AL127" s="22">
        <f t="shared" si="58"/>
        <v>3.669434796176543E-12</v>
      </c>
      <c r="AM127" s="62">
        <f t="shared" si="59"/>
        <v>289.87946042178424</v>
      </c>
      <c r="AN127" s="62">
        <f ca="1">AVERAGE(OFFSET($AM$3,0,0,'Données projet'!$E$10+1,1))-AVERAGE(OFFSET($H$3,0,0,'Données projet'!$E$10+1,1))</f>
        <v>264.73276096087574</v>
      </c>
      <c r="AO127" s="62">
        <f t="shared" si="90"/>
        <v>381.84464918049662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projet'!$B$10,Paramètres!$A$1:$I$88,3,0)*0.475*44/12</f>
        <v>34.206452678760833</v>
      </c>
      <c r="AV127" s="23">
        <f>EXP(-LN(2)/25)*AV126+(1-EXP(-LN(2)/25))/(LN(2)/25)*Calculateur!AQ127*Calculateur!AS127*VLOOKUP('Données projet'!$B$10,Paramètres!$A$1:$I$88,3,0)*0.475*44/12</f>
        <v>4.4135035926615078</v>
      </c>
      <c r="AW127" s="23">
        <f>EXP(-LN(2)/2)*AW126+(1-EXP(-LN(2)/2))/(LN(2)/2)*AQ127*AT127*VLOOKUP('Données projet'!$B$10,Paramètres!$A$1:$I$88,3,0)*0.475*44/12</f>
        <v>9.2798527372725143E-11</v>
      </c>
      <c r="AX127" s="23">
        <f t="shared" si="60"/>
        <v>38.619956271515136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69.058034660485603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-2.8421709430404007E-13</v>
      </c>
      <c r="BE127" s="14">
        <f>BD127*VLOOKUP('Données projet'!$B$11,Paramètres!$A$1:$I$88,3,0)*VLOOKUP('Données projet'!$B$11,Paramètres!$A$1:$I$88,5,0)</f>
        <v>-3.2366642699344083E-13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470.57532875732056</v>
      </c>
      <c r="BJ127" s="62">
        <f t="shared" si="92"/>
        <v>286.63787681165888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projet'!$B$11,Paramètres!$A$1:$I$88,3,0)*0.475*44/12</f>
        <v>150.04665783356177</v>
      </c>
      <c r="BQ127" s="23">
        <f>EXP(-LN(2)/25)*BQ126+(1-EXP(-LN(2)/25))/(LN(2)/25)*Calculateur!BL127*Calculateur!BN127*VLOOKUP('Données projet'!$B$11,Paramètres!$A$1:$I$88,3,0)*0.475*44/12</f>
        <v>0</v>
      </c>
      <c r="BR127" s="23">
        <f>EXP(-LN(2)/2)*BR126+(1-EXP(-LN(2)/2))/(LN(2)/2)*BL127*BO127*VLOOKUP('Données projet'!$B$11,Paramètres!$A$1:$I$88,3,0)*0.475*44/12</f>
        <v>0</v>
      </c>
      <c r="BS127" s="24">
        <f t="shared" si="63"/>
        <v>150.04665783356177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69.058034660485603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-2.2737367544323206E-13</v>
      </c>
      <c r="BZ127" s="14">
        <f>BY127*VLOOKUP('Données projet'!$B$12,Paramètres!$A$1:$I$88,3,0)*VLOOKUP('Données projet'!$B$12,Paramètres!$A$1:$I$88,5,0)</f>
        <v>-1.4897523215040565E-13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305.38855494899906</v>
      </c>
      <c r="CE127" s="62">
        <f t="shared" si="94"/>
        <v>298.48106301229177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projet'!$B$12,Paramètres!$A$1:$I$88,3,0)*0.475*44/12</f>
        <v>35.473357483504707</v>
      </c>
      <c r="CL127" s="23">
        <f>EXP(-LN(2)/25)*CL126+(1-EXP(-LN(2)/25))/(LN(2)/25)*Calculateur!CG127*Calculateur!CI127*VLOOKUP('Données projet'!$B$12,Paramètres!$A$1:$I$88,3,0)*0.475*44/12</f>
        <v>0</v>
      </c>
      <c r="CM127" s="23">
        <f>EXP(-LN(2)/2)*CM126+(1-EXP(-LN(2)/2))/(LN(2)/2)*CG127*CJ127*VLOOKUP('Données projet'!$B$12,Paramètres!$A$1:$I$88,3,0)*0.475*44/12</f>
        <v>0</v>
      </c>
      <c r="CN127" s="24">
        <f t="shared" si="66"/>
        <v>35.473357483504707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69.058034660485603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-2.2737367544323206E-13</v>
      </c>
      <c r="CU127" s="18">
        <f>CT127*VLOOKUP('Données projet'!$B$13,Paramètres!$A$1:$I$88,3,0)*VLOOKUP('Données projet'!$B$13,Paramètres!$A$1:$I$88,5,0)</f>
        <v>-1.8089849618263545E-13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361.30066984973894</v>
      </c>
      <c r="CZ127" s="62">
        <f t="shared" si="96"/>
        <v>351.78053157121622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projet'!$B$13,Paramètres!$A$1:$I$88,3,0)*0.475*44/12</f>
        <v>53.092184539265318</v>
      </c>
      <c r="DG127" s="23">
        <f>EXP(-LN(2)/25)*DG126+(1-EXP(-LN(2)/25))/(LN(2)/25)*Calculateur!DB127*Calculateur!DD127*VLOOKUP('Données projet'!$B$13,Paramètres!$A$1:$I$88,3,0)*0.475*44/12</f>
        <v>0</v>
      </c>
      <c r="DH127" s="23">
        <f>EXP(-LN(2)/2)*DH126+(1-EXP(-LN(2)/2))/(LN(2)/2)*DB127*DE127*VLOOKUP('Données projet'!$B$13,Paramètres!$A$1:$I$88,3,0)*0.475*44/12</f>
        <v>0</v>
      </c>
      <c r="DI127" s="24">
        <f t="shared" si="69"/>
        <v>53.092184539265318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69.058034660485603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>
        <f>DO127*VLOOKUP('Données projet'!$B$14,Paramètres!$A$1:$I$88,3,0)*VLOOKUP('Données projet'!$B$14,Paramètres!$A$1:$I$88,5,0)</f>
        <v>0</v>
      </c>
      <c r="DQ127" s="14" t="e">
        <f t="shared" si="97"/>
        <v>#NUM!</v>
      </c>
      <c r="DR127" s="22" t="e">
        <f t="shared" si="70"/>
        <v>#NUM!</v>
      </c>
      <c r="DS127" s="62" t="e">
        <f t="shared" si="71"/>
        <v>#NUM!</v>
      </c>
      <c r="DT127" s="62">
        <f ca="1">AVERAGE(OFFSET($DS$3,0,0,'Données projet'!$E$14+1,1))-AVERAGE(OFFSET($H$3,0,0,'Données projet'!$E$14+1,1))</f>
        <v>91.201152634762423</v>
      </c>
      <c r="DU127" s="62">
        <f t="shared" si="98"/>
        <v>233.36981992862445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projet'!$B$14,Paramètres!$A$1:$I$88,3,0)*0.475*44/12</f>
        <v>6.4434080501982347</v>
      </c>
      <c r="EB127" s="23">
        <f>EXP(-LN(2)/25)*EB126+(1-EXP(-LN(2)/25))/(LN(2)/25)*Calculateur!DW127*Calculateur!DY127*VLOOKUP('Données projet'!$B$14,Paramètres!$A$1:$I$88,3,0)*0.475*44/12</f>
        <v>0</v>
      </c>
      <c r="EC127" s="23">
        <f>EXP(-LN(2)/2)*EC126+(1-EXP(-LN(2)/2))/(LN(2)/2)*DW127*DZ127*VLOOKUP('Données projet'!$B$14,Paramètres!$A$1:$I$88,3,0)*0.475*44/12</f>
        <v>0</v>
      </c>
      <c r="ED127" s="24">
        <f t="shared" si="72"/>
        <v>6.4434080501982347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69.058034660485603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projet'!$B$15,Paramètres!$A$1:$I$88,3,0)*0.475*44/12</f>
        <v>#N/A</v>
      </c>
      <c r="EW127" s="23" t="e">
        <f>EXP(-LN(2)/25)*EW126+(1-EXP(-LN(2)/25))/(LN(2)/25)*Calculateur!ER127*Calculateur!ET127*VLOOKUP('Données projet'!$B$15,Paramètres!$A$1:$I$88,3,0)*0.475*44/12</f>
        <v>#N/A</v>
      </c>
      <c r="EX127" s="23" t="e">
        <f>EXP(-LN(2)/2)*EX126+(1-EXP(-LN(2)/2))/(LN(2)/2)*ER127*EU127*VLOOKUP('Données projet'!$B$15,Paramètres!$A$1:$I$88,3,0)*0.475*44/12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69.058034660485603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projet'!$B$16,Paramètres!$A$1:$I$88,3,0)*0.475*44/12</f>
        <v>#N/A</v>
      </c>
      <c r="FR127" s="23" t="e">
        <f>EXP(-LN(2)/25)*FR126+(1-EXP(-LN(2)/25))/(LN(2)/25)*Calculateur!FM127*Calculateur!FO127*VLOOKUP('Données projet'!$B$16,Paramètres!$A$1:$I$88,3,0)*0.475*44/12</f>
        <v>#N/A</v>
      </c>
      <c r="FS127" s="23" t="e">
        <f>EXP(-LN(2)/2)*FS126+(1-EXP(-LN(2)/2))/(LN(2)/2)*FM127*FP127*VLOOKUP('Données projet'!$B$16,Paramètres!$A$1:$I$88,3,0)*0.475*44/12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69.058034660485603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projet'!$B$17,Paramètres!$A$1:$I$88,3,0)*0.475*44/12</f>
        <v>#N/A</v>
      </c>
      <c r="GM127" s="23" t="e">
        <f>EXP(-LN(2)/25)*GM126+(1-EXP(-LN(2)/25))/(LN(2)/25)*Calculateur!GH127*Calculateur!GJ127*VLOOKUP('Données projet'!$B$17,Paramètres!$A$1:$I$88,3,0)*0.475*44/12</f>
        <v>#N/A</v>
      </c>
      <c r="GN127" s="23" t="e">
        <f>EXP(-LN(2)/2)*GN126+(1-EXP(-LN(2)/2))/(LN(2)/2)*GH127*GK127*VLOOKUP('Données projet'!$B$17,Paramètres!$A$1:$I$88,3,0)*0.475*44/12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69.058034660485603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projet'!$B$18,Paramètres!$A$1:$I$88,3,0)*0.475*44/12</f>
        <v>#N/A</v>
      </c>
      <c r="HH127" s="23" t="e">
        <f>EXP(-LN(2)/25)*HH126+(1-EXP(-LN(2)/25))/(LN(2)/25)*Calculateur!HC127*Calculateur!HE127*VLOOKUP('Données projet'!$B$18,Paramètres!$A$1:$I$88,3,0)*0.475*44/12</f>
        <v>#N/A</v>
      </c>
      <c r="HI127" s="23" t="e">
        <f>EXP(-LN(2)/2)*HI126+(1-EXP(-LN(2)/2))/(LN(2)/2)*HC127*HF127*VLOOKUP('Données projet'!$B$18,Paramètres!$A$1:$I$88,3,0)*0.475*44/12</f>
        <v>#N/A</v>
      </c>
      <c r="HJ127" s="24" t="e">
        <f t="shared" si="84"/>
        <v>#N/A</v>
      </c>
    </row>
    <row r="128" spans="1:218" s="5" customFormat="1" x14ac:dyDescent="0.2">
      <c r="A128" s="11">
        <f t="shared" si="85"/>
        <v>125</v>
      </c>
      <c r="B128" s="77">
        <f>'Scénario référence'!$B$16*5+'Scénario référence'!$B$17*0+'Scénario référence'!$B$18*5</f>
        <v>1.6500000000000001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6.0500000000000007</v>
      </c>
      <c r="H128" s="70">
        <f t="shared" si="56"/>
        <v>232.4666666666667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69.07437565320717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projet'!$B$9,Paramètres!$A$1:$I$88,3,0)*VLOOKUP('Données projet'!$B$9,Paramètres!$A$1:$I$88,5,0)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289.93937739509494</v>
      </c>
      <c r="S128" s="62">
        <f ca="1">AVERAGE(OFFSET($R$3,0,0,'Données projet'!$E$9+1,1))-AVERAGE(OFFSET($H$3,0,0,'Données projet'!$E$9+1,1))</f>
        <v>354.71367224254021</v>
      </c>
      <c r="T128" s="62">
        <f t="shared" si="88"/>
        <v>490.074370133397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47.818880864393201</v>
      </c>
      <c r="AA128" s="23">
        <f>EXP(-LN(2)/25)*AA127+(1-EXP(-LN(2)/25))/(LN(2)/25)*Calculateur!V128*Calculateur!X128*VLOOKUP('Données projet'!$B$9,Paramètres!$A$1:$I$88,3,0)*0.475*44/12</f>
        <v>6.1104904818397836</v>
      </c>
      <c r="AB128" s="23">
        <f>EXP(-LN(2)/2)*AB127+(1-EXP(-LN(2)/2))/(LN(2)/2)*V128*Y128*VLOOKUP('Données projet'!$B$9,Paramètres!$A$1:$I$88,3,0)*0.475*44/12</f>
        <v>9.3712784195840526E-11</v>
      </c>
      <c r="AC128" s="24">
        <f t="shared" si="57"/>
        <v>53.929371346326697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69.07437565320717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2.2737367544323206E-13</v>
      </c>
      <c r="AJ128" s="14">
        <f>AI128*VLOOKUP('Données projet'!$B$10,Paramètres!$A$1:$I$88,3,0)*VLOOKUP('Données projet'!$B$10,Paramètres!$A$1:$I$88,5,0)</f>
        <v>1.3596945791505279E-13</v>
      </c>
      <c r="AK128" s="14">
        <f t="shared" si="89"/>
        <v>1.9708830566360721E-12</v>
      </c>
      <c r="AL128" s="22">
        <f t="shared" si="58"/>
        <v>3.669434796176543E-12</v>
      </c>
      <c r="AM128" s="62">
        <f t="shared" si="59"/>
        <v>289.93937739509664</v>
      </c>
      <c r="AN128" s="62">
        <f ca="1">AVERAGE(OFFSET($AM$3,0,0,'Données projet'!$E$10+1,1))-AVERAGE(OFFSET($H$3,0,0,'Données projet'!$E$10+1,1))</f>
        <v>264.73276096087574</v>
      </c>
      <c r="AO128" s="62">
        <f t="shared" si="90"/>
        <v>381.84464918049662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projet'!$B$10,Paramètres!$A$1:$I$88,3,0)*0.475*44/12</f>
        <v>33.535685005606332</v>
      </c>
      <c r="AV128" s="23">
        <f>EXP(-LN(2)/25)*AV127+(1-EXP(-LN(2)/25))/(LN(2)/25)*Calculateur!AQ128*Calculateur!AS128*VLOOKUP('Données projet'!$B$10,Paramètres!$A$1:$I$88,3,0)*0.475*44/12</f>
        <v>4.2928161048241122</v>
      </c>
      <c r="AW128" s="23">
        <f>EXP(-LN(2)/2)*AW127+(1-EXP(-LN(2)/2))/(LN(2)/2)*AQ128*AT128*VLOOKUP('Données projet'!$B$10,Paramètres!$A$1:$I$88,3,0)*0.475*44/12</f>
        <v>6.5618467989379398E-11</v>
      </c>
      <c r="AX128" s="23">
        <f t="shared" si="60"/>
        <v>37.828501110496063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69.07437565320717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-2.8421709430404007E-13</v>
      </c>
      <c r="BE128" s="14">
        <f>BD128*VLOOKUP('Données projet'!$B$11,Paramètres!$A$1:$I$88,3,0)*VLOOKUP('Données projet'!$B$11,Paramètres!$A$1:$I$88,5,0)</f>
        <v>-3.2366642699344083E-13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470.57532875732056</v>
      </c>
      <c r="BJ128" s="62">
        <f t="shared" si="92"/>
        <v>286.63787681165888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projet'!$B$11,Paramètres!$A$1:$I$88,3,0)*0.475*44/12</f>
        <v>147.1043343928701</v>
      </c>
      <c r="BQ128" s="23">
        <f>EXP(-LN(2)/25)*BQ127+(1-EXP(-LN(2)/25))/(LN(2)/25)*Calculateur!BL128*Calculateur!BN128*VLOOKUP('Données projet'!$B$11,Paramètres!$A$1:$I$88,3,0)*0.475*44/12</f>
        <v>0</v>
      </c>
      <c r="BR128" s="23">
        <f>EXP(-LN(2)/2)*BR127+(1-EXP(-LN(2)/2))/(LN(2)/2)*BL128*BO128*VLOOKUP('Données projet'!$B$11,Paramètres!$A$1:$I$88,3,0)*0.475*44/12</f>
        <v>0</v>
      </c>
      <c r="BS128" s="24">
        <f t="shared" si="63"/>
        <v>147.1043343928701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69.07437565320717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-2.2737367544323206E-13</v>
      </c>
      <c r="BZ128" s="14">
        <f>BY128*VLOOKUP('Données projet'!$B$12,Paramètres!$A$1:$I$88,3,0)*VLOOKUP('Données projet'!$B$12,Paramètres!$A$1:$I$88,5,0)</f>
        <v>-1.4897523215040565E-13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305.38855494899906</v>
      </c>
      <c r="CE128" s="62">
        <f t="shared" si="94"/>
        <v>298.48106301229177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projet'!$B$12,Paramètres!$A$1:$I$88,3,0)*0.475*44/12</f>
        <v>34.777746579864804</v>
      </c>
      <c r="CL128" s="23">
        <f>EXP(-LN(2)/25)*CL127+(1-EXP(-LN(2)/25))/(LN(2)/25)*Calculateur!CG128*Calculateur!CI128*VLOOKUP('Données projet'!$B$12,Paramètres!$A$1:$I$88,3,0)*0.475*44/12</f>
        <v>0</v>
      </c>
      <c r="CM128" s="23">
        <f>EXP(-LN(2)/2)*CM127+(1-EXP(-LN(2)/2))/(LN(2)/2)*CG128*CJ128*VLOOKUP('Données projet'!$B$12,Paramètres!$A$1:$I$88,3,0)*0.475*44/12</f>
        <v>0</v>
      </c>
      <c r="CN128" s="24">
        <f t="shared" si="66"/>
        <v>34.777746579864804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69.07437565320717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-2.2737367544323206E-13</v>
      </c>
      <c r="CU128" s="18">
        <f>CT128*VLOOKUP('Données projet'!$B$13,Paramètres!$A$1:$I$88,3,0)*VLOOKUP('Données projet'!$B$13,Paramètres!$A$1:$I$88,5,0)</f>
        <v>-1.8089849618263545E-13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361.30066984973894</v>
      </c>
      <c r="CZ128" s="62">
        <f t="shared" si="96"/>
        <v>351.78053157121622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projet'!$B$13,Paramètres!$A$1:$I$88,3,0)*0.475*44/12</f>
        <v>52.051079183485335</v>
      </c>
      <c r="DG128" s="23">
        <f>EXP(-LN(2)/25)*DG127+(1-EXP(-LN(2)/25))/(LN(2)/25)*Calculateur!DB128*Calculateur!DD128*VLOOKUP('Données projet'!$B$13,Paramètres!$A$1:$I$88,3,0)*0.475*44/12</f>
        <v>0</v>
      </c>
      <c r="DH128" s="23">
        <f>EXP(-LN(2)/2)*DH127+(1-EXP(-LN(2)/2))/(LN(2)/2)*DB128*DE128*VLOOKUP('Données projet'!$B$13,Paramètres!$A$1:$I$88,3,0)*0.475*44/12</f>
        <v>0</v>
      </c>
      <c r="DI128" s="24">
        <f t="shared" si="69"/>
        <v>52.051079183485335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69.07437565320717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>
        <f>DO128*VLOOKUP('Données projet'!$B$14,Paramètres!$A$1:$I$88,3,0)*VLOOKUP('Données projet'!$B$14,Paramètres!$A$1:$I$88,5,0)</f>
        <v>0</v>
      </c>
      <c r="DQ128" s="14" t="e">
        <f t="shared" si="97"/>
        <v>#NUM!</v>
      </c>
      <c r="DR128" s="22" t="e">
        <f t="shared" si="70"/>
        <v>#NUM!</v>
      </c>
      <c r="DS128" s="62" t="e">
        <f t="shared" si="71"/>
        <v>#NUM!</v>
      </c>
      <c r="DT128" s="62">
        <f ca="1">AVERAGE(OFFSET($DS$3,0,0,'Données projet'!$E$14+1,1))-AVERAGE(OFFSET($H$3,0,0,'Données projet'!$E$14+1,1))</f>
        <v>91.201152634762423</v>
      </c>
      <c r="DU128" s="62">
        <f t="shared" si="98"/>
        <v>233.36981992862445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projet'!$B$14,Paramètres!$A$1:$I$88,3,0)*0.475*44/12</f>
        <v>6.3170567484246938</v>
      </c>
      <c r="EB128" s="23">
        <f>EXP(-LN(2)/25)*EB127+(1-EXP(-LN(2)/25))/(LN(2)/25)*Calculateur!DW128*Calculateur!DY128*VLOOKUP('Données projet'!$B$14,Paramètres!$A$1:$I$88,3,0)*0.475*44/12</f>
        <v>0</v>
      </c>
      <c r="EC128" s="23">
        <f>EXP(-LN(2)/2)*EC127+(1-EXP(-LN(2)/2))/(LN(2)/2)*DW128*DZ128*VLOOKUP('Données projet'!$B$14,Paramètres!$A$1:$I$88,3,0)*0.475*44/12</f>
        <v>0</v>
      </c>
      <c r="ED128" s="24">
        <f t="shared" si="72"/>
        <v>6.3170567484246938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69.07437565320717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projet'!$B$15,Paramètres!$A$1:$I$88,3,0)*0.475*44/12</f>
        <v>#N/A</v>
      </c>
      <c r="EW128" s="23" t="e">
        <f>EXP(-LN(2)/25)*EW127+(1-EXP(-LN(2)/25))/(LN(2)/25)*Calculateur!ER128*Calculateur!ET128*VLOOKUP('Données projet'!$B$15,Paramètres!$A$1:$I$88,3,0)*0.475*44/12</f>
        <v>#N/A</v>
      </c>
      <c r="EX128" s="23" t="e">
        <f>EXP(-LN(2)/2)*EX127+(1-EXP(-LN(2)/2))/(LN(2)/2)*ER128*EU128*VLOOKUP('Données projet'!$B$15,Paramètres!$A$1:$I$88,3,0)*0.475*44/12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69.07437565320717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projet'!$B$16,Paramètres!$A$1:$I$88,3,0)*0.475*44/12</f>
        <v>#N/A</v>
      </c>
      <c r="FR128" s="23" t="e">
        <f>EXP(-LN(2)/25)*FR127+(1-EXP(-LN(2)/25))/(LN(2)/25)*Calculateur!FM128*Calculateur!FO128*VLOOKUP('Données projet'!$B$16,Paramètres!$A$1:$I$88,3,0)*0.475*44/12</f>
        <v>#N/A</v>
      </c>
      <c r="FS128" s="23" t="e">
        <f>EXP(-LN(2)/2)*FS127+(1-EXP(-LN(2)/2))/(LN(2)/2)*FM128*FP128*VLOOKUP('Données projet'!$B$16,Paramètres!$A$1:$I$88,3,0)*0.475*44/12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69.07437565320717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projet'!$B$17,Paramètres!$A$1:$I$88,3,0)*0.475*44/12</f>
        <v>#N/A</v>
      </c>
      <c r="GM128" s="23" t="e">
        <f>EXP(-LN(2)/25)*GM127+(1-EXP(-LN(2)/25))/(LN(2)/25)*Calculateur!GH128*Calculateur!GJ128*VLOOKUP('Données projet'!$B$17,Paramètres!$A$1:$I$88,3,0)*0.475*44/12</f>
        <v>#N/A</v>
      </c>
      <c r="GN128" s="23" t="e">
        <f>EXP(-LN(2)/2)*GN127+(1-EXP(-LN(2)/2))/(LN(2)/2)*GH128*GK128*VLOOKUP('Données projet'!$B$17,Paramètres!$A$1:$I$88,3,0)*0.475*44/12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69.07437565320717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projet'!$B$18,Paramètres!$A$1:$I$88,3,0)*0.475*44/12</f>
        <v>#N/A</v>
      </c>
      <c r="HH128" s="23" t="e">
        <f>EXP(-LN(2)/25)*HH127+(1-EXP(-LN(2)/25))/(LN(2)/25)*Calculateur!HC128*Calculateur!HE128*VLOOKUP('Données projet'!$B$18,Paramètres!$A$1:$I$88,3,0)*0.475*44/12</f>
        <v>#N/A</v>
      </c>
      <c r="HI128" s="23" t="e">
        <f>EXP(-LN(2)/2)*HI127+(1-EXP(-LN(2)/2))/(LN(2)/2)*HC128*HF128*VLOOKUP('Données projet'!$B$18,Paramètres!$A$1:$I$88,3,0)*0.475*44/12</f>
        <v>#N/A</v>
      </c>
      <c r="HJ128" s="24" t="e">
        <f t="shared" si="84"/>
        <v>#N/A</v>
      </c>
    </row>
    <row r="129" spans="1:218" s="5" customFormat="1" x14ac:dyDescent="0.2">
      <c r="A129" s="11">
        <f t="shared" si="85"/>
        <v>126</v>
      </c>
      <c r="B129" s="77">
        <f>'Scénario référence'!$B$16*5+'Scénario référence'!$B$17*0+'Scénario référence'!$B$18*5</f>
        <v>1.6500000000000001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6.0500000000000007</v>
      </c>
      <c r="H129" s="70">
        <f t="shared" si="56"/>
        <v>232.4666666666667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69.090433166238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projet'!$B$9,Paramètres!$A$1:$I$88,3,0)*VLOOKUP('Données projet'!$B$9,Paramètres!$A$1:$I$88,5,0)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289.99825494287467</v>
      </c>
      <c r="S129" s="62">
        <f ca="1">AVERAGE(OFFSET($R$3,0,0,'Données projet'!$E$9+1,1))-AVERAGE(OFFSET($H$3,0,0,'Données projet'!$E$9+1,1))</f>
        <v>354.71367224254021</v>
      </c>
      <c r="T129" s="62">
        <f t="shared" si="88"/>
        <v>490.074370133397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46.881181777279814</v>
      </c>
      <c r="AA129" s="23">
        <f>EXP(-LN(2)/25)*AA128+(1-EXP(-LN(2)/25))/(LN(2)/25)*Calculateur!V129*Calculateur!X129*VLOOKUP('Données projet'!$B$9,Paramètres!$A$1:$I$88,3,0)*0.475*44/12</f>
        <v>5.9433987982771459</v>
      </c>
      <c r="AB129" s="23">
        <f>EXP(-LN(2)/2)*AB128+(1-EXP(-LN(2)/2))/(LN(2)/2)*V129*Y129*VLOOKUP('Données projet'!$B$9,Paramètres!$A$1:$I$88,3,0)*0.475*44/12</f>
        <v>6.6264945188750354E-11</v>
      </c>
      <c r="AC129" s="24">
        <f t="shared" si="57"/>
        <v>52.824580575623223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69.090433166238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2.2737367544323206E-13</v>
      </c>
      <c r="AJ129" s="14">
        <f>AI129*VLOOKUP('Données projet'!$B$10,Paramètres!$A$1:$I$88,3,0)*VLOOKUP('Données projet'!$B$10,Paramètres!$A$1:$I$88,5,0)</f>
        <v>1.3596945791505279E-13</v>
      </c>
      <c r="AK129" s="14">
        <f t="shared" si="89"/>
        <v>1.9708830566360721E-12</v>
      </c>
      <c r="AL129" s="22">
        <f t="shared" si="58"/>
        <v>3.669434796176543E-12</v>
      </c>
      <c r="AM129" s="62">
        <f t="shared" si="59"/>
        <v>289.99825494287637</v>
      </c>
      <c r="AN129" s="62">
        <f ca="1">AVERAGE(OFFSET($AM$3,0,0,'Données projet'!$E$10+1,1))-AVERAGE(OFFSET($H$3,0,0,'Données projet'!$E$10+1,1))</f>
        <v>264.73276096087574</v>
      </c>
      <c r="AO129" s="62">
        <f t="shared" si="90"/>
        <v>381.84464918049662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projet'!$B$10,Paramètres!$A$1:$I$88,3,0)*0.475*44/12</f>
        <v>32.878070677394504</v>
      </c>
      <c r="AV129" s="23">
        <f>EXP(-LN(2)/25)*AV128+(1-EXP(-LN(2)/25))/(LN(2)/25)*Calculateur!AQ129*Calculateur!AS129*VLOOKUP('Données projet'!$B$10,Paramètres!$A$1:$I$88,3,0)*0.475*44/12</f>
        <v>4.1754288226883096</v>
      </c>
      <c r="AW129" s="23">
        <f>EXP(-LN(2)/2)*AW128+(1-EXP(-LN(2)/2))/(LN(2)/2)*AQ129*AT129*VLOOKUP('Données projet'!$B$10,Paramètres!$A$1:$I$88,3,0)*0.475*44/12</f>
        <v>4.6399263686362571E-11</v>
      </c>
      <c r="AX129" s="23">
        <f t="shared" si="60"/>
        <v>37.053499500129213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69.090433166238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-2.8421709430404007E-13</v>
      </c>
      <c r="BE129" s="14">
        <f>BD129*VLOOKUP('Données projet'!$B$11,Paramètres!$A$1:$I$88,3,0)*VLOOKUP('Données projet'!$B$11,Paramètres!$A$1:$I$88,5,0)</f>
        <v>-3.2366642699344083E-13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470.57532875732056</v>
      </c>
      <c r="BJ129" s="62">
        <f t="shared" si="92"/>
        <v>286.63787681165888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projet'!$B$11,Paramètres!$A$1:$I$88,3,0)*0.475*44/12</f>
        <v>144.2197081202103</v>
      </c>
      <c r="BQ129" s="23">
        <f>EXP(-LN(2)/25)*BQ128+(1-EXP(-LN(2)/25))/(LN(2)/25)*Calculateur!BL129*Calculateur!BN129*VLOOKUP('Données projet'!$B$11,Paramètres!$A$1:$I$88,3,0)*0.475*44/12</f>
        <v>0</v>
      </c>
      <c r="BR129" s="23">
        <f>EXP(-LN(2)/2)*BR128+(1-EXP(-LN(2)/2))/(LN(2)/2)*BL129*BO129*VLOOKUP('Données projet'!$B$11,Paramètres!$A$1:$I$88,3,0)*0.475*44/12</f>
        <v>0</v>
      </c>
      <c r="BS129" s="24">
        <f t="shared" si="63"/>
        <v>144.2197081202103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69.090433166238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-2.2737367544323206E-13</v>
      </c>
      <c r="BZ129" s="14">
        <f>BY129*VLOOKUP('Données projet'!$B$12,Paramètres!$A$1:$I$88,3,0)*VLOOKUP('Données projet'!$B$12,Paramètres!$A$1:$I$88,5,0)</f>
        <v>-1.4897523215040565E-13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305.38855494899906</v>
      </c>
      <c r="CE129" s="62">
        <f t="shared" si="94"/>
        <v>298.48106301229177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projet'!$B$12,Paramètres!$A$1:$I$88,3,0)*0.475*44/12</f>
        <v>34.095776181764528</v>
      </c>
      <c r="CL129" s="23">
        <f>EXP(-LN(2)/25)*CL128+(1-EXP(-LN(2)/25))/(LN(2)/25)*Calculateur!CG129*Calculateur!CI129*VLOOKUP('Données projet'!$B$12,Paramètres!$A$1:$I$88,3,0)*0.475*44/12</f>
        <v>0</v>
      </c>
      <c r="CM129" s="23">
        <f>EXP(-LN(2)/2)*CM128+(1-EXP(-LN(2)/2))/(LN(2)/2)*CG129*CJ129*VLOOKUP('Données projet'!$B$12,Paramètres!$A$1:$I$88,3,0)*0.475*44/12</f>
        <v>0</v>
      </c>
      <c r="CN129" s="24">
        <f t="shared" si="66"/>
        <v>34.095776181764528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69.090433166238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-2.2737367544323206E-13</v>
      </c>
      <c r="CU129" s="18">
        <f>CT129*VLOOKUP('Données projet'!$B$13,Paramètres!$A$1:$I$88,3,0)*VLOOKUP('Données projet'!$B$13,Paramètres!$A$1:$I$88,5,0)</f>
        <v>-1.8089849618263545E-13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361.30066984973894</v>
      </c>
      <c r="CZ129" s="62">
        <f t="shared" si="96"/>
        <v>351.78053157121622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projet'!$B$13,Paramètres!$A$1:$I$88,3,0)*0.475*44/12</f>
        <v>51.030389268720633</v>
      </c>
      <c r="DG129" s="23">
        <f>EXP(-LN(2)/25)*DG128+(1-EXP(-LN(2)/25))/(LN(2)/25)*Calculateur!DB129*Calculateur!DD129*VLOOKUP('Données projet'!$B$13,Paramètres!$A$1:$I$88,3,0)*0.475*44/12</f>
        <v>0</v>
      </c>
      <c r="DH129" s="23">
        <f>EXP(-LN(2)/2)*DH128+(1-EXP(-LN(2)/2))/(LN(2)/2)*DB129*DE129*VLOOKUP('Données projet'!$B$13,Paramètres!$A$1:$I$88,3,0)*0.475*44/12</f>
        <v>0</v>
      </c>
      <c r="DI129" s="24">
        <f t="shared" si="69"/>
        <v>51.030389268720633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69.090433166238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>
        <f>DO129*VLOOKUP('Données projet'!$B$14,Paramètres!$A$1:$I$88,3,0)*VLOOKUP('Données projet'!$B$14,Paramètres!$A$1:$I$88,5,0)</f>
        <v>0</v>
      </c>
      <c r="DQ129" s="14" t="e">
        <f t="shared" si="97"/>
        <v>#NUM!</v>
      </c>
      <c r="DR129" s="22" t="e">
        <f t="shared" si="70"/>
        <v>#NUM!</v>
      </c>
      <c r="DS129" s="62" t="e">
        <f t="shared" si="71"/>
        <v>#NUM!</v>
      </c>
      <c r="DT129" s="62">
        <f ca="1">AVERAGE(OFFSET($DS$3,0,0,'Données projet'!$E$14+1,1))-AVERAGE(OFFSET($H$3,0,0,'Données projet'!$E$14+1,1))</f>
        <v>91.201152634762423</v>
      </c>
      <c r="DU129" s="62">
        <f t="shared" si="98"/>
        <v>233.36981992862445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projet'!$B$14,Paramètres!$A$1:$I$88,3,0)*0.475*44/12</f>
        <v>6.1931831186122475</v>
      </c>
      <c r="EB129" s="23">
        <f>EXP(-LN(2)/25)*EB128+(1-EXP(-LN(2)/25))/(LN(2)/25)*Calculateur!DW129*Calculateur!DY129*VLOOKUP('Données projet'!$B$14,Paramètres!$A$1:$I$88,3,0)*0.475*44/12</f>
        <v>0</v>
      </c>
      <c r="EC129" s="23">
        <f>EXP(-LN(2)/2)*EC128+(1-EXP(-LN(2)/2))/(LN(2)/2)*DW129*DZ129*VLOOKUP('Données projet'!$B$14,Paramètres!$A$1:$I$88,3,0)*0.475*44/12</f>
        <v>0</v>
      </c>
      <c r="ED129" s="24">
        <f t="shared" si="72"/>
        <v>6.1931831186122475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69.090433166238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projet'!$B$15,Paramètres!$A$1:$I$88,3,0)*0.475*44/12</f>
        <v>#N/A</v>
      </c>
      <c r="EW129" s="23" t="e">
        <f>EXP(-LN(2)/25)*EW128+(1-EXP(-LN(2)/25))/(LN(2)/25)*Calculateur!ER129*Calculateur!ET129*VLOOKUP('Données projet'!$B$15,Paramètres!$A$1:$I$88,3,0)*0.475*44/12</f>
        <v>#N/A</v>
      </c>
      <c r="EX129" s="23" t="e">
        <f>EXP(-LN(2)/2)*EX128+(1-EXP(-LN(2)/2))/(LN(2)/2)*ER129*EU129*VLOOKUP('Données projet'!$B$15,Paramètres!$A$1:$I$88,3,0)*0.475*44/12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69.090433166238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projet'!$B$16,Paramètres!$A$1:$I$88,3,0)*0.475*44/12</f>
        <v>#N/A</v>
      </c>
      <c r="FR129" s="23" t="e">
        <f>EXP(-LN(2)/25)*FR128+(1-EXP(-LN(2)/25))/(LN(2)/25)*Calculateur!FM129*Calculateur!FO129*VLOOKUP('Données projet'!$B$16,Paramètres!$A$1:$I$88,3,0)*0.475*44/12</f>
        <v>#N/A</v>
      </c>
      <c r="FS129" s="23" t="e">
        <f>EXP(-LN(2)/2)*FS128+(1-EXP(-LN(2)/2))/(LN(2)/2)*FM129*FP129*VLOOKUP('Données projet'!$B$16,Paramètres!$A$1:$I$88,3,0)*0.475*44/12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69.090433166238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projet'!$B$17,Paramètres!$A$1:$I$88,3,0)*0.475*44/12</f>
        <v>#N/A</v>
      </c>
      <c r="GM129" s="23" t="e">
        <f>EXP(-LN(2)/25)*GM128+(1-EXP(-LN(2)/25))/(LN(2)/25)*Calculateur!GH129*Calculateur!GJ129*VLOOKUP('Données projet'!$B$17,Paramètres!$A$1:$I$88,3,0)*0.475*44/12</f>
        <v>#N/A</v>
      </c>
      <c r="GN129" s="23" t="e">
        <f>EXP(-LN(2)/2)*GN128+(1-EXP(-LN(2)/2))/(LN(2)/2)*GH129*GK129*VLOOKUP('Données projet'!$B$17,Paramètres!$A$1:$I$88,3,0)*0.475*44/12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69.090433166238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projet'!$B$18,Paramètres!$A$1:$I$88,3,0)*0.475*44/12</f>
        <v>#N/A</v>
      </c>
      <c r="HH129" s="23" t="e">
        <f>EXP(-LN(2)/25)*HH128+(1-EXP(-LN(2)/25))/(LN(2)/25)*Calculateur!HC129*Calculateur!HE129*VLOOKUP('Données projet'!$B$18,Paramètres!$A$1:$I$88,3,0)*0.475*44/12</f>
        <v>#N/A</v>
      </c>
      <c r="HI129" s="23" t="e">
        <f>EXP(-LN(2)/2)*HI128+(1-EXP(-LN(2)/2))/(LN(2)/2)*HC129*HF129*VLOOKUP('Données projet'!$B$18,Paramètres!$A$1:$I$88,3,0)*0.475*44/12</f>
        <v>#N/A</v>
      </c>
      <c r="HJ129" s="24" t="e">
        <f t="shared" si="84"/>
        <v>#N/A</v>
      </c>
    </row>
    <row r="130" spans="1:218" s="5" customFormat="1" x14ac:dyDescent="0.2">
      <c r="A130" s="11">
        <f t="shared" si="85"/>
        <v>127</v>
      </c>
      <c r="B130" s="77">
        <f>'Scénario référence'!$B$16*5+'Scénario référence'!$B$17*0+'Scénario référence'!$B$18*5</f>
        <v>1.6500000000000001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6.0500000000000007</v>
      </c>
      <c r="H130" s="70">
        <f t="shared" si="56"/>
        <v>232.4666666666667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69.106212117316971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projet'!$B$9,Paramètres!$A$1:$I$88,3,0)*VLOOKUP('Données projet'!$B$9,Paramètres!$A$1:$I$88,5,0)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290.05611109683088</v>
      </c>
      <c r="S130" s="62">
        <f ca="1">AVERAGE(OFFSET($R$3,0,0,'Données projet'!$E$9+1,1))-AVERAGE(OFFSET($H$3,0,0,'Données projet'!$E$9+1,1))</f>
        <v>354.71367224254021</v>
      </c>
      <c r="T130" s="62">
        <f t="shared" si="88"/>
        <v>490.074370133397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45.961870397324752</v>
      </c>
      <c r="AA130" s="23">
        <f>EXP(-LN(2)/25)*AA129+(1-EXP(-LN(2)/25))/(LN(2)/25)*Calculateur!V130*Calculateur!X130*VLOOKUP('Données projet'!$B$9,Paramètres!$A$1:$I$88,3,0)*0.475*44/12</f>
        <v>5.7808762455884981</v>
      </c>
      <c r="AB130" s="23">
        <f>EXP(-LN(2)/2)*AB129+(1-EXP(-LN(2)/2))/(LN(2)/2)*V130*Y130*VLOOKUP('Données projet'!$B$9,Paramètres!$A$1:$I$88,3,0)*0.475*44/12</f>
        <v>4.6856392097920263E-11</v>
      </c>
      <c r="AC130" s="24">
        <f t="shared" si="57"/>
        <v>51.7427466429601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69.106212117316971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2.2737367544323206E-13</v>
      </c>
      <c r="AJ130" s="14">
        <f>AI130*VLOOKUP('Données projet'!$B$10,Paramètres!$A$1:$I$88,3,0)*VLOOKUP('Données projet'!$B$10,Paramètres!$A$1:$I$88,5,0)</f>
        <v>1.3596945791505279E-13</v>
      </c>
      <c r="AK130" s="14">
        <f t="shared" si="89"/>
        <v>1.9708830566360721E-12</v>
      </c>
      <c r="AL130" s="22">
        <f t="shared" si="58"/>
        <v>3.669434796176543E-12</v>
      </c>
      <c r="AM130" s="62">
        <f t="shared" si="59"/>
        <v>290.05611109683258</v>
      </c>
      <c r="AN130" s="62">
        <f ca="1">AVERAGE(OFFSET($AM$3,0,0,'Données projet'!$E$10+1,1))-AVERAGE(OFFSET($H$3,0,0,'Données projet'!$E$10+1,1))</f>
        <v>264.73276096087574</v>
      </c>
      <c r="AO130" s="62">
        <f t="shared" si="90"/>
        <v>381.84464918049662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projet'!$B$10,Paramètres!$A$1:$I$88,3,0)*0.475*44/12</f>
        <v>32.233351765053776</v>
      </c>
      <c r="AV130" s="23">
        <f>EXP(-LN(2)/25)*AV129+(1-EXP(-LN(2)/25))/(LN(2)/25)*Calculateur!AQ130*Calculateur!AS130*VLOOKUP('Données projet'!$B$10,Paramètres!$A$1:$I$88,3,0)*0.475*44/12</f>
        <v>4.0612515019556392</v>
      </c>
      <c r="AW130" s="23">
        <f>EXP(-LN(2)/2)*AW129+(1-EXP(-LN(2)/2))/(LN(2)/2)*AQ130*AT130*VLOOKUP('Données projet'!$B$10,Paramètres!$A$1:$I$88,3,0)*0.475*44/12</f>
        <v>3.2809233994689699E-11</v>
      </c>
      <c r="AX130" s="23">
        <f t="shared" si="60"/>
        <v>36.29460326704222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69.106212117316971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-2.8421709430404007E-13</v>
      </c>
      <c r="BE130" s="14">
        <f>BD130*VLOOKUP('Données projet'!$B$11,Paramètres!$A$1:$I$88,3,0)*VLOOKUP('Données projet'!$B$11,Paramètres!$A$1:$I$88,5,0)</f>
        <v>-3.2366642699344083E-13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470.57532875732056</v>
      </c>
      <c r="BJ130" s="62">
        <f t="shared" si="92"/>
        <v>286.63787681165888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projet'!$B$11,Paramètres!$A$1:$I$88,3,0)*0.475*44/12</f>
        <v>141.39164760930908</v>
      </c>
      <c r="BQ130" s="23">
        <f>EXP(-LN(2)/25)*BQ129+(1-EXP(-LN(2)/25))/(LN(2)/25)*Calculateur!BL130*Calculateur!BN130*VLOOKUP('Données projet'!$B$11,Paramètres!$A$1:$I$88,3,0)*0.475*44/12</f>
        <v>0</v>
      </c>
      <c r="BR130" s="23">
        <f>EXP(-LN(2)/2)*BR129+(1-EXP(-LN(2)/2))/(LN(2)/2)*BL130*BO130*VLOOKUP('Données projet'!$B$11,Paramètres!$A$1:$I$88,3,0)*0.475*44/12</f>
        <v>0</v>
      </c>
      <c r="BS130" s="24">
        <f t="shared" si="63"/>
        <v>141.39164760930908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69.106212117316971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-2.2737367544323206E-13</v>
      </c>
      <c r="BZ130" s="14">
        <f>BY130*VLOOKUP('Données projet'!$B$12,Paramètres!$A$1:$I$88,3,0)*VLOOKUP('Données projet'!$B$12,Paramètres!$A$1:$I$88,5,0)</f>
        <v>-1.4897523215040565E-13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305.38855494899906</v>
      </c>
      <c r="CE130" s="62">
        <f t="shared" si="94"/>
        <v>298.48106301229177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projet'!$B$12,Paramètres!$A$1:$I$88,3,0)*0.475*44/12</f>
        <v>33.427178807210126</v>
      </c>
      <c r="CL130" s="23">
        <f>EXP(-LN(2)/25)*CL129+(1-EXP(-LN(2)/25))/(LN(2)/25)*Calculateur!CG130*Calculateur!CI130*VLOOKUP('Données projet'!$B$12,Paramètres!$A$1:$I$88,3,0)*0.475*44/12</f>
        <v>0</v>
      </c>
      <c r="CM130" s="23">
        <f>EXP(-LN(2)/2)*CM129+(1-EXP(-LN(2)/2))/(LN(2)/2)*CG130*CJ130*VLOOKUP('Données projet'!$B$12,Paramètres!$A$1:$I$88,3,0)*0.475*44/12</f>
        <v>0</v>
      </c>
      <c r="CN130" s="24">
        <f t="shared" si="66"/>
        <v>33.427178807210126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69.106212117316971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-2.2737367544323206E-13</v>
      </c>
      <c r="CU130" s="18">
        <f>CT130*VLOOKUP('Données projet'!$B$13,Paramètres!$A$1:$I$88,3,0)*VLOOKUP('Données projet'!$B$13,Paramètres!$A$1:$I$88,5,0)</f>
        <v>-1.8089849618263545E-13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361.30066984973894</v>
      </c>
      <c r="CZ130" s="62">
        <f t="shared" si="96"/>
        <v>351.78053157121622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projet'!$B$13,Paramètres!$A$1:$I$88,3,0)*0.475*44/12</f>
        <v>50.029714460625094</v>
      </c>
      <c r="DG130" s="23">
        <f>EXP(-LN(2)/25)*DG129+(1-EXP(-LN(2)/25))/(LN(2)/25)*Calculateur!DB130*Calculateur!DD130*VLOOKUP('Données projet'!$B$13,Paramètres!$A$1:$I$88,3,0)*0.475*44/12</f>
        <v>0</v>
      </c>
      <c r="DH130" s="23">
        <f>EXP(-LN(2)/2)*DH129+(1-EXP(-LN(2)/2))/(LN(2)/2)*DB130*DE130*VLOOKUP('Données projet'!$B$13,Paramètres!$A$1:$I$88,3,0)*0.475*44/12</f>
        <v>0</v>
      </c>
      <c r="DI130" s="24">
        <f t="shared" si="69"/>
        <v>50.029714460625094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69.106212117316971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>
        <f>DO130*VLOOKUP('Données projet'!$B$14,Paramètres!$A$1:$I$88,3,0)*VLOOKUP('Données projet'!$B$14,Paramètres!$A$1:$I$88,5,0)</f>
        <v>0</v>
      </c>
      <c r="DQ130" s="14" t="e">
        <f t="shared" si="97"/>
        <v>#NUM!</v>
      </c>
      <c r="DR130" s="22" t="e">
        <f t="shared" si="70"/>
        <v>#NUM!</v>
      </c>
      <c r="DS130" s="62" t="e">
        <f t="shared" si="71"/>
        <v>#NUM!</v>
      </c>
      <c r="DT130" s="62">
        <f ca="1">AVERAGE(OFFSET($DS$3,0,0,'Données projet'!$E$14+1,1))-AVERAGE(OFFSET($H$3,0,0,'Données projet'!$E$14+1,1))</f>
        <v>91.201152634762423</v>
      </c>
      <c r="DU130" s="62">
        <f t="shared" si="98"/>
        <v>233.36981992862445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projet'!$B$14,Paramètres!$A$1:$I$88,3,0)*0.475*44/12</f>
        <v>6.0717385751249697</v>
      </c>
      <c r="EB130" s="23">
        <f>EXP(-LN(2)/25)*EB129+(1-EXP(-LN(2)/25))/(LN(2)/25)*Calculateur!DW130*Calculateur!DY130*VLOOKUP('Données projet'!$B$14,Paramètres!$A$1:$I$88,3,0)*0.475*44/12</f>
        <v>0</v>
      </c>
      <c r="EC130" s="23">
        <f>EXP(-LN(2)/2)*EC129+(1-EXP(-LN(2)/2))/(LN(2)/2)*DW130*DZ130*VLOOKUP('Données projet'!$B$14,Paramètres!$A$1:$I$88,3,0)*0.475*44/12</f>
        <v>0</v>
      </c>
      <c r="ED130" s="24">
        <f t="shared" si="72"/>
        <v>6.0717385751249697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69.106212117316971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projet'!$B$15,Paramètres!$A$1:$I$88,3,0)*0.475*44/12</f>
        <v>#N/A</v>
      </c>
      <c r="EW130" s="23" t="e">
        <f>EXP(-LN(2)/25)*EW129+(1-EXP(-LN(2)/25))/(LN(2)/25)*Calculateur!ER130*Calculateur!ET130*VLOOKUP('Données projet'!$B$15,Paramètres!$A$1:$I$88,3,0)*0.475*44/12</f>
        <v>#N/A</v>
      </c>
      <c r="EX130" s="23" t="e">
        <f>EXP(-LN(2)/2)*EX129+(1-EXP(-LN(2)/2))/(LN(2)/2)*ER130*EU130*VLOOKUP('Données projet'!$B$15,Paramètres!$A$1:$I$88,3,0)*0.475*44/12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69.106212117316971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projet'!$B$16,Paramètres!$A$1:$I$88,3,0)*0.475*44/12</f>
        <v>#N/A</v>
      </c>
      <c r="FR130" s="23" t="e">
        <f>EXP(-LN(2)/25)*FR129+(1-EXP(-LN(2)/25))/(LN(2)/25)*Calculateur!FM130*Calculateur!FO130*VLOOKUP('Données projet'!$B$16,Paramètres!$A$1:$I$88,3,0)*0.475*44/12</f>
        <v>#N/A</v>
      </c>
      <c r="FS130" s="23" t="e">
        <f>EXP(-LN(2)/2)*FS129+(1-EXP(-LN(2)/2))/(LN(2)/2)*FM130*FP130*VLOOKUP('Données projet'!$B$16,Paramètres!$A$1:$I$88,3,0)*0.475*44/12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69.106212117316971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projet'!$B$17,Paramètres!$A$1:$I$88,3,0)*0.475*44/12</f>
        <v>#N/A</v>
      </c>
      <c r="GM130" s="23" t="e">
        <f>EXP(-LN(2)/25)*GM129+(1-EXP(-LN(2)/25))/(LN(2)/25)*Calculateur!GH130*Calculateur!GJ130*VLOOKUP('Données projet'!$B$17,Paramètres!$A$1:$I$88,3,0)*0.475*44/12</f>
        <v>#N/A</v>
      </c>
      <c r="GN130" s="23" t="e">
        <f>EXP(-LN(2)/2)*GN129+(1-EXP(-LN(2)/2))/(LN(2)/2)*GH130*GK130*VLOOKUP('Données projet'!$B$17,Paramètres!$A$1:$I$88,3,0)*0.475*44/12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69.106212117316971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projet'!$B$18,Paramètres!$A$1:$I$88,3,0)*0.475*44/12</f>
        <v>#N/A</v>
      </c>
      <c r="HH130" s="23" t="e">
        <f>EXP(-LN(2)/25)*HH129+(1-EXP(-LN(2)/25))/(LN(2)/25)*Calculateur!HC130*Calculateur!HE130*VLOOKUP('Données projet'!$B$18,Paramètres!$A$1:$I$88,3,0)*0.475*44/12</f>
        <v>#N/A</v>
      </c>
      <c r="HI130" s="23" t="e">
        <f>EXP(-LN(2)/2)*HI129+(1-EXP(-LN(2)/2))/(LN(2)/2)*HC130*HF130*VLOOKUP('Données projet'!$B$18,Paramètres!$A$1:$I$88,3,0)*0.475*44/12</f>
        <v>#N/A</v>
      </c>
      <c r="HJ130" s="24" t="e">
        <f t="shared" si="84"/>
        <v>#N/A</v>
      </c>
    </row>
    <row r="131" spans="1:218" s="5" customFormat="1" x14ac:dyDescent="0.2">
      <c r="A131" s="11">
        <f t="shared" si="85"/>
        <v>128</v>
      </c>
      <c r="B131" s="77">
        <f>'Scénario référence'!$B$16*5+'Scénario référence'!$B$17*0+'Scénario référence'!$B$18*5</f>
        <v>1.6500000000000001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6.0500000000000007</v>
      </c>
      <c r="H131" s="70">
        <f t="shared" si="56"/>
        <v>232.4666666666667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69.121717338871179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projet'!$B$9,Paramètres!$A$1:$I$88,3,0)*VLOOKUP('Données projet'!$B$9,Paramètres!$A$1:$I$88,5,0)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290.11296357586298</v>
      </c>
      <c r="S131" s="62">
        <f ca="1">AVERAGE(OFFSET($R$3,0,0,'Données projet'!$E$9+1,1))-AVERAGE(OFFSET($H$3,0,0,'Données projet'!$E$9+1,1))</f>
        <v>354.71367224254021</v>
      </c>
      <c r="T131" s="62">
        <f t="shared" si="88"/>
        <v>490.074370133397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45.060586152806032</v>
      </c>
      <c r="AA131" s="23">
        <f>EXP(-LN(2)/25)*AA130+(1-EXP(-LN(2)/25))/(LN(2)/25)*Calculateur!V131*Calculateur!X131*VLOOKUP('Données projet'!$B$9,Paramètres!$A$1:$I$88,3,0)*0.475*44/12</f>
        <v>5.6227978806498111</v>
      </c>
      <c r="AB131" s="23">
        <f>EXP(-LN(2)/2)*AB130+(1-EXP(-LN(2)/2))/(LN(2)/2)*V131*Y131*VLOOKUP('Données projet'!$B$9,Paramètres!$A$1:$I$88,3,0)*0.475*44/12</f>
        <v>3.3132472594375177E-11</v>
      </c>
      <c r="AC131" s="24">
        <f t="shared" si="57"/>
        <v>50.683384033488977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69.121717338871179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2.2737367544323206E-13</v>
      </c>
      <c r="AJ131" s="14">
        <f>AI131*VLOOKUP('Données projet'!$B$10,Paramètres!$A$1:$I$88,3,0)*VLOOKUP('Données projet'!$B$10,Paramètres!$A$1:$I$88,5,0)</f>
        <v>1.3596945791505279E-13</v>
      </c>
      <c r="AK131" s="14">
        <f t="shared" si="89"/>
        <v>1.9708830566360721E-12</v>
      </c>
      <c r="AL131" s="22">
        <f t="shared" si="58"/>
        <v>3.669434796176543E-12</v>
      </c>
      <c r="AM131" s="62">
        <f t="shared" si="59"/>
        <v>290.11296357586468</v>
      </c>
      <c r="AN131" s="62">
        <f ca="1">AVERAGE(OFFSET($AM$3,0,0,'Données projet'!$E$10+1,1))-AVERAGE(OFFSET($H$3,0,0,'Données projet'!$E$10+1,1))</f>
        <v>264.73276096087574</v>
      </c>
      <c r="AO131" s="62">
        <f t="shared" si="90"/>
        <v>381.84464918049662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projet'!$B$10,Paramètres!$A$1:$I$88,3,0)*0.475*44/12</f>
        <v>31.601275397344345</v>
      </c>
      <c r="AV131" s="23">
        <f>EXP(-LN(2)/25)*AV130+(1-EXP(-LN(2)/25))/(LN(2)/25)*Calculateur!AQ131*Calculateur!AS131*VLOOKUP('Données projet'!$B$10,Paramètres!$A$1:$I$88,3,0)*0.475*44/12</f>
        <v>3.9501963660627277</v>
      </c>
      <c r="AW131" s="23">
        <f>EXP(-LN(2)/2)*AW130+(1-EXP(-LN(2)/2))/(LN(2)/2)*AQ131*AT131*VLOOKUP('Données projet'!$B$10,Paramètres!$A$1:$I$88,3,0)*0.475*44/12</f>
        <v>2.3199631843181286E-11</v>
      </c>
      <c r="AX131" s="23">
        <f t="shared" si="60"/>
        <v>35.551471763430271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69.121717338871179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-2.8421709430404007E-13</v>
      </c>
      <c r="BE131" s="14">
        <f>BD131*VLOOKUP('Données projet'!$B$11,Paramètres!$A$1:$I$88,3,0)*VLOOKUP('Données projet'!$B$11,Paramètres!$A$1:$I$88,5,0)</f>
        <v>-3.2366642699344083E-13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470.57532875732056</v>
      </c>
      <c r="BJ131" s="62">
        <f t="shared" si="92"/>
        <v>286.63787681165888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projet'!$B$11,Paramètres!$A$1:$I$88,3,0)*0.475*44/12</f>
        <v>138.61904364008004</v>
      </c>
      <c r="BQ131" s="23">
        <f>EXP(-LN(2)/25)*BQ130+(1-EXP(-LN(2)/25))/(LN(2)/25)*Calculateur!BL131*Calculateur!BN131*VLOOKUP('Données projet'!$B$11,Paramètres!$A$1:$I$88,3,0)*0.475*44/12</f>
        <v>0</v>
      </c>
      <c r="BR131" s="23">
        <f>EXP(-LN(2)/2)*BR130+(1-EXP(-LN(2)/2))/(LN(2)/2)*BL131*BO131*VLOOKUP('Données projet'!$B$11,Paramètres!$A$1:$I$88,3,0)*0.475*44/12</f>
        <v>0</v>
      </c>
      <c r="BS131" s="24">
        <f t="shared" si="63"/>
        <v>138.61904364008004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69.121717338871179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-2.2737367544323206E-13</v>
      </c>
      <c r="BZ131" s="14">
        <f>BY131*VLOOKUP('Données projet'!$B$12,Paramètres!$A$1:$I$88,3,0)*VLOOKUP('Données projet'!$B$12,Paramètres!$A$1:$I$88,5,0)</f>
        <v>-1.4897523215040565E-13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305.38855494899906</v>
      </c>
      <c r="CE131" s="62">
        <f t="shared" si="94"/>
        <v>298.48106301229177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projet'!$B$12,Paramètres!$A$1:$I$88,3,0)*0.475*44/12</f>
        <v>32.771692219366606</v>
      </c>
      <c r="CL131" s="23">
        <f>EXP(-LN(2)/25)*CL130+(1-EXP(-LN(2)/25))/(LN(2)/25)*Calculateur!CG131*Calculateur!CI131*VLOOKUP('Données projet'!$B$12,Paramètres!$A$1:$I$88,3,0)*0.475*44/12</f>
        <v>0</v>
      </c>
      <c r="CM131" s="23">
        <f>EXP(-LN(2)/2)*CM130+(1-EXP(-LN(2)/2))/(LN(2)/2)*CG131*CJ131*VLOOKUP('Données projet'!$B$12,Paramètres!$A$1:$I$88,3,0)*0.475*44/12</f>
        <v>0</v>
      </c>
      <c r="CN131" s="24">
        <f t="shared" si="66"/>
        <v>32.771692219366606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69.121717338871179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-2.2737367544323206E-13</v>
      </c>
      <c r="CU131" s="18">
        <f>CT131*VLOOKUP('Données projet'!$B$13,Paramètres!$A$1:$I$88,3,0)*VLOOKUP('Données projet'!$B$13,Paramètres!$A$1:$I$88,5,0)</f>
        <v>-1.8089849618263545E-13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361.30066984973894</v>
      </c>
      <c r="CZ131" s="62">
        <f t="shared" si="96"/>
        <v>351.78053157121622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projet'!$B$13,Paramètres!$A$1:$I$88,3,0)*0.475*44/12</f>
        <v>49.048662275164936</v>
      </c>
      <c r="DG131" s="23">
        <f>EXP(-LN(2)/25)*DG130+(1-EXP(-LN(2)/25))/(LN(2)/25)*Calculateur!DB131*Calculateur!DD131*VLOOKUP('Données projet'!$B$13,Paramètres!$A$1:$I$88,3,0)*0.475*44/12</f>
        <v>0</v>
      </c>
      <c r="DH131" s="23">
        <f>EXP(-LN(2)/2)*DH130+(1-EXP(-LN(2)/2))/(LN(2)/2)*DB131*DE131*VLOOKUP('Données projet'!$B$13,Paramètres!$A$1:$I$88,3,0)*0.475*44/12</f>
        <v>0</v>
      </c>
      <c r="DI131" s="24">
        <f t="shared" si="69"/>
        <v>49.048662275164936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69.121717338871179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>
        <f>DO131*VLOOKUP('Données projet'!$B$14,Paramètres!$A$1:$I$88,3,0)*VLOOKUP('Données projet'!$B$14,Paramètres!$A$1:$I$88,5,0)</f>
        <v>0</v>
      </c>
      <c r="DQ131" s="14" t="e">
        <f t="shared" si="97"/>
        <v>#NUM!</v>
      </c>
      <c r="DR131" s="22" t="e">
        <f t="shared" si="70"/>
        <v>#NUM!</v>
      </c>
      <c r="DS131" s="62" t="e">
        <f t="shared" si="71"/>
        <v>#NUM!</v>
      </c>
      <c r="DT131" s="62">
        <f ca="1">AVERAGE(OFFSET($DS$3,0,0,'Données projet'!$E$14+1,1))-AVERAGE(OFFSET($H$3,0,0,'Données projet'!$E$14+1,1))</f>
        <v>91.201152634762423</v>
      </c>
      <c r="DU131" s="62">
        <f t="shared" si="98"/>
        <v>233.36981992862445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projet'!$B$14,Paramètres!$A$1:$I$88,3,0)*0.475*44/12</f>
        <v>5.9526754850616204</v>
      </c>
      <c r="EB131" s="23">
        <f>EXP(-LN(2)/25)*EB130+(1-EXP(-LN(2)/25))/(LN(2)/25)*Calculateur!DW131*Calculateur!DY131*VLOOKUP('Données projet'!$B$14,Paramètres!$A$1:$I$88,3,0)*0.475*44/12</f>
        <v>0</v>
      </c>
      <c r="EC131" s="23">
        <f>EXP(-LN(2)/2)*EC130+(1-EXP(-LN(2)/2))/(LN(2)/2)*DW131*DZ131*VLOOKUP('Données projet'!$B$14,Paramètres!$A$1:$I$88,3,0)*0.475*44/12</f>
        <v>0</v>
      </c>
      <c r="ED131" s="24">
        <f t="shared" si="72"/>
        <v>5.9526754850616204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69.121717338871179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projet'!$B$15,Paramètres!$A$1:$I$88,3,0)*0.475*44/12</f>
        <v>#N/A</v>
      </c>
      <c r="EW131" s="23" t="e">
        <f>EXP(-LN(2)/25)*EW130+(1-EXP(-LN(2)/25))/(LN(2)/25)*Calculateur!ER131*Calculateur!ET131*VLOOKUP('Données projet'!$B$15,Paramètres!$A$1:$I$88,3,0)*0.475*44/12</f>
        <v>#N/A</v>
      </c>
      <c r="EX131" s="23" t="e">
        <f>EXP(-LN(2)/2)*EX130+(1-EXP(-LN(2)/2))/(LN(2)/2)*ER131*EU131*VLOOKUP('Données projet'!$B$15,Paramètres!$A$1:$I$88,3,0)*0.475*44/12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69.121717338871179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projet'!$B$16,Paramètres!$A$1:$I$88,3,0)*0.475*44/12</f>
        <v>#N/A</v>
      </c>
      <c r="FR131" s="23" t="e">
        <f>EXP(-LN(2)/25)*FR130+(1-EXP(-LN(2)/25))/(LN(2)/25)*Calculateur!FM131*Calculateur!FO131*VLOOKUP('Données projet'!$B$16,Paramètres!$A$1:$I$88,3,0)*0.475*44/12</f>
        <v>#N/A</v>
      </c>
      <c r="FS131" s="23" t="e">
        <f>EXP(-LN(2)/2)*FS130+(1-EXP(-LN(2)/2))/(LN(2)/2)*FM131*FP131*VLOOKUP('Données projet'!$B$16,Paramètres!$A$1:$I$88,3,0)*0.475*44/12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69.121717338871179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projet'!$B$17,Paramètres!$A$1:$I$88,3,0)*0.475*44/12</f>
        <v>#N/A</v>
      </c>
      <c r="GM131" s="23" t="e">
        <f>EXP(-LN(2)/25)*GM130+(1-EXP(-LN(2)/25))/(LN(2)/25)*Calculateur!GH131*Calculateur!GJ131*VLOOKUP('Données projet'!$B$17,Paramètres!$A$1:$I$88,3,0)*0.475*44/12</f>
        <v>#N/A</v>
      </c>
      <c r="GN131" s="23" t="e">
        <f>EXP(-LN(2)/2)*GN130+(1-EXP(-LN(2)/2))/(LN(2)/2)*GH131*GK131*VLOOKUP('Données projet'!$B$17,Paramètres!$A$1:$I$88,3,0)*0.475*44/12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69.121717338871179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projet'!$B$18,Paramètres!$A$1:$I$88,3,0)*0.475*44/12</f>
        <v>#N/A</v>
      </c>
      <c r="HH131" s="23" t="e">
        <f>EXP(-LN(2)/25)*HH130+(1-EXP(-LN(2)/25))/(LN(2)/25)*Calculateur!HC131*Calculateur!HE131*VLOOKUP('Données projet'!$B$18,Paramètres!$A$1:$I$88,3,0)*0.475*44/12</f>
        <v>#N/A</v>
      </c>
      <c r="HI131" s="23" t="e">
        <f>EXP(-LN(2)/2)*HI130+(1-EXP(-LN(2)/2))/(LN(2)/2)*HC131*HF131*VLOOKUP('Données projet'!$B$18,Paramètres!$A$1:$I$88,3,0)*0.475*44/12</f>
        <v>#N/A</v>
      </c>
      <c r="HJ131" s="24" t="e">
        <f t="shared" si="84"/>
        <v>#N/A</v>
      </c>
    </row>
    <row r="132" spans="1:218" s="5" customFormat="1" x14ac:dyDescent="0.2">
      <c r="A132" s="11">
        <f t="shared" si="85"/>
        <v>129</v>
      </c>
      <c r="B132" s="77">
        <f>'Scénario référence'!$B$16*5+'Scénario référence'!$B$17*0+'Scénario référence'!$B$18*5</f>
        <v>1.6500000000000001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6.0500000000000007</v>
      </c>
      <c r="H132" s="70">
        <f t="shared" ref="H132:H195" si="110">(B132+E132+F132)*44/12+(C132+D132)*0.475*44/12</f>
        <v>232.4666666666667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69.136953579495895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projet'!$B$9,Paramètres!$A$1:$I$88,3,0)*VLOOKUP('Données projet'!$B$9,Paramètres!$A$1:$I$88,5,0)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290.16882979148693</v>
      </c>
      <c r="S132" s="62">
        <f ca="1">AVERAGE(OFFSET($R$3,0,0,'Données projet'!$E$9+1,1))-AVERAGE(OFFSET($H$3,0,0,'Données projet'!$E$9+1,1))</f>
        <v>354.71367224254021</v>
      </c>
      <c r="T132" s="62">
        <f t="shared" si="88"/>
        <v>490.074370133397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44.176975542593212</v>
      </c>
      <c r="AA132" s="23">
        <f>EXP(-LN(2)/25)*AA131+(1-EXP(-LN(2)/25))/(LN(2)/25)*Calculateur!V132*Calculateur!X132*VLOOKUP('Données projet'!$B$9,Paramètres!$A$1:$I$88,3,0)*0.475*44/12</f>
        <v>5.4690421769133524</v>
      </c>
      <c r="AB132" s="23">
        <f>EXP(-LN(2)/2)*AB131+(1-EXP(-LN(2)/2))/(LN(2)/2)*V132*Y132*VLOOKUP('Données projet'!$B$9,Paramètres!$A$1:$I$88,3,0)*0.475*44/12</f>
        <v>2.3428196048960131E-11</v>
      </c>
      <c r="AC132" s="24">
        <f t="shared" ref="AC132:AC153" si="111">SUM(Z132:AB132)</f>
        <v>49.646017719529993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69.136953579495895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2.2737367544323206E-13</v>
      </c>
      <c r="AJ132" s="14">
        <f>AI132*VLOOKUP('Données projet'!$B$10,Paramètres!$A$1:$I$88,3,0)*VLOOKUP('Données projet'!$B$10,Paramètres!$A$1:$I$88,5,0)</f>
        <v>1.3596945791505279E-13</v>
      </c>
      <c r="AK132" s="14">
        <f t="shared" si="89"/>
        <v>1.9708830566360721E-12</v>
      </c>
      <c r="AL132" s="22">
        <f t="shared" ref="AL132:AL153" si="112">(AJ132+AK132)*0.475*44/12</f>
        <v>3.669434796176543E-12</v>
      </c>
      <c r="AM132" s="62">
        <f t="shared" ref="AM132:AM195" si="113">AL132+(AD132+AE132)*44/12</f>
        <v>290.16882979148863</v>
      </c>
      <c r="AN132" s="62">
        <f ca="1">AVERAGE(OFFSET($AM$3,0,0,'Données projet'!$E$10+1,1))-AVERAGE(OFFSET($H$3,0,0,'Données projet'!$E$10+1,1))</f>
        <v>264.73276096087574</v>
      </c>
      <c r="AO132" s="62">
        <f t="shared" si="90"/>
        <v>381.84464918049662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projet'!$B$10,Paramètres!$A$1:$I$88,3,0)*0.475*44/12</f>
        <v>30.981593661677181</v>
      </c>
      <c r="AV132" s="23">
        <f>EXP(-LN(2)/25)*AV131+(1-EXP(-LN(2)/25))/(LN(2)/25)*Calculateur!AQ132*Calculateur!AS132*VLOOKUP('Données projet'!$B$10,Paramètres!$A$1:$I$88,3,0)*0.475*44/12</f>
        <v>3.8421780387009439</v>
      </c>
      <c r="AW132" s="23">
        <f>EXP(-LN(2)/2)*AW131+(1-EXP(-LN(2)/2))/(LN(2)/2)*AQ132*AT132*VLOOKUP('Données projet'!$B$10,Paramètres!$A$1:$I$88,3,0)*0.475*44/12</f>
        <v>1.640461699734485E-11</v>
      </c>
      <c r="AX132" s="23">
        <f t="shared" ref="AX132:AX153" si="114">SUM(AU132:AW132)</f>
        <v>34.823771700394531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69.136953579495895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-2.8421709430404007E-13</v>
      </c>
      <c r="BE132" s="14">
        <f>BD132*VLOOKUP('Données projet'!$B$11,Paramètres!$A$1:$I$88,3,0)*VLOOKUP('Données projet'!$B$11,Paramètres!$A$1:$I$88,5,0)</f>
        <v>-3.2366642699344083E-13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470.57532875732056</v>
      </c>
      <c r="BJ132" s="62">
        <f t="shared" si="92"/>
        <v>286.63787681165888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projet'!$B$11,Paramètres!$A$1:$I$88,3,0)*0.475*44/12</f>
        <v>135.90080874356613</v>
      </c>
      <c r="BQ132" s="23">
        <f>EXP(-LN(2)/25)*BQ131+(1-EXP(-LN(2)/25))/(LN(2)/25)*Calculateur!BL132*Calculateur!BN132*VLOOKUP('Données projet'!$B$11,Paramètres!$A$1:$I$88,3,0)*0.475*44/12</f>
        <v>0</v>
      </c>
      <c r="BR132" s="23">
        <f>EXP(-LN(2)/2)*BR131+(1-EXP(-LN(2)/2))/(LN(2)/2)*BL132*BO132*VLOOKUP('Données projet'!$B$11,Paramètres!$A$1:$I$88,3,0)*0.475*44/12</f>
        <v>0</v>
      </c>
      <c r="BS132" s="24">
        <f t="shared" ref="BS132:BS153" si="117">SUM(BP132:BR132)</f>
        <v>135.90080874356613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69.136953579495895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-2.2737367544323206E-13</v>
      </c>
      <c r="BZ132" s="14">
        <f>BY132*VLOOKUP('Données projet'!$B$12,Paramètres!$A$1:$I$88,3,0)*VLOOKUP('Données projet'!$B$12,Paramètres!$A$1:$I$88,5,0)</f>
        <v>-1.4897523215040565E-13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305.38855494899906</v>
      </c>
      <c r="CE132" s="62">
        <f t="shared" si="94"/>
        <v>298.48106301229177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projet'!$B$12,Paramètres!$A$1:$I$88,3,0)*0.475*44/12</f>
        <v>32.129059323703352</v>
      </c>
      <c r="CL132" s="23">
        <f>EXP(-LN(2)/25)*CL131+(1-EXP(-LN(2)/25))/(LN(2)/25)*Calculateur!CG132*Calculateur!CI132*VLOOKUP('Données projet'!$B$12,Paramètres!$A$1:$I$88,3,0)*0.475*44/12</f>
        <v>0</v>
      </c>
      <c r="CM132" s="23">
        <f>EXP(-LN(2)/2)*CM131+(1-EXP(-LN(2)/2))/(LN(2)/2)*CG132*CJ132*VLOOKUP('Données projet'!$B$12,Paramètres!$A$1:$I$88,3,0)*0.475*44/12</f>
        <v>0</v>
      </c>
      <c r="CN132" s="24">
        <f t="shared" ref="CN132:CN153" si="120">SUM(CK132:CM132)</f>
        <v>32.129059323703352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69.136953579495895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-2.2737367544323206E-13</v>
      </c>
      <c r="CU132" s="18">
        <f>CT132*VLOOKUP('Données projet'!$B$13,Paramètres!$A$1:$I$88,3,0)*VLOOKUP('Données projet'!$B$13,Paramètres!$A$1:$I$88,5,0)</f>
        <v>-1.8089849618263545E-13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361.30066984973894</v>
      </c>
      <c r="CZ132" s="62">
        <f t="shared" si="96"/>
        <v>351.78053157121622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projet'!$B$13,Paramètres!$A$1:$I$88,3,0)*0.475*44/12</f>
        <v>48.086847924678906</v>
      </c>
      <c r="DG132" s="23">
        <f>EXP(-LN(2)/25)*DG131+(1-EXP(-LN(2)/25))/(LN(2)/25)*Calculateur!DB132*Calculateur!DD132*VLOOKUP('Données projet'!$B$13,Paramètres!$A$1:$I$88,3,0)*0.475*44/12</f>
        <v>0</v>
      </c>
      <c r="DH132" s="23">
        <f>EXP(-LN(2)/2)*DH131+(1-EXP(-LN(2)/2))/(LN(2)/2)*DB132*DE132*VLOOKUP('Données projet'!$B$13,Paramètres!$A$1:$I$88,3,0)*0.475*44/12</f>
        <v>0</v>
      </c>
      <c r="DI132" s="24">
        <f t="shared" ref="DI132:DI153" si="123">SUM(DF132:DH132)</f>
        <v>48.086847924678906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69.136953579495895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>
        <f>DO132*VLOOKUP('Données projet'!$B$14,Paramètres!$A$1:$I$88,3,0)*VLOOKUP('Données projet'!$B$14,Paramètres!$A$1:$I$88,5,0)</f>
        <v>0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2" t="e">
        <f t="shared" ref="DS132:DS195" si="125">DR132+(DJ132+DK132)*44/12</f>
        <v>#NUM!</v>
      </c>
      <c r="DT132" s="62">
        <f ca="1">AVERAGE(OFFSET($DS$3,0,0,'Données projet'!$E$14+1,1))-AVERAGE(OFFSET($H$3,0,0,'Données projet'!$E$14+1,1))</f>
        <v>91.201152634762423</v>
      </c>
      <c r="DU132" s="62">
        <f t="shared" si="98"/>
        <v>233.36981992862445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projet'!$B$14,Paramètres!$A$1:$I$88,3,0)*0.475*44/12</f>
        <v>5.8359471495730988</v>
      </c>
      <c r="EB132" s="23">
        <f>EXP(-LN(2)/25)*EB131+(1-EXP(-LN(2)/25))/(LN(2)/25)*Calculateur!DW132*Calculateur!DY132*VLOOKUP('Données projet'!$B$14,Paramètres!$A$1:$I$88,3,0)*0.475*44/12</f>
        <v>0</v>
      </c>
      <c r="EC132" s="23">
        <f>EXP(-LN(2)/2)*EC131+(1-EXP(-LN(2)/2))/(LN(2)/2)*DW132*DZ132*VLOOKUP('Données projet'!$B$14,Paramètres!$A$1:$I$88,3,0)*0.475*44/12</f>
        <v>0</v>
      </c>
      <c r="ED132" s="24">
        <f t="shared" ref="ED132:ED153" si="126">SUM(EA132:EC132)</f>
        <v>5.8359471495730988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69.136953579495895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projet'!$B$15,Paramètres!$A$1:$I$88,3,0)*0.475*44/12</f>
        <v>#N/A</v>
      </c>
      <c r="EW132" s="23" t="e">
        <f>EXP(-LN(2)/25)*EW131+(1-EXP(-LN(2)/25))/(LN(2)/25)*Calculateur!ER132*Calculateur!ET132*VLOOKUP('Données projet'!$B$15,Paramètres!$A$1:$I$88,3,0)*0.475*44/12</f>
        <v>#N/A</v>
      </c>
      <c r="EX132" s="23" t="e">
        <f>EXP(-LN(2)/2)*EX131+(1-EXP(-LN(2)/2))/(LN(2)/2)*ER132*EU132*VLOOKUP('Données projet'!$B$15,Paramètres!$A$1:$I$88,3,0)*0.475*44/12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69.136953579495895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projet'!$B$16,Paramètres!$A$1:$I$88,3,0)*0.475*44/12</f>
        <v>#N/A</v>
      </c>
      <c r="FR132" s="23" t="e">
        <f>EXP(-LN(2)/25)*FR131+(1-EXP(-LN(2)/25))/(LN(2)/25)*Calculateur!FM132*Calculateur!FO132*VLOOKUP('Données projet'!$B$16,Paramètres!$A$1:$I$88,3,0)*0.475*44/12</f>
        <v>#N/A</v>
      </c>
      <c r="FS132" s="23" t="e">
        <f>EXP(-LN(2)/2)*FS131+(1-EXP(-LN(2)/2))/(LN(2)/2)*FM132*FP132*VLOOKUP('Données projet'!$B$16,Paramètres!$A$1:$I$88,3,0)*0.475*44/12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69.136953579495895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projet'!$B$17,Paramètres!$A$1:$I$88,3,0)*0.475*44/12</f>
        <v>#N/A</v>
      </c>
      <c r="GM132" s="23" t="e">
        <f>EXP(-LN(2)/25)*GM131+(1-EXP(-LN(2)/25))/(LN(2)/25)*Calculateur!GH132*Calculateur!GJ132*VLOOKUP('Données projet'!$B$17,Paramètres!$A$1:$I$88,3,0)*0.475*44/12</f>
        <v>#N/A</v>
      </c>
      <c r="GN132" s="23" t="e">
        <f>EXP(-LN(2)/2)*GN131+(1-EXP(-LN(2)/2))/(LN(2)/2)*GH132*GK132*VLOOKUP('Données projet'!$B$17,Paramètres!$A$1:$I$88,3,0)*0.475*44/12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69.136953579495895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projet'!$B$18,Paramètres!$A$1:$I$88,3,0)*0.475*44/12</f>
        <v>#N/A</v>
      </c>
      <c r="HH132" s="23" t="e">
        <f>EXP(-LN(2)/25)*HH131+(1-EXP(-LN(2)/25))/(LN(2)/25)*Calculateur!HC132*Calculateur!HE132*VLOOKUP('Données projet'!$B$18,Paramètres!$A$1:$I$88,3,0)*0.475*44/12</f>
        <v>#N/A</v>
      </c>
      <c r="HI132" s="23" t="e">
        <f>EXP(-LN(2)/2)*HI131+(1-EXP(-LN(2)/2))/(LN(2)/2)*HC132*HF132*VLOOKUP('Données projet'!$B$18,Paramètres!$A$1:$I$88,3,0)*0.475*44/12</f>
        <v>#N/A</v>
      </c>
      <c r="HJ132" s="24" t="e">
        <f t="shared" ref="HJ132:HJ153" si="138">SUM(HG132:HI132)</f>
        <v>#N/A</v>
      </c>
    </row>
    <row r="133" spans="1:218" s="5" customFormat="1" x14ac:dyDescent="0.2">
      <c r="A133" s="11">
        <f t="shared" ref="A133:A152" si="139">A132+1</f>
        <v>130</v>
      </c>
      <c r="B133" s="77">
        <f>'Scénario référence'!$B$16*5+'Scénario référence'!$B$17*0+'Scénario référence'!$B$18*5</f>
        <v>1.6500000000000001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6.0500000000000007</v>
      </c>
      <c r="H133" s="70">
        <f t="shared" si="110"/>
        <v>232.4666666666667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69.151925505408897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projet'!$B$9,Paramètres!$A$1:$I$88,3,0)*VLOOKUP('Données projet'!$B$9,Paramètres!$A$1:$I$88,5,0)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290.22372685316793</v>
      </c>
      <c r="S133" s="62">
        <f ca="1">AVERAGE(OFFSET($R$3,0,0,'Données projet'!$E$9+1,1))-AVERAGE(OFFSET($H$3,0,0,'Données projet'!$E$9+1,1))</f>
        <v>354.71367224254021</v>
      </c>
      <c r="T133" s="62">
        <f t="shared" ref="T133:T196" si="142">$T$3</f>
        <v>490.074370133397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43.310691997497415</v>
      </c>
      <c r="AA133" s="23">
        <f>EXP(-LN(2)/25)*AA132+(1-EXP(-LN(2)/25))/(LN(2)/25)*Calculateur!V133*Calculateur!X133*VLOOKUP('Données projet'!$B$9,Paramètres!$A$1:$I$88,3,0)*0.475*44/12</f>
        <v>5.3194909309812282</v>
      </c>
      <c r="AB133" s="23">
        <f>EXP(-LN(2)/2)*AB132+(1-EXP(-LN(2)/2))/(LN(2)/2)*V133*Y133*VLOOKUP('Données projet'!$B$9,Paramètres!$A$1:$I$88,3,0)*0.475*44/12</f>
        <v>1.6566236297187589E-11</v>
      </c>
      <c r="AC133" s="24">
        <f t="shared" si="111"/>
        <v>48.630182928495209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69.151925505408897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2.2737367544323206E-13</v>
      </c>
      <c r="AJ133" s="14">
        <f>AI133*VLOOKUP('Données projet'!$B$10,Paramètres!$A$1:$I$88,3,0)*VLOOKUP('Données projet'!$B$10,Paramètres!$A$1:$I$88,5,0)</f>
        <v>1.3596945791505279E-13</v>
      </c>
      <c r="AK133" s="14">
        <f t="shared" ref="AK133:AK153" si="143">EXP(-1.0587+0.8836*LN(AJ133)+0.284)</f>
        <v>1.9708830566360721E-12</v>
      </c>
      <c r="AL133" s="22">
        <f t="shared" si="112"/>
        <v>3.669434796176543E-12</v>
      </c>
      <c r="AM133" s="62">
        <f t="shared" si="113"/>
        <v>290.22372685316964</v>
      </c>
      <c r="AN133" s="62">
        <f ca="1">AVERAGE(OFFSET($AM$3,0,0,'Données projet'!$E$10+1,1))-AVERAGE(OFFSET($H$3,0,0,'Données projet'!$E$10+1,1))</f>
        <v>264.73276096087574</v>
      </c>
      <c r="AO133" s="62">
        <f t="shared" ref="AO133:AO196" si="144">$AO$3</f>
        <v>381.84464918049662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projet'!$B$10,Paramètres!$A$1:$I$88,3,0)*0.475*44/12</f>
        <v>30.37406350687791</v>
      </c>
      <c r="AV133" s="23">
        <f>EXP(-LN(2)/25)*AV132+(1-EXP(-LN(2)/25))/(LN(2)/25)*Calculateur!AQ133*Calculateur!AS133*VLOOKUP('Données projet'!$B$10,Paramètres!$A$1:$I$88,3,0)*0.475*44/12</f>
        <v>3.7371134781813051</v>
      </c>
      <c r="AW133" s="23">
        <f>EXP(-LN(2)/2)*AW132+(1-EXP(-LN(2)/2))/(LN(2)/2)*AQ133*AT133*VLOOKUP('Données projet'!$B$10,Paramètres!$A$1:$I$88,3,0)*0.475*44/12</f>
        <v>1.1599815921590643E-11</v>
      </c>
      <c r="AX133" s="23">
        <f t="shared" si="114"/>
        <v>34.11117698507082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69.151925505408897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-2.8421709430404007E-13</v>
      </c>
      <c r="BE133" s="14">
        <f>BD133*VLOOKUP('Données projet'!$B$11,Paramètres!$A$1:$I$88,3,0)*VLOOKUP('Données projet'!$B$11,Paramètres!$A$1:$I$88,5,0)</f>
        <v>-3.2366642699344083E-13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470.57532875732056</v>
      </c>
      <c r="BJ133" s="62">
        <f t="shared" ref="BJ133:BJ196" si="146">$BJ$3</f>
        <v>286.63787681165888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projet'!$B$11,Paramètres!$A$1:$I$88,3,0)*0.475*44/12</f>
        <v>133.23587677541329</v>
      </c>
      <c r="BQ133" s="23">
        <f>EXP(-LN(2)/25)*BQ132+(1-EXP(-LN(2)/25))/(LN(2)/25)*Calculateur!BL133*Calculateur!BN133*VLOOKUP('Données projet'!$B$11,Paramètres!$A$1:$I$88,3,0)*0.475*44/12</f>
        <v>0</v>
      </c>
      <c r="BR133" s="23">
        <f>EXP(-LN(2)/2)*BR132+(1-EXP(-LN(2)/2))/(LN(2)/2)*BL133*BO133*VLOOKUP('Données projet'!$B$11,Paramètres!$A$1:$I$88,3,0)*0.475*44/12</f>
        <v>0</v>
      </c>
      <c r="BS133" s="24">
        <f t="shared" si="117"/>
        <v>133.23587677541329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69.151925505408897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-2.2737367544323206E-13</v>
      </c>
      <c r="BZ133" s="14">
        <f>BY133*VLOOKUP('Données projet'!$B$12,Paramètres!$A$1:$I$88,3,0)*VLOOKUP('Données projet'!$B$12,Paramètres!$A$1:$I$88,5,0)</f>
        <v>-1.4897523215040565E-13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305.38855494899906</v>
      </c>
      <c r="CE133" s="62">
        <f t="shared" ref="CE133:CE196" si="148">$CE$3</f>
        <v>298.48106301229177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projet'!$B$12,Paramètres!$A$1:$I$88,3,0)*0.475*44/12</f>
        <v>31.499028067156694</v>
      </c>
      <c r="CL133" s="23">
        <f>EXP(-LN(2)/25)*CL132+(1-EXP(-LN(2)/25))/(LN(2)/25)*Calculateur!CG133*Calculateur!CI133*VLOOKUP('Données projet'!$B$12,Paramètres!$A$1:$I$88,3,0)*0.475*44/12</f>
        <v>0</v>
      </c>
      <c r="CM133" s="23">
        <f>EXP(-LN(2)/2)*CM132+(1-EXP(-LN(2)/2))/(LN(2)/2)*CG133*CJ133*VLOOKUP('Données projet'!$B$12,Paramètres!$A$1:$I$88,3,0)*0.475*44/12</f>
        <v>0</v>
      </c>
      <c r="CN133" s="24">
        <f t="shared" si="120"/>
        <v>31.499028067156694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69.151925505408897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-2.2737367544323206E-13</v>
      </c>
      <c r="CU133" s="18">
        <f>CT133*VLOOKUP('Données projet'!$B$13,Paramètres!$A$1:$I$88,3,0)*VLOOKUP('Données projet'!$B$13,Paramètres!$A$1:$I$88,5,0)</f>
        <v>-1.8089849618263545E-13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361.30066984973894</v>
      </c>
      <c r="CZ133" s="62">
        <f t="shared" ref="CZ133:CZ196" si="150">$CZ$3</f>
        <v>351.78053157121622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projet'!$B$13,Paramètres!$A$1:$I$88,3,0)*0.475*44/12</f>
        <v>47.143894166957082</v>
      </c>
      <c r="DG133" s="23">
        <f>EXP(-LN(2)/25)*DG132+(1-EXP(-LN(2)/25))/(LN(2)/25)*Calculateur!DB133*Calculateur!DD133*VLOOKUP('Données projet'!$B$13,Paramètres!$A$1:$I$88,3,0)*0.475*44/12</f>
        <v>0</v>
      </c>
      <c r="DH133" s="23">
        <f>EXP(-LN(2)/2)*DH132+(1-EXP(-LN(2)/2))/(LN(2)/2)*DB133*DE133*VLOOKUP('Données projet'!$B$13,Paramètres!$A$1:$I$88,3,0)*0.475*44/12</f>
        <v>0</v>
      </c>
      <c r="DI133" s="24">
        <f t="shared" si="123"/>
        <v>47.143894166957082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69.151925505408897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>
        <f>DO133*VLOOKUP('Données projet'!$B$14,Paramètres!$A$1:$I$88,3,0)*VLOOKUP('Données projet'!$B$14,Paramètres!$A$1:$I$88,5,0)</f>
        <v>0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2" t="e">
        <f t="shared" si="125"/>
        <v>#NUM!</v>
      </c>
      <c r="DT133" s="62">
        <f ca="1">AVERAGE(OFFSET($DS$3,0,0,'Données projet'!$E$14+1,1))-AVERAGE(OFFSET($H$3,0,0,'Données projet'!$E$14+1,1))</f>
        <v>91.201152634762423</v>
      </c>
      <c r="DU133" s="62">
        <f t="shared" ref="DU133:DU196" si="152">$DU$3</f>
        <v>233.36981992862445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projet'!$B$14,Paramètres!$A$1:$I$88,3,0)*0.475*44/12</f>
        <v>5.7215077855462528</v>
      </c>
      <c r="EB133" s="23">
        <f>EXP(-LN(2)/25)*EB132+(1-EXP(-LN(2)/25))/(LN(2)/25)*Calculateur!DW133*Calculateur!DY133*VLOOKUP('Données projet'!$B$14,Paramètres!$A$1:$I$88,3,0)*0.475*44/12</f>
        <v>0</v>
      </c>
      <c r="EC133" s="23">
        <f>EXP(-LN(2)/2)*EC132+(1-EXP(-LN(2)/2))/(LN(2)/2)*DW133*DZ133*VLOOKUP('Données projet'!$B$14,Paramètres!$A$1:$I$88,3,0)*0.475*44/12</f>
        <v>0</v>
      </c>
      <c r="ED133" s="24">
        <f t="shared" si="126"/>
        <v>5.7215077855462528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69.151925505408897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projet'!$B$15,Paramètres!$A$1:$I$88,3,0)*0.475*44/12</f>
        <v>#N/A</v>
      </c>
      <c r="EW133" s="23" t="e">
        <f>EXP(-LN(2)/25)*EW132+(1-EXP(-LN(2)/25))/(LN(2)/25)*Calculateur!ER133*Calculateur!ET133*VLOOKUP('Données projet'!$B$15,Paramètres!$A$1:$I$88,3,0)*0.475*44/12</f>
        <v>#N/A</v>
      </c>
      <c r="EX133" s="23" t="e">
        <f>EXP(-LN(2)/2)*EX132+(1-EXP(-LN(2)/2))/(LN(2)/2)*ER133*EU133*VLOOKUP('Données projet'!$B$15,Paramètres!$A$1:$I$88,3,0)*0.475*44/12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69.151925505408897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projet'!$B$16,Paramètres!$A$1:$I$88,3,0)*0.475*44/12</f>
        <v>#N/A</v>
      </c>
      <c r="FR133" s="23" t="e">
        <f>EXP(-LN(2)/25)*FR132+(1-EXP(-LN(2)/25))/(LN(2)/25)*Calculateur!FM133*Calculateur!FO133*VLOOKUP('Données projet'!$B$16,Paramètres!$A$1:$I$88,3,0)*0.475*44/12</f>
        <v>#N/A</v>
      </c>
      <c r="FS133" s="23" t="e">
        <f>EXP(-LN(2)/2)*FS132+(1-EXP(-LN(2)/2))/(LN(2)/2)*FM133*FP133*VLOOKUP('Données projet'!$B$16,Paramètres!$A$1:$I$88,3,0)*0.475*44/12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69.151925505408897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projet'!$B$17,Paramètres!$A$1:$I$88,3,0)*0.475*44/12</f>
        <v>#N/A</v>
      </c>
      <c r="GM133" s="23" t="e">
        <f>EXP(-LN(2)/25)*GM132+(1-EXP(-LN(2)/25))/(LN(2)/25)*Calculateur!GH133*Calculateur!GJ133*VLOOKUP('Données projet'!$B$17,Paramètres!$A$1:$I$88,3,0)*0.475*44/12</f>
        <v>#N/A</v>
      </c>
      <c r="GN133" s="23" t="e">
        <f>EXP(-LN(2)/2)*GN132+(1-EXP(-LN(2)/2))/(LN(2)/2)*GH133*GK133*VLOOKUP('Données projet'!$B$17,Paramètres!$A$1:$I$88,3,0)*0.475*44/12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69.151925505408897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projet'!$B$18,Paramètres!$A$1:$I$88,3,0)*0.475*44/12</f>
        <v>#N/A</v>
      </c>
      <c r="HH133" s="23" t="e">
        <f>EXP(-LN(2)/25)*HH132+(1-EXP(-LN(2)/25))/(LN(2)/25)*Calculateur!HC133*Calculateur!HE133*VLOOKUP('Données projet'!$B$18,Paramètres!$A$1:$I$88,3,0)*0.475*44/12</f>
        <v>#N/A</v>
      </c>
      <c r="HI133" s="23" t="e">
        <f>EXP(-LN(2)/2)*HI132+(1-EXP(-LN(2)/2))/(LN(2)/2)*HC133*HF133*VLOOKUP('Données projet'!$B$18,Paramètres!$A$1:$I$88,3,0)*0.475*44/12</f>
        <v>#N/A</v>
      </c>
      <c r="HJ133" s="24" t="e">
        <f t="shared" si="138"/>
        <v>#N/A</v>
      </c>
    </row>
    <row r="134" spans="1:218" s="5" customFormat="1" x14ac:dyDescent="0.2">
      <c r="A134" s="11">
        <f t="shared" si="139"/>
        <v>131</v>
      </c>
      <c r="B134" s="77">
        <f>'Scénario référence'!$B$16*5+'Scénario référence'!$B$17*0+'Scénario référence'!$B$18*5</f>
        <v>1.6500000000000001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6.0500000000000007</v>
      </c>
      <c r="H134" s="70">
        <f t="shared" si="110"/>
        <v>232.4666666666667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69.166637701879523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projet'!$B$9,Paramètres!$A$1:$I$88,3,0)*VLOOKUP('Données projet'!$B$9,Paramètres!$A$1:$I$88,5,0)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290.27767157356027</v>
      </c>
      <c r="S134" s="62">
        <f ca="1">AVERAGE(OFFSET($R$3,0,0,'Données projet'!$E$9+1,1))-AVERAGE(OFFSET($H$3,0,0,'Données projet'!$E$9+1,1))</f>
        <v>354.71367224254021</v>
      </c>
      <c r="T134" s="62">
        <f t="shared" si="142"/>
        <v>490.074370133397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42.461395744340159</v>
      </c>
      <c r="AA134" s="23">
        <f>EXP(-LN(2)/25)*AA133+(1-EXP(-LN(2)/25))/(LN(2)/25)*Calculateur!V134*Calculateur!X134*VLOOKUP('Données projet'!$B$9,Paramètres!$A$1:$I$88,3,0)*0.475*44/12</f>
        <v>5.1740291717336762</v>
      </c>
      <c r="AB134" s="23">
        <f>EXP(-LN(2)/2)*AB133+(1-EXP(-LN(2)/2))/(LN(2)/2)*V134*Y134*VLOOKUP('Données projet'!$B$9,Paramètres!$A$1:$I$88,3,0)*0.475*44/12</f>
        <v>1.1714098024480066E-11</v>
      </c>
      <c r="AC134" s="24">
        <f t="shared" si="111"/>
        <v>47.635424916085555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69.166637701879523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2.2737367544323206E-13</v>
      </c>
      <c r="AJ134" s="14">
        <f>AI134*VLOOKUP('Données projet'!$B$10,Paramètres!$A$1:$I$88,3,0)*VLOOKUP('Données projet'!$B$10,Paramètres!$A$1:$I$88,5,0)</f>
        <v>1.3596945791505279E-13</v>
      </c>
      <c r="AK134" s="14">
        <f t="shared" si="143"/>
        <v>1.9708830566360721E-12</v>
      </c>
      <c r="AL134" s="22">
        <f t="shared" si="112"/>
        <v>3.669434796176543E-12</v>
      </c>
      <c r="AM134" s="62">
        <f t="shared" si="113"/>
        <v>290.27767157356197</v>
      </c>
      <c r="AN134" s="62">
        <f ca="1">AVERAGE(OFFSET($AM$3,0,0,'Données projet'!$E$10+1,1))-AVERAGE(OFFSET($H$3,0,0,'Données projet'!$E$10+1,1))</f>
        <v>264.73276096087574</v>
      </c>
      <c r="AO134" s="62">
        <f t="shared" si="144"/>
        <v>381.84464918049662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projet'!$B$10,Paramètres!$A$1:$I$88,3,0)*0.475*44/12</f>
        <v>29.778446647857447</v>
      </c>
      <c r="AV134" s="23">
        <f>EXP(-LN(2)/25)*AV133+(1-EXP(-LN(2)/25))/(LN(2)/25)*Calculateur!AQ134*Calculateur!AS134*VLOOKUP('Données projet'!$B$10,Paramètres!$A$1:$I$88,3,0)*0.475*44/12</f>
        <v>3.6349219135941806</v>
      </c>
      <c r="AW134" s="23">
        <f>EXP(-LN(2)/2)*AW133+(1-EXP(-LN(2)/2))/(LN(2)/2)*AQ134*AT134*VLOOKUP('Données projet'!$B$10,Paramètres!$A$1:$I$88,3,0)*0.475*44/12</f>
        <v>8.2023084986724248E-12</v>
      </c>
      <c r="AX134" s="23">
        <f t="shared" si="114"/>
        <v>33.413368561459826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69.166637701879523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-2.8421709430404007E-13</v>
      </c>
      <c r="BE134" s="14">
        <f>BD134*VLOOKUP('Données projet'!$B$11,Paramètres!$A$1:$I$88,3,0)*VLOOKUP('Données projet'!$B$11,Paramètres!$A$1:$I$88,5,0)</f>
        <v>-3.2366642699344083E-13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470.57532875732056</v>
      </c>
      <c r="BJ134" s="62">
        <f t="shared" si="146"/>
        <v>286.63787681165888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projet'!$B$11,Paramètres!$A$1:$I$88,3,0)*0.475*44/12</f>
        <v>130.62320249770792</v>
      </c>
      <c r="BQ134" s="23">
        <f>EXP(-LN(2)/25)*BQ133+(1-EXP(-LN(2)/25))/(LN(2)/25)*Calculateur!BL134*Calculateur!BN134*VLOOKUP('Données projet'!$B$11,Paramètres!$A$1:$I$88,3,0)*0.475*44/12</f>
        <v>0</v>
      </c>
      <c r="BR134" s="23">
        <f>EXP(-LN(2)/2)*BR133+(1-EXP(-LN(2)/2))/(LN(2)/2)*BL134*BO134*VLOOKUP('Données projet'!$B$11,Paramètres!$A$1:$I$88,3,0)*0.475*44/12</f>
        <v>0</v>
      </c>
      <c r="BS134" s="24">
        <f t="shared" si="117"/>
        <v>130.62320249770792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69.166637701879523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-2.2737367544323206E-13</v>
      </c>
      <c r="BZ134" s="14">
        <f>BY134*VLOOKUP('Données projet'!$B$12,Paramètres!$A$1:$I$88,3,0)*VLOOKUP('Données projet'!$B$12,Paramètres!$A$1:$I$88,5,0)</f>
        <v>-1.4897523215040565E-13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305.38855494899906</v>
      </c>
      <c r="CE134" s="62">
        <f t="shared" si="148"/>
        <v>298.48106301229177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projet'!$B$12,Paramètres!$A$1:$I$88,3,0)*0.475*44/12</f>
        <v>30.881351339269795</v>
      </c>
      <c r="CL134" s="23">
        <f>EXP(-LN(2)/25)*CL133+(1-EXP(-LN(2)/25))/(LN(2)/25)*Calculateur!CG134*Calculateur!CI134*VLOOKUP('Données projet'!$B$12,Paramètres!$A$1:$I$88,3,0)*0.475*44/12</f>
        <v>0</v>
      </c>
      <c r="CM134" s="23">
        <f>EXP(-LN(2)/2)*CM133+(1-EXP(-LN(2)/2))/(LN(2)/2)*CG134*CJ134*VLOOKUP('Données projet'!$B$12,Paramètres!$A$1:$I$88,3,0)*0.475*44/12</f>
        <v>0</v>
      </c>
      <c r="CN134" s="24">
        <f t="shared" si="120"/>
        <v>30.881351339269795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69.166637701879523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-2.2737367544323206E-13</v>
      </c>
      <c r="CU134" s="18">
        <f>CT134*VLOOKUP('Données projet'!$B$13,Paramètres!$A$1:$I$88,3,0)*VLOOKUP('Données projet'!$B$13,Paramètres!$A$1:$I$88,5,0)</f>
        <v>-1.8089849618263545E-13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361.30066984973894</v>
      </c>
      <c r="CZ134" s="62">
        <f t="shared" si="150"/>
        <v>351.78053157121622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projet'!$B$13,Paramètres!$A$1:$I$88,3,0)*0.475*44/12</f>
        <v>46.219431157279182</v>
      </c>
      <c r="DG134" s="23">
        <f>EXP(-LN(2)/25)*DG133+(1-EXP(-LN(2)/25))/(LN(2)/25)*Calculateur!DB134*Calculateur!DD134*VLOOKUP('Données projet'!$B$13,Paramètres!$A$1:$I$88,3,0)*0.475*44/12</f>
        <v>0</v>
      </c>
      <c r="DH134" s="23">
        <f>EXP(-LN(2)/2)*DH133+(1-EXP(-LN(2)/2))/(LN(2)/2)*DB134*DE134*VLOOKUP('Données projet'!$B$13,Paramètres!$A$1:$I$88,3,0)*0.475*44/12</f>
        <v>0</v>
      </c>
      <c r="DI134" s="24">
        <f t="shared" si="123"/>
        <v>46.219431157279182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69.166637701879523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>
        <f>DO134*VLOOKUP('Données projet'!$B$14,Paramètres!$A$1:$I$88,3,0)*VLOOKUP('Données projet'!$B$14,Paramètres!$A$1:$I$88,5,0)</f>
        <v>0</v>
      </c>
      <c r="DQ134" s="14" t="e">
        <f t="shared" si="151"/>
        <v>#NUM!</v>
      </c>
      <c r="DR134" s="22" t="e">
        <f t="shared" si="124"/>
        <v>#NUM!</v>
      </c>
      <c r="DS134" s="62" t="e">
        <f t="shared" si="125"/>
        <v>#NUM!</v>
      </c>
      <c r="DT134" s="62">
        <f ca="1">AVERAGE(OFFSET($DS$3,0,0,'Données projet'!$E$14+1,1))-AVERAGE(OFFSET($H$3,0,0,'Données projet'!$E$14+1,1))</f>
        <v>91.201152634762423</v>
      </c>
      <c r="DU134" s="62">
        <f t="shared" si="152"/>
        <v>233.36981992862445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projet'!$B$14,Paramètres!$A$1:$I$88,3,0)*0.475*44/12</f>
        <v>5.6093125076468535</v>
      </c>
      <c r="EB134" s="23">
        <f>EXP(-LN(2)/25)*EB133+(1-EXP(-LN(2)/25))/(LN(2)/25)*Calculateur!DW134*Calculateur!DY134*VLOOKUP('Données projet'!$B$14,Paramètres!$A$1:$I$88,3,0)*0.475*44/12</f>
        <v>0</v>
      </c>
      <c r="EC134" s="23">
        <f>EXP(-LN(2)/2)*EC133+(1-EXP(-LN(2)/2))/(LN(2)/2)*DW134*DZ134*VLOOKUP('Données projet'!$B$14,Paramètres!$A$1:$I$88,3,0)*0.475*44/12</f>
        <v>0</v>
      </c>
      <c r="ED134" s="24">
        <f t="shared" si="126"/>
        <v>5.6093125076468535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69.166637701879523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projet'!$B$15,Paramètres!$A$1:$I$88,3,0)*0.475*44/12</f>
        <v>#N/A</v>
      </c>
      <c r="EW134" s="23" t="e">
        <f>EXP(-LN(2)/25)*EW133+(1-EXP(-LN(2)/25))/(LN(2)/25)*Calculateur!ER134*Calculateur!ET134*VLOOKUP('Données projet'!$B$15,Paramètres!$A$1:$I$88,3,0)*0.475*44/12</f>
        <v>#N/A</v>
      </c>
      <c r="EX134" s="23" t="e">
        <f>EXP(-LN(2)/2)*EX133+(1-EXP(-LN(2)/2))/(LN(2)/2)*ER134*EU134*VLOOKUP('Données projet'!$B$15,Paramètres!$A$1:$I$88,3,0)*0.475*44/12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69.166637701879523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projet'!$B$16,Paramètres!$A$1:$I$88,3,0)*0.475*44/12</f>
        <v>#N/A</v>
      </c>
      <c r="FR134" s="23" t="e">
        <f>EXP(-LN(2)/25)*FR133+(1-EXP(-LN(2)/25))/(LN(2)/25)*Calculateur!FM134*Calculateur!FO134*VLOOKUP('Données projet'!$B$16,Paramètres!$A$1:$I$88,3,0)*0.475*44/12</f>
        <v>#N/A</v>
      </c>
      <c r="FS134" s="23" t="e">
        <f>EXP(-LN(2)/2)*FS133+(1-EXP(-LN(2)/2))/(LN(2)/2)*FM134*FP134*VLOOKUP('Données projet'!$B$16,Paramètres!$A$1:$I$88,3,0)*0.475*44/12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69.166637701879523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projet'!$B$17,Paramètres!$A$1:$I$88,3,0)*0.475*44/12</f>
        <v>#N/A</v>
      </c>
      <c r="GM134" s="23" t="e">
        <f>EXP(-LN(2)/25)*GM133+(1-EXP(-LN(2)/25))/(LN(2)/25)*Calculateur!GH134*Calculateur!GJ134*VLOOKUP('Données projet'!$B$17,Paramètres!$A$1:$I$88,3,0)*0.475*44/12</f>
        <v>#N/A</v>
      </c>
      <c r="GN134" s="23" t="e">
        <f>EXP(-LN(2)/2)*GN133+(1-EXP(-LN(2)/2))/(LN(2)/2)*GH134*GK134*VLOOKUP('Données projet'!$B$17,Paramètres!$A$1:$I$88,3,0)*0.475*44/12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69.166637701879523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projet'!$B$18,Paramètres!$A$1:$I$88,3,0)*0.475*44/12</f>
        <v>#N/A</v>
      </c>
      <c r="HH134" s="23" t="e">
        <f>EXP(-LN(2)/25)*HH133+(1-EXP(-LN(2)/25))/(LN(2)/25)*Calculateur!HC134*Calculateur!HE134*VLOOKUP('Données projet'!$B$18,Paramètres!$A$1:$I$88,3,0)*0.475*44/12</f>
        <v>#N/A</v>
      </c>
      <c r="HI134" s="23" t="e">
        <f>EXP(-LN(2)/2)*HI133+(1-EXP(-LN(2)/2))/(LN(2)/2)*HC134*HF134*VLOOKUP('Données projet'!$B$18,Paramètres!$A$1:$I$88,3,0)*0.475*44/12</f>
        <v>#N/A</v>
      </c>
      <c r="HJ134" s="24" t="e">
        <f t="shared" si="138"/>
        <v>#N/A</v>
      </c>
    </row>
    <row r="135" spans="1:218" s="5" customFormat="1" x14ac:dyDescent="0.2">
      <c r="A135" s="11">
        <f t="shared" si="139"/>
        <v>132</v>
      </c>
      <c r="B135" s="77">
        <f>'Scénario référence'!$B$16*5+'Scénario référence'!$B$17*0+'Scénario référence'!$B$18*5</f>
        <v>1.6500000000000001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6.0500000000000007</v>
      </c>
      <c r="H135" s="70">
        <f t="shared" si="110"/>
        <v>232.4666666666667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69.181094674632931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projet'!$B$9,Paramètres!$A$1:$I$88,3,0)*VLOOKUP('Données projet'!$B$9,Paramètres!$A$1:$I$88,5,0)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290.33068047365606</v>
      </c>
      <c r="S135" s="62">
        <f ca="1">AVERAGE(OFFSET($R$3,0,0,'Données projet'!$E$9+1,1))-AVERAGE(OFFSET($H$3,0,0,'Données projet'!$E$9+1,1))</f>
        <v>354.71367224254021</v>
      </c>
      <c r="T135" s="62">
        <f t="shared" si="142"/>
        <v>490.074370133397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41.628753672687751</v>
      </c>
      <c r="AA135" s="23">
        <f>EXP(-LN(2)/25)*AA134+(1-EXP(-LN(2)/25))/(LN(2)/25)*Calculateur!V135*Calculateur!X135*VLOOKUP('Données projet'!$B$9,Paramètres!$A$1:$I$88,3,0)*0.475*44/12</f>
        <v>5.0325450719422502</v>
      </c>
      <c r="AB135" s="23">
        <f>EXP(-LN(2)/2)*AB134+(1-EXP(-LN(2)/2))/(LN(2)/2)*V135*Y135*VLOOKUP('Données projet'!$B$9,Paramètres!$A$1:$I$88,3,0)*0.475*44/12</f>
        <v>8.2831181485937943E-12</v>
      </c>
      <c r="AC135" s="24">
        <f t="shared" si="111"/>
        <v>46.661298744638287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69.181094674632931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2.2737367544323206E-13</v>
      </c>
      <c r="AJ135" s="14">
        <f>AI135*VLOOKUP('Données projet'!$B$10,Paramètres!$A$1:$I$88,3,0)*VLOOKUP('Données projet'!$B$10,Paramètres!$A$1:$I$88,5,0)</f>
        <v>1.3596945791505279E-13</v>
      </c>
      <c r="AK135" s="14">
        <f t="shared" si="143"/>
        <v>1.9708830566360721E-12</v>
      </c>
      <c r="AL135" s="22">
        <f t="shared" si="112"/>
        <v>3.669434796176543E-12</v>
      </c>
      <c r="AM135" s="62">
        <f t="shared" si="113"/>
        <v>290.33068047365776</v>
      </c>
      <c r="AN135" s="62">
        <f ca="1">AVERAGE(OFFSET($AM$3,0,0,'Données projet'!$E$10+1,1))-AVERAGE(OFFSET($H$3,0,0,'Données projet'!$E$10+1,1))</f>
        <v>264.73276096087574</v>
      </c>
      <c r="AO135" s="62">
        <f t="shared" si="144"/>
        <v>381.84464918049662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projet'!$B$10,Paramètres!$A$1:$I$88,3,0)*0.475*44/12</f>
        <v>29.194509472151964</v>
      </c>
      <c r="AV135" s="23">
        <f>EXP(-LN(2)/25)*AV134+(1-EXP(-LN(2)/25))/(LN(2)/25)*Calculateur!AQ135*Calculateur!AS135*VLOOKUP('Données projet'!$B$10,Paramètres!$A$1:$I$88,3,0)*0.475*44/12</f>
        <v>3.5355247827147118</v>
      </c>
      <c r="AW135" s="23">
        <f>EXP(-LN(2)/2)*AW134+(1-EXP(-LN(2)/2))/(LN(2)/2)*AQ135*AT135*VLOOKUP('Données projet'!$B$10,Paramètres!$A$1:$I$88,3,0)*0.475*44/12</f>
        <v>5.7999079607953214E-12</v>
      </c>
      <c r="AX135" s="23">
        <f t="shared" si="114"/>
        <v>32.730034254872471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69.181094674632931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-2.8421709430404007E-13</v>
      </c>
      <c r="BE135" s="14">
        <f>BD135*VLOOKUP('Données projet'!$B$11,Paramètres!$A$1:$I$88,3,0)*VLOOKUP('Données projet'!$B$11,Paramètres!$A$1:$I$88,5,0)</f>
        <v>-3.2366642699344083E-13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470.57532875732056</v>
      </c>
      <c r="BJ135" s="62">
        <f t="shared" si="146"/>
        <v>286.63787681165888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projet'!$B$11,Paramètres!$A$1:$I$88,3,0)*0.475*44/12</f>
        <v>128.0617611690144</v>
      </c>
      <c r="BQ135" s="23">
        <f>EXP(-LN(2)/25)*BQ134+(1-EXP(-LN(2)/25))/(LN(2)/25)*Calculateur!BL135*Calculateur!BN135*VLOOKUP('Données projet'!$B$11,Paramètres!$A$1:$I$88,3,0)*0.475*44/12</f>
        <v>0</v>
      </c>
      <c r="BR135" s="23">
        <f>EXP(-LN(2)/2)*BR134+(1-EXP(-LN(2)/2))/(LN(2)/2)*BL135*BO135*VLOOKUP('Données projet'!$B$11,Paramètres!$A$1:$I$88,3,0)*0.475*44/12</f>
        <v>0</v>
      </c>
      <c r="BS135" s="24">
        <f t="shared" si="117"/>
        <v>128.0617611690144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69.181094674632931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-2.2737367544323206E-13</v>
      </c>
      <c r="BZ135" s="14">
        <f>BY135*VLOOKUP('Données projet'!$B$12,Paramètres!$A$1:$I$88,3,0)*VLOOKUP('Données projet'!$B$12,Paramètres!$A$1:$I$88,5,0)</f>
        <v>-1.4897523215040565E-13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305.38855494899906</v>
      </c>
      <c r="CE135" s="62">
        <f t="shared" si="148"/>
        <v>298.48106301229177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projet'!$B$12,Paramètres!$A$1:$I$88,3,0)*0.475*44/12</f>
        <v>30.275786875271155</v>
      </c>
      <c r="CL135" s="23">
        <f>EXP(-LN(2)/25)*CL134+(1-EXP(-LN(2)/25))/(LN(2)/25)*Calculateur!CG135*Calculateur!CI135*VLOOKUP('Données projet'!$B$12,Paramètres!$A$1:$I$88,3,0)*0.475*44/12</f>
        <v>0</v>
      </c>
      <c r="CM135" s="23">
        <f>EXP(-LN(2)/2)*CM134+(1-EXP(-LN(2)/2))/(LN(2)/2)*CG135*CJ135*VLOOKUP('Données projet'!$B$12,Paramètres!$A$1:$I$88,3,0)*0.475*44/12</f>
        <v>0</v>
      </c>
      <c r="CN135" s="24">
        <f t="shared" si="120"/>
        <v>30.275786875271155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69.181094674632931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-2.2737367544323206E-13</v>
      </c>
      <c r="CU135" s="18">
        <f>CT135*VLOOKUP('Données projet'!$B$13,Paramètres!$A$1:$I$88,3,0)*VLOOKUP('Données projet'!$B$13,Paramètres!$A$1:$I$88,5,0)</f>
        <v>-1.8089849618263545E-13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361.30066984973894</v>
      </c>
      <c r="CZ135" s="62">
        <f t="shared" si="150"/>
        <v>351.78053157121622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projet'!$B$13,Paramètres!$A$1:$I$88,3,0)*0.475*44/12</f>
        <v>45.313096303354307</v>
      </c>
      <c r="DG135" s="23">
        <f>EXP(-LN(2)/25)*DG134+(1-EXP(-LN(2)/25))/(LN(2)/25)*Calculateur!DB135*Calculateur!DD135*VLOOKUP('Données projet'!$B$13,Paramètres!$A$1:$I$88,3,0)*0.475*44/12</f>
        <v>0</v>
      </c>
      <c r="DH135" s="23">
        <f>EXP(-LN(2)/2)*DH134+(1-EXP(-LN(2)/2))/(LN(2)/2)*DB135*DE135*VLOOKUP('Données projet'!$B$13,Paramètres!$A$1:$I$88,3,0)*0.475*44/12</f>
        <v>0</v>
      </c>
      <c r="DI135" s="24">
        <f t="shared" si="123"/>
        <v>45.313096303354307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69.181094674632931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>
        <f>DO135*VLOOKUP('Données projet'!$B$14,Paramètres!$A$1:$I$88,3,0)*VLOOKUP('Données projet'!$B$14,Paramètres!$A$1:$I$88,5,0)</f>
        <v>0</v>
      </c>
      <c r="DQ135" s="14" t="e">
        <f t="shared" si="151"/>
        <v>#NUM!</v>
      </c>
      <c r="DR135" s="22" t="e">
        <f t="shared" si="124"/>
        <v>#NUM!</v>
      </c>
      <c r="DS135" s="62" t="e">
        <f t="shared" si="125"/>
        <v>#NUM!</v>
      </c>
      <c r="DT135" s="62">
        <f ca="1">AVERAGE(OFFSET($DS$3,0,0,'Données projet'!$E$14+1,1))-AVERAGE(OFFSET($H$3,0,0,'Données projet'!$E$14+1,1))</f>
        <v>91.201152634762423</v>
      </c>
      <c r="DU135" s="62">
        <f t="shared" si="152"/>
        <v>233.36981992862445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projet'!$B$14,Paramètres!$A$1:$I$88,3,0)*0.475*44/12</f>
        <v>5.4993173107146989</v>
      </c>
      <c r="EB135" s="23">
        <f>EXP(-LN(2)/25)*EB134+(1-EXP(-LN(2)/25))/(LN(2)/25)*Calculateur!DW135*Calculateur!DY135*VLOOKUP('Données projet'!$B$14,Paramètres!$A$1:$I$88,3,0)*0.475*44/12</f>
        <v>0</v>
      </c>
      <c r="EC135" s="23">
        <f>EXP(-LN(2)/2)*EC134+(1-EXP(-LN(2)/2))/(LN(2)/2)*DW135*DZ135*VLOOKUP('Données projet'!$B$14,Paramètres!$A$1:$I$88,3,0)*0.475*44/12</f>
        <v>0</v>
      </c>
      <c r="ED135" s="24">
        <f t="shared" si="126"/>
        <v>5.4993173107146989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69.181094674632931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projet'!$B$15,Paramètres!$A$1:$I$88,3,0)*0.475*44/12</f>
        <v>#N/A</v>
      </c>
      <c r="EW135" s="23" t="e">
        <f>EXP(-LN(2)/25)*EW134+(1-EXP(-LN(2)/25))/(LN(2)/25)*Calculateur!ER135*Calculateur!ET135*VLOOKUP('Données projet'!$B$15,Paramètres!$A$1:$I$88,3,0)*0.475*44/12</f>
        <v>#N/A</v>
      </c>
      <c r="EX135" s="23" t="e">
        <f>EXP(-LN(2)/2)*EX134+(1-EXP(-LN(2)/2))/(LN(2)/2)*ER135*EU135*VLOOKUP('Données projet'!$B$15,Paramètres!$A$1:$I$88,3,0)*0.475*44/12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69.181094674632931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projet'!$B$16,Paramètres!$A$1:$I$88,3,0)*0.475*44/12</f>
        <v>#N/A</v>
      </c>
      <c r="FR135" s="23" t="e">
        <f>EXP(-LN(2)/25)*FR134+(1-EXP(-LN(2)/25))/(LN(2)/25)*Calculateur!FM135*Calculateur!FO135*VLOOKUP('Données projet'!$B$16,Paramètres!$A$1:$I$88,3,0)*0.475*44/12</f>
        <v>#N/A</v>
      </c>
      <c r="FS135" s="23" t="e">
        <f>EXP(-LN(2)/2)*FS134+(1-EXP(-LN(2)/2))/(LN(2)/2)*FM135*FP135*VLOOKUP('Données projet'!$B$16,Paramètres!$A$1:$I$88,3,0)*0.475*44/12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69.181094674632931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projet'!$B$17,Paramètres!$A$1:$I$88,3,0)*0.475*44/12</f>
        <v>#N/A</v>
      </c>
      <c r="GM135" s="23" t="e">
        <f>EXP(-LN(2)/25)*GM134+(1-EXP(-LN(2)/25))/(LN(2)/25)*Calculateur!GH135*Calculateur!GJ135*VLOOKUP('Données projet'!$B$17,Paramètres!$A$1:$I$88,3,0)*0.475*44/12</f>
        <v>#N/A</v>
      </c>
      <c r="GN135" s="23" t="e">
        <f>EXP(-LN(2)/2)*GN134+(1-EXP(-LN(2)/2))/(LN(2)/2)*GH135*GK135*VLOOKUP('Données projet'!$B$17,Paramètres!$A$1:$I$88,3,0)*0.475*44/12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69.181094674632931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projet'!$B$18,Paramètres!$A$1:$I$88,3,0)*0.475*44/12</f>
        <v>#N/A</v>
      </c>
      <c r="HH135" s="23" t="e">
        <f>EXP(-LN(2)/25)*HH134+(1-EXP(-LN(2)/25))/(LN(2)/25)*Calculateur!HC135*Calculateur!HE135*VLOOKUP('Données projet'!$B$18,Paramètres!$A$1:$I$88,3,0)*0.475*44/12</f>
        <v>#N/A</v>
      </c>
      <c r="HI135" s="23" t="e">
        <f>EXP(-LN(2)/2)*HI134+(1-EXP(-LN(2)/2))/(LN(2)/2)*HC135*HF135*VLOOKUP('Données projet'!$B$18,Paramètres!$A$1:$I$88,3,0)*0.475*44/12</f>
        <v>#N/A</v>
      </c>
      <c r="HJ135" s="24" t="e">
        <f t="shared" si="138"/>
        <v>#N/A</v>
      </c>
    </row>
    <row r="136" spans="1:218" s="5" customFormat="1" x14ac:dyDescent="0.2">
      <c r="A136" s="11">
        <f t="shared" si="139"/>
        <v>133</v>
      </c>
      <c r="B136" s="77">
        <f>'Scénario référence'!$B$16*5+'Scénario référence'!$B$17*0+'Scénario référence'!$B$18*5</f>
        <v>1.6500000000000001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6.0500000000000007</v>
      </c>
      <c r="H136" s="70">
        <f t="shared" si="110"/>
        <v>232.4666666666667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69.195300851230016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projet'!$B$9,Paramètres!$A$1:$I$88,3,0)*VLOOKUP('Données projet'!$B$9,Paramètres!$A$1:$I$88,5,0)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290.3827697878454</v>
      </c>
      <c r="S136" s="62">
        <f ca="1">AVERAGE(OFFSET($R$3,0,0,'Données projet'!$E$9+1,1))-AVERAGE(OFFSET($H$3,0,0,'Données projet'!$E$9+1,1))</f>
        <v>354.71367224254021</v>
      </c>
      <c r="T136" s="62">
        <f t="shared" si="142"/>
        <v>490.074370133397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40.812439204198931</v>
      </c>
      <c r="AA136" s="23">
        <f>EXP(-LN(2)/25)*AA135+(1-EXP(-LN(2)/25))/(LN(2)/25)*Calculateur!V136*Calculateur!X136*VLOOKUP('Données projet'!$B$9,Paramètres!$A$1:$I$88,3,0)*0.475*44/12</f>
        <v>4.8949298622999464</v>
      </c>
      <c r="AB136" s="23">
        <f>EXP(-LN(2)/2)*AB135+(1-EXP(-LN(2)/2))/(LN(2)/2)*V136*Y136*VLOOKUP('Données projet'!$B$9,Paramètres!$A$1:$I$88,3,0)*0.475*44/12</f>
        <v>5.8570490122400328E-12</v>
      </c>
      <c r="AC136" s="24">
        <f t="shared" si="111"/>
        <v>45.707369066504732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69.195300851230016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2.2737367544323206E-13</v>
      </c>
      <c r="AJ136" s="14">
        <f>AI136*VLOOKUP('Données projet'!$B$10,Paramètres!$A$1:$I$88,3,0)*VLOOKUP('Données projet'!$B$10,Paramètres!$A$1:$I$88,5,0)</f>
        <v>1.3596945791505279E-13</v>
      </c>
      <c r="AK136" s="14">
        <f t="shared" si="143"/>
        <v>1.9708830566360721E-12</v>
      </c>
      <c r="AL136" s="22">
        <f t="shared" si="112"/>
        <v>3.669434796176543E-12</v>
      </c>
      <c r="AM136" s="62">
        <f t="shared" si="113"/>
        <v>290.38276978784711</v>
      </c>
      <c r="AN136" s="62">
        <f ca="1">AVERAGE(OFFSET($AM$3,0,0,'Données projet'!$E$10+1,1))-AVERAGE(OFFSET($H$3,0,0,'Données projet'!$E$10+1,1))</f>
        <v>264.73276096087574</v>
      </c>
      <c r="AO136" s="62">
        <f t="shared" si="144"/>
        <v>381.84464918049662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projet'!$B$10,Paramètres!$A$1:$I$88,3,0)*0.475*44/12</f>
        <v>28.622022948295559</v>
      </c>
      <c r="AV136" s="23">
        <f>EXP(-LN(2)/25)*AV135+(1-EXP(-LN(2)/25))/(LN(2)/25)*Calculateur!AQ136*Calculateur!AS136*VLOOKUP('Données projet'!$B$10,Paramètres!$A$1:$I$88,3,0)*0.475*44/12</f>
        <v>3.4388456716062104</v>
      </c>
      <c r="AW136" s="23">
        <f>EXP(-LN(2)/2)*AW135+(1-EXP(-LN(2)/2))/(LN(2)/2)*AQ136*AT136*VLOOKUP('Données projet'!$B$10,Paramètres!$A$1:$I$88,3,0)*0.475*44/12</f>
        <v>4.1011542493362124E-12</v>
      </c>
      <c r="AX136" s="23">
        <f t="shared" si="114"/>
        <v>32.060868619905868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69.195300851230016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-2.8421709430404007E-13</v>
      </c>
      <c r="BE136" s="14">
        <f>BD136*VLOOKUP('Données projet'!$B$11,Paramètres!$A$1:$I$88,3,0)*VLOOKUP('Données projet'!$B$11,Paramètres!$A$1:$I$88,5,0)</f>
        <v>-3.2366642699344083E-13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470.57532875732056</v>
      </c>
      <c r="BJ136" s="62">
        <f t="shared" si="146"/>
        <v>286.63787681165888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projet'!$B$11,Paramètres!$A$1:$I$88,3,0)*0.475*44/12</f>
        <v>125.55054814245163</v>
      </c>
      <c r="BQ136" s="23">
        <f>EXP(-LN(2)/25)*BQ135+(1-EXP(-LN(2)/25))/(LN(2)/25)*Calculateur!BL136*Calculateur!BN136*VLOOKUP('Données projet'!$B$11,Paramètres!$A$1:$I$88,3,0)*0.475*44/12</f>
        <v>0</v>
      </c>
      <c r="BR136" s="23">
        <f>EXP(-LN(2)/2)*BR135+(1-EXP(-LN(2)/2))/(LN(2)/2)*BL136*BO136*VLOOKUP('Données projet'!$B$11,Paramètres!$A$1:$I$88,3,0)*0.475*44/12</f>
        <v>0</v>
      </c>
      <c r="BS136" s="24">
        <f t="shared" si="117"/>
        <v>125.55054814245163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69.195300851230016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-2.2737367544323206E-13</v>
      </c>
      <c r="BZ136" s="14">
        <f>BY136*VLOOKUP('Données projet'!$B$12,Paramètres!$A$1:$I$88,3,0)*VLOOKUP('Données projet'!$B$12,Paramètres!$A$1:$I$88,5,0)</f>
        <v>-1.4897523215040565E-13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305.38855494899906</v>
      </c>
      <c r="CE136" s="62">
        <f t="shared" si="148"/>
        <v>298.48106301229177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projet'!$B$12,Paramètres!$A$1:$I$88,3,0)*0.475*44/12</f>
        <v>29.682097161053676</v>
      </c>
      <c r="CL136" s="23">
        <f>EXP(-LN(2)/25)*CL135+(1-EXP(-LN(2)/25))/(LN(2)/25)*Calculateur!CG136*Calculateur!CI136*VLOOKUP('Données projet'!$B$12,Paramètres!$A$1:$I$88,3,0)*0.475*44/12</f>
        <v>0</v>
      </c>
      <c r="CM136" s="23">
        <f>EXP(-LN(2)/2)*CM135+(1-EXP(-LN(2)/2))/(LN(2)/2)*CG136*CJ136*VLOOKUP('Données projet'!$B$12,Paramètres!$A$1:$I$88,3,0)*0.475*44/12</f>
        <v>0</v>
      </c>
      <c r="CN136" s="24">
        <f t="shared" si="120"/>
        <v>29.682097161053676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69.195300851230016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-2.2737367544323206E-13</v>
      </c>
      <c r="CU136" s="18">
        <f>CT136*VLOOKUP('Données projet'!$B$13,Paramètres!$A$1:$I$88,3,0)*VLOOKUP('Données projet'!$B$13,Paramètres!$A$1:$I$88,5,0)</f>
        <v>-1.8089849618263545E-13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361.30066984973894</v>
      </c>
      <c r="CZ136" s="62">
        <f t="shared" si="150"/>
        <v>351.78053157121622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projet'!$B$13,Paramètres!$A$1:$I$88,3,0)*0.475*44/12</f>
        <v>44.424534123105225</v>
      </c>
      <c r="DG136" s="23">
        <f>EXP(-LN(2)/25)*DG135+(1-EXP(-LN(2)/25))/(LN(2)/25)*Calculateur!DB136*Calculateur!DD136*VLOOKUP('Données projet'!$B$13,Paramètres!$A$1:$I$88,3,0)*0.475*44/12</f>
        <v>0</v>
      </c>
      <c r="DH136" s="23">
        <f>EXP(-LN(2)/2)*DH135+(1-EXP(-LN(2)/2))/(LN(2)/2)*DB136*DE136*VLOOKUP('Données projet'!$B$13,Paramètres!$A$1:$I$88,3,0)*0.475*44/12</f>
        <v>0</v>
      </c>
      <c r="DI136" s="24">
        <f t="shared" si="123"/>
        <v>44.424534123105225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69.195300851230016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>
        <f>DO136*VLOOKUP('Données projet'!$B$14,Paramètres!$A$1:$I$88,3,0)*VLOOKUP('Données projet'!$B$14,Paramètres!$A$1:$I$88,5,0)</f>
        <v>0</v>
      </c>
      <c r="DQ136" s="14" t="e">
        <f t="shared" si="151"/>
        <v>#NUM!</v>
      </c>
      <c r="DR136" s="22" t="e">
        <f t="shared" si="124"/>
        <v>#NUM!</v>
      </c>
      <c r="DS136" s="62" t="e">
        <f t="shared" si="125"/>
        <v>#NUM!</v>
      </c>
      <c r="DT136" s="62">
        <f ca="1">AVERAGE(OFFSET($DS$3,0,0,'Données projet'!$E$14+1,1))-AVERAGE(OFFSET($H$3,0,0,'Données projet'!$E$14+1,1))</f>
        <v>91.201152634762423</v>
      </c>
      <c r="DU136" s="62">
        <f t="shared" si="152"/>
        <v>233.36981992862445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projet'!$B$14,Paramètres!$A$1:$I$88,3,0)*0.475*44/12</f>
        <v>5.3914790525039384</v>
      </c>
      <c r="EB136" s="23">
        <f>EXP(-LN(2)/25)*EB135+(1-EXP(-LN(2)/25))/(LN(2)/25)*Calculateur!DW136*Calculateur!DY136*VLOOKUP('Données projet'!$B$14,Paramètres!$A$1:$I$88,3,0)*0.475*44/12</f>
        <v>0</v>
      </c>
      <c r="EC136" s="23">
        <f>EXP(-LN(2)/2)*EC135+(1-EXP(-LN(2)/2))/(LN(2)/2)*DW136*DZ136*VLOOKUP('Données projet'!$B$14,Paramètres!$A$1:$I$88,3,0)*0.475*44/12</f>
        <v>0</v>
      </c>
      <c r="ED136" s="24">
        <f t="shared" si="126"/>
        <v>5.3914790525039384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69.195300851230016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projet'!$B$15,Paramètres!$A$1:$I$88,3,0)*0.475*44/12</f>
        <v>#N/A</v>
      </c>
      <c r="EW136" s="23" t="e">
        <f>EXP(-LN(2)/25)*EW135+(1-EXP(-LN(2)/25))/(LN(2)/25)*Calculateur!ER136*Calculateur!ET136*VLOOKUP('Données projet'!$B$15,Paramètres!$A$1:$I$88,3,0)*0.475*44/12</f>
        <v>#N/A</v>
      </c>
      <c r="EX136" s="23" t="e">
        <f>EXP(-LN(2)/2)*EX135+(1-EXP(-LN(2)/2))/(LN(2)/2)*ER136*EU136*VLOOKUP('Données projet'!$B$15,Paramètres!$A$1:$I$88,3,0)*0.475*44/12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69.195300851230016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projet'!$B$16,Paramètres!$A$1:$I$88,3,0)*0.475*44/12</f>
        <v>#N/A</v>
      </c>
      <c r="FR136" s="23" t="e">
        <f>EXP(-LN(2)/25)*FR135+(1-EXP(-LN(2)/25))/(LN(2)/25)*Calculateur!FM136*Calculateur!FO136*VLOOKUP('Données projet'!$B$16,Paramètres!$A$1:$I$88,3,0)*0.475*44/12</f>
        <v>#N/A</v>
      </c>
      <c r="FS136" s="23" t="e">
        <f>EXP(-LN(2)/2)*FS135+(1-EXP(-LN(2)/2))/(LN(2)/2)*FM136*FP136*VLOOKUP('Données projet'!$B$16,Paramètres!$A$1:$I$88,3,0)*0.475*44/12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69.195300851230016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projet'!$B$17,Paramètres!$A$1:$I$88,3,0)*0.475*44/12</f>
        <v>#N/A</v>
      </c>
      <c r="GM136" s="23" t="e">
        <f>EXP(-LN(2)/25)*GM135+(1-EXP(-LN(2)/25))/(LN(2)/25)*Calculateur!GH136*Calculateur!GJ136*VLOOKUP('Données projet'!$B$17,Paramètres!$A$1:$I$88,3,0)*0.475*44/12</f>
        <v>#N/A</v>
      </c>
      <c r="GN136" s="23" t="e">
        <f>EXP(-LN(2)/2)*GN135+(1-EXP(-LN(2)/2))/(LN(2)/2)*GH136*GK136*VLOOKUP('Données projet'!$B$17,Paramètres!$A$1:$I$88,3,0)*0.475*44/12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69.195300851230016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projet'!$B$18,Paramètres!$A$1:$I$88,3,0)*0.475*44/12</f>
        <v>#N/A</v>
      </c>
      <c r="HH136" s="23" t="e">
        <f>EXP(-LN(2)/25)*HH135+(1-EXP(-LN(2)/25))/(LN(2)/25)*Calculateur!HC136*Calculateur!HE136*VLOOKUP('Données projet'!$B$18,Paramètres!$A$1:$I$88,3,0)*0.475*44/12</f>
        <v>#N/A</v>
      </c>
      <c r="HI136" s="23" t="e">
        <f>EXP(-LN(2)/2)*HI135+(1-EXP(-LN(2)/2))/(LN(2)/2)*HC136*HF136*VLOOKUP('Données projet'!$B$18,Paramètres!$A$1:$I$88,3,0)*0.475*44/12</f>
        <v>#N/A</v>
      </c>
      <c r="HJ136" s="24" t="e">
        <f t="shared" si="138"/>
        <v>#N/A</v>
      </c>
    </row>
    <row r="137" spans="1:218" s="5" customFormat="1" x14ac:dyDescent="0.2">
      <c r="A137" s="11">
        <f t="shared" si="139"/>
        <v>134</v>
      </c>
      <c r="B137" s="77">
        <f>'Scénario référence'!$B$16*5+'Scénario référence'!$B$17*0+'Scénario référence'!$B$18*5</f>
        <v>1.6500000000000001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6.0500000000000007</v>
      </c>
      <c r="H137" s="70">
        <f t="shared" si="110"/>
        <v>232.4666666666667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69.209260582423397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projet'!$B$9,Paramètres!$A$1:$I$88,3,0)*VLOOKUP('Données projet'!$B$9,Paramètres!$A$1:$I$88,5,0)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290.4339554688878</v>
      </c>
      <c r="S137" s="62">
        <f ca="1">AVERAGE(OFFSET($R$3,0,0,'Données projet'!$E$9+1,1))-AVERAGE(OFFSET($H$3,0,0,'Données projet'!$E$9+1,1))</f>
        <v>354.71367224254021</v>
      </c>
      <c r="T137" s="62">
        <f t="shared" si="142"/>
        <v>490.074370133397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40.012132164534513</v>
      </c>
      <c r="AA137" s="23">
        <f>EXP(-LN(2)/25)*AA136+(1-EXP(-LN(2)/25))/(LN(2)/25)*Calculateur!V137*Calculateur!X137*VLOOKUP('Données projet'!$B$9,Paramètres!$A$1:$I$88,3,0)*0.475*44/12</f>
        <v>4.7610777478021804</v>
      </c>
      <c r="AB137" s="23">
        <f>EXP(-LN(2)/2)*AB136+(1-EXP(-LN(2)/2))/(LN(2)/2)*V137*Y137*VLOOKUP('Données projet'!$B$9,Paramètres!$A$1:$I$88,3,0)*0.475*44/12</f>
        <v>4.1415590742968971E-12</v>
      </c>
      <c r="AC137" s="24">
        <f t="shared" si="111"/>
        <v>44.773209912340839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69.209260582423397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2.2737367544323206E-13</v>
      </c>
      <c r="AJ137" s="14">
        <f>AI137*VLOOKUP('Données projet'!$B$10,Paramètres!$A$1:$I$88,3,0)*VLOOKUP('Données projet'!$B$10,Paramètres!$A$1:$I$88,5,0)</f>
        <v>1.3596945791505279E-13</v>
      </c>
      <c r="AK137" s="14">
        <f t="shared" si="143"/>
        <v>1.9708830566360721E-12</v>
      </c>
      <c r="AL137" s="22">
        <f t="shared" si="112"/>
        <v>3.669434796176543E-12</v>
      </c>
      <c r="AM137" s="62">
        <f t="shared" si="113"/>
        <v>290.43395546888951</v>
      </c>
      <c r="AN137" s="62">
        <f ca="1">AVERAGE(OFFSET($AM$3,0,0,'Données projet'!$E$10+1,1))-AVERAGE(OFFSET($H$3,0,0,'Données projet'!$E$10+1,1))</f>
        <v>264.73276096087574</v>
      </c>
      <c r="AO137" s="62">
        <f t="shared" si="144"/>
        <v>381.84464918049662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projet'!$B$10,Paramètres!$A$1:$I$88,3,0)*0.475*44/12</f>
        <v>28.060762535989674</v>
      </c>
      <c r="AV137" s="23">
        <f>EXP(-LN(2)/25)*AV136+(1-EXP(-LN(2)/25))/(LN(2)/25)*Calculateur!AQ137*Calculateur!AS137*VLOOKUP('Données projet'!$B$10,Paramètres!$A$1:$I$88,3,0)*0.475*44/12</f>
        <v>3.3448102558751041</v>
      </c>
      <c r="AW137" s="23">
        <f>EXP(-LN(2)/2)*AW136+(1-EXP(-LN(2)/2))/(LN(2)/2)*AQ137*AT137*VLOOKUP('Données projet'!$B$10,Paramètres!$A$1:$I$88,3,0)*0.475*44/12</f>
        <v>2.8999539803976607E-12</v>
      </c>
      <c r="AX137" s="23">
        <f t="shared" si="114"/>
        <v>31.405572791867677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69.209260582423397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-2.8421709430404007E-13</v>
      </c>
      <c r="BE137" s="14">
        <f>BD137*VLOOKUP('Données projet'!$B$11,Paramètres!$A$1:$I$88,3,0)*VLOOKUP('Données projet'!$B$11,Paramètres!$A$1:$I$88,5,0)</f>
        <v>-3.2366642699344083E-13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470.57532875732056</v>
      </c>
      <c r="BJ137" s="62">
        <f t="shared" si="146"/>
        <v>286.63787681165888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projet'!$B$11,Paramètres!$A$1:$I$88,3,0)*0.475*44/12</f>
        <v>123.08857847165105</v>
      </c>
      <c r="BQ137" s="23">
        <f>EXP(-LN(2)/25)*BQ136+(1-EXP(-LN(2)/25))/(LN(2)/25)*Calculateur!BL137*Calculateur!BN137*VLOOKUP('Données projet'!$B$11,Paramètres!$A$1:$I$88,3,0)*0.475*44/12</f>
        <v>0</v>
      </c>
      <c r="BR137" s="23">
        <f>EXP(-LN(2)/2)*BR136+(1-EXP(-LN(2)/2))/(LN(2)/2)*BL137*BO137*VLOOKUP('Données projet'!$B$11,Paramètres!$A$1:$I$88,3,0)*0.475*44/12</f>
        <v>0</v>
      </c>
      <c r="BS137" s="24">
        <f t="shared" si="117"/>
        <v>123.08857847165105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69.209260582423397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-2.2737367544323206E-13</v>
      </c>
      <c r="BZ137" s="14">
        <f>BY137*VLOOKUP('Données projet'!$B$12,Paramètres!$A$1:$I$88,3,0)*VLOOKUP('Données projet'!$B$12,Paramètres!$A$1:$I$88,5,0)</f>
        <v>-1.4897523215040565E-13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305.38855494899906</v>
      </c>
      <c r="CE137" s="62">
        <f t="shared" si="148"/>
        <v>298.48106301229177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projet'!$B$12,Paramètres!$A$1:$I$88,3,0)*0.475*44/12</f>
        <v>29.10004934001703</v>
      </c>
      <c r="CL137" s="23">
        <f>EXP(-LN(2)/25)*CL136+(1-EXP(-LN(2)/25))/(LN(2)/25)*Calculateur!CG137*Calculateur!CI137*VLOOKUP('Données projet'!$B$12,Paramètres!$A$1:$I$88,3,0)*0.475*44/12</f>
        <v>0</v>
      </c>
      <c r="CM137" s="23">
        <f>EXP(-LN(2)/2)*CM136+(1-EXP(-LN(2)/2))/(LN(2)/2)*CG137*CJ137*VLOOKUP('Données projet'!$B$12,Paramètres!$A$1:$I$88,3,0)*0.475*44/12</f>
        <v>0</v>
      </c>
      <c r="CN137" s="24">
        <f t="shared" si="120"/>
        <v>29.10004934001703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69.209260582423397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-2.2737367544323206E-13</v>
      </c>
      <c r="CU137" s="18">
        <f>CT137*VLOOKUP('Données projet'!$B$13,Paramètres!$A$1:$I$88,3,0)*VLOOKUP('Données projet'!$B$13,Paramètres!$A$1:$I$88,5,0)</f>
        <v>-1.8089849618263545E-13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361.30066984973894</v>
      </c>
      <c r="CZ137" s="62">
        <f t="shared" si="150"/>
        <v>351.78053157121622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projet'!$B$13,Paramètres!$A$1:$I$88,3,0)*0.475*44/12</f>
        <v>43.553396105241411</v>
      </c>
      <c r="DG137" s="23">
        <f>EXP(-LN(2)/25)*DG136+(1-EXP(-LN(2)/25))/(LN(2)/25)*Calculateur!DB137*Calculateur!DD137*VLOOKUP('Données projet'!$B$13,Paramètres!$A$1:$I$88,3,0)*0.475*44/12</f>
        <v>0</v>
      </c>
      <c r="DH137" s="23">
        <f>EXP(-LN(2)/2)*DH136+(1-EXP(-LN(2)/2))/(LN(2)/2)*DB137*DE137*VLOOKUP('Données projet'!$B$13,Paramètres!$A$1:$I$88,3,0)*0.475*44/12</f>
        <v>0</v>
      </c>
      <c r="DI137" s="24">
        <f t="shared" si="123"/>
        <v>43.553396105241411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69.209260582423397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>
        <f>DO137*VLOOKUP('Données projet'!$B$14,Paramètres!$A$1:$I$88,3,0)*VLOOKUP('Données projet'!$B$14,Paramètres!$A$1:$I$88,5,0)</f>
        <v>0</v>
      </c>
      <c r="DQ137" s="14" t="e">
        <f t="shared" si="151"/>
        <v>#NUM!</v>
      </c>
      <c r="DR137" s="22" t="e">
        <f t="shared" si="124"/>
        <v>#NUM!</v>
      </c>
      <c r="DS137" s="62" t="e">
        <f t="shared" si="125"/>
        <v>#NUM!</v>
      </c>
      <c r="DT137" s="62">
        <f ca="1">AVERAGE(OFFSET($DS$3,0,0,'Données projet'!$E$14+1,1))-AVERAGE(OFFSET($H$3,0,0,'Données projet'!$E$14+1,1))</f>
        <v>91.201152634762423</v>
      </c>
      <c r="DU137" s="62">
        <f t="shared" si="152"/>
        <v>233.36981992862445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projet'!$B$14,Paramètres!$A$1:$I$88,3,0)*0.475*44/12</f>
        <v>5.285755436761848</v>
      </c>
      <c r="EB137" s="23">
        <f>EXP(-LN(2)/25)*EB136+(1-EXP(-LN(2)/25))/(LN(2)/25)*Calculateur!DW137*Calculateur!DY137*VLOOKUP('Données projet'!$B$14,Paramètres!$A$1:$I$88,3,0)*0.475*44/12</f>
        <v>0</v>
      </c>
      <c r="EC137" s="23">
        <f>EXP(-LN(2)/2)*EC136+(1-EXP(-LN(2)/2))/(LN(2)/2)*DW137*DZ137*VLOOKUP('Données projet'!$B$14,Paramètres!$A$1:$I$88,3,0)*0.475*44/12</f>
        <v>0</v>
      </c>
      <c r="ED137" s="24">
        <f t="shared" si="126"/>
        <v>5.285755436761848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69.209260582423397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projet'!$B$15,Paramètres!$A$1:$I$88,3,0)*0.475*44/12</f>
        <v>#N/A</v>
      </c>
      <c r="EW137" s="23" t="e">
        <f>EXP(-LN(2)/25)*EW136+(1-EXP(-LN(2)/25))/(LN(2)/25)*Calculateur!ER137*Calculateur!ET137*VLOOKUP('Données projet'!$B$15,Paramètres!$A$1:$I$88,3,0)*0.475*44/12</f>
        <v>#N/A</v>
      </c>
      <c r="EX137" s="23" t="e">
        <f>EXP(-LN(2)/2)*EX136+(1-EXP(-LN(2)/2))/(LN(2)/2)*ER137*EU137*VLOOKUP('Données projet'!$B$15,Paramètres!$A$1:$I$88,3,0)*0.475*44/12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69.209260582423397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projet'!$B$16,Paramètres!$A$1:$I$88,3,0)*0.475*44/12</f>
        <v>#N/A</v>
      </c>
      <c r="FR137" s="23" t="e">
        <f>EXP(-LN(2)/25)*FR136+(1-EXP(-LN(2)/25))/(LN(2)/25)*Calculateur!FM137*Calculateur!FO137*VLOOKUP('Données projet'!$B$16,Paramètres!$A$1:$I$88,3,0)*0.475*44/12</f>
        <v>#N/A</v>
      </c>
      <c r="FS137" s="23" t="e">
        <f>EXP(-LN(2)/2)*FS136+(1-EXP(-LN(2)/2))/(LN(2)/2)*FM137*FP137*VLOOKUP('Données projet'!$B$16,Paramètres!$A$1:$I$88,3,0)*0.475*44/12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69.209260582423397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projet'!$B$17,Paramètres!$A$1:$I$88,3,0)*0.475*44/12</f>
        <v>#N/A</v>
      </c>
      <c r="GM137" s="23" t="e">
        <f>EXP(-LN(2)/25)*GM136+(1-EXP(-LN(2)/25))/(LN(2)/25)*Calculateur!GH137*Calculateur!GJ137*VLOOKUP('Données projet'!$B$17,Paramètres!$A$1:$I$88,3,0)*0.475*44/12</f>
        <v>#N/A</v>
      </c>
      <c r="GN137" s="23" t="e">
        <f>EXP(-LN(2)/2)*GN136+(1-EXP(-LN(2)/2))/(LN(2)/2)*GH137*GK137*VLOOKUP('Données projet'!$B$17,Paramètres!$A$1:$I$88,3,0)*0.475*44/12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69.209260582423397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projet'!$B$18,Paramètres!$A$1:$I$88,3,0)*0.475*44/12</f>
        <v>#N/A</v>
      </c>
      <c r="HH137" s="23" t="e">
        <f>EXP(-LN(2)/25)*HH136+(1-EXP(-LN(2)/25))/(LN(2)/25)*Calculateur!HC137*Calculateur!HE137*VLOOKUP('Données projet'!$B$18,Paramètres!$A$1:$I$88,3,0)*0.475*44/12</f>
        <v>#N/A</v>
      </c>
      <c r="HI137" s="23" t="e">
        <f>EXP(-LN(2)/2)*HI136+(1-EXP(-LN(2)/2))/(LN(2)/2)*HC137*HF137*VLOOKUP('Données projet'!$B$18,Paramètres!$A$1:$I$88,3,0)*0.475*44/12</f>
        <v>#N/A</v>
      </c>
      <c r="HJ137" s="24" t="e">
        <f t="shared" si="138"/>
        <v>#N/A</v>
      </c>
    </row>
    <row r="138" spans="1:218" s="5" customFormat="1" x14ac:dyDescent="0.2">
      <c r="A138" s="11">
        <f t="shared" si="139"/>
        <v>135</v>
      </c>
      <c r="B138" s="77">
        <f>'Scénario référence'!$B$16*5+'Scénario référence'!$B$17*0+'Scénario référence'!$B$18*5</f>
        <v>1.6500000000000001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6.0500000000000007</v>
      </c>
      <c r="H138" s="70">
        <f t="shared" si="110"/>
        <v>232.4666666666667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69.222978143489854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projet'!$B$9,Paramètres!$A$1:$I$88,3,0)*VLOOKUP('Données projet'!$B$9,Paramètres!$A$1:$I$88,5,0)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290.48425319279812</v>
      </c>
      <c r="S138" s="62">
        <f ca="1">AVERAGE(OFFSET($R$3,0,0,'Données projet'!$E$9+1,1))-AVERAGE(OFFSET($H$3,0,0,'Données projet'!$E$9+1,1))</f>
        <v>354.71367224254021</v>
      </c>
      <c r="T138" s="62">
        <f t="shared" si="142"/>
        <v>490.074370133397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39.227518657778816</v>
      </c>
      <c r="AA138" s="23">
        <f>EXP(-LN(2)/25)*AA137+(1-EXP(-LN(2)/25))/(LN(2)/25)*Calculateur!V138*Calculateur!X138*VLOOKUP('Données projet'!$B$9,Paramètres!$A$1:$I$88,3,0)*0.475*44/12</f>
        <v>4.6308858264143327</v>
      </c>
      <c r="AB138" s="23">
        <f>EXP(-LN(2)/2)*AB137+(1-EXP(-LN(2)/2))/(LN(2)/2)*V138*Y138*VLOOKUP('Données projet'!$B$9,Paramètres!$A$1:$I$88,3,0)*0.475*44/12</f>
        <v>2.9285245061200164E-12</v>
      </c>
      <c r="AC138" s="24">
        <f t="shared" si="111"/>
        <v>43.858404484196079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69.222978143489854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2.2737367544323206E-13</v>
      </c>
      <c r="AJ138" s="14">
        <f>AI138*VLOOKUP('Données projet'!$B$10,Paramètres!$A$1:$I$88,3,0)*VLOOKUP('Données projet'!$B$10,Paramètres!$A$1:$I$88,5,0)</f>
        <v>1.3596945791505279E-13</v>
      </c>
      <c r="AK138" s="14">
        <f t="shared" si="143"/>
        <v>1.9708830566360721E-12</v>
      </c>
      <c r="AL138" s="22">
        <f t="shared" si="112"/>
        <v>3.669434796176543E-12</v>
      </c>
      <c r="AM138" s="62">
        <f t="shared" si="113"/>
        <v>290.48425319279983</v>
      </c>
      <c r="AN138" s="62">
        <f ca="1">AVERAGE(OFFSET($AM$3,0,0,'Données projet'!$E$10+1,1))-AVERAGE(OFFSET($H$3,0,0,'Données projet'!$E$10+1,1))</f>
        <v>264.73276096087574</v>
      </c>
      <c r="AO138" s="62">
        <f t="shared" si="144"/>
        <v>381.84464918049662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projet'!$B$10,Paramètres!$A$1:$I$88,3,0)*0.475*44/12</f>
        <v>27.510508098034062</v>
      </c>
      <c r="AV138" s="23">
        <f>EXP(-LN(2)/25)*AV137+(1-EXP(-LN(2)/25))/(LN(2)/25)*Calculateur!AQ138*Calculateur!AS138*VLOOKUP('Données projet'!$B$10,Paramètres!$A$1:$I$88,3,0)*0.475*44/12</f>
        <v>3.2533462435322726</v>
      </c>
      <c r="AW138" s="23">
        <f>EXP(-LN(2)/2)*AW137+(1-EXP(-LN(2)/2))/(LN(2)/2)*AQ138*AT138*VLOOKUP('Données projet'!$B$10,Paramètres!$A$1:$I$88,3,0)*0.475*44/12</f>
        <v>2.0505771246681062E-12</v>
      </c>
      <c r="AX138" s="23">
        <f t="shared" si="114"/>
        <v>30.763854341568386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69.222978143489854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-2.8421709430404007E-13</v>
      </c>
      <c r="BE138" s="14">
        <f>BD138*VLOOKUP('Données projet'!$B$11,Paramètres!$A$1:$I$88,3,0)*VLOOKUP('Données projet'!$B$11,Paramètres!$A$1:$I$88,5,0)</f>
        <v>-3.2366642699344083E-13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470.57532875732056</v>
      </c>
      <c r="BJ138" s="62">
        <f t="shared" si="146"/>
        <v>286.63787681165888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projet'!$B$11,Paramètres!$A$1:$I$88,3,0)*0.475*44/12</f>
        <v>120.67488652444163</v>
      </c>
      <c r="BQ138" s="23">
        <f>EXP(-LN(2)/25)*BQ137+(1-EXP(-LN(2)/25))/(LN(2)/25)*Calculateur!BL138*Calculateur!BN138*VLOOKUP('Données projet'!$B$11,Paramètres!$A$1:$I$88,3,0)*0.475*44/12</f>
        <v>0</v>
      </c>
      <c r="BR138" s="23">
        <f>EXP(-LN(2)/2)*BR137+(1-EXP(-LN(2)/2))/(LN(2)/2)*BL138*BO138*VLOOKUP('Données projet'!$B$11,Paramètres!$A$1:$I$88,3,0)*0.475*44/12</f>
        <v>0</v>
      </c>
      <c r="BS138" s="24">
        <f t="shared" si="117"/>
        <v>120.67488652444163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69.222978143489854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-2.2737367544323206E-13</v>
      </c>
      <c r="BZ138" s="14">
        <f>BY138*VLOOKUP('Données projet'!$B$12,Paramètres!$A$1:$I$88,3,0)*VLOOKUP('Données projet'!$B$12,Paramètres!$A$1:$I$88,5,0)</f>
        <v>-1.4897523215040565E-13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305.38855494899906</v>
      </c>
      <c r="CE138" s="62">
        <f t="shared" si="148"/>
        <v>298.48106301229177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projet'!$B$12,Paramètres!$A$1:$I$88,3,0)*0.475*44/12</f>
        <v>28.529415121736797</v>
      </c>
      <c r="CL138" s="23">
        <f>EXP(-LN(2)/25)*CL137+(1-EXP(-LN(2)/25))/(LN(2)/25)*Calculateur!CG138*Calculateur!CI138*VLOOKUP('Données projet'!$B$12,Paramètres!$A$1:$I$88,3,0)*0.475*44/12</f>
        <v>0</v>
      </c>
      <c r="CM138" s="23">
        <f>EXP(-LN(2)/2)*CM137+(1-EXP(-LN(2)/2))/(LN(2)/2)*CG138*CJ138*VLOOKUP('Données projet'!$B$12,Paramètres!$A$1:$I$88,3,0)*0.475*44/12</f>
        <v>0</v>
      </c>
      <c r="CN138" s="24">
        <f t="shared" si="120"/>
        <v>28.529415121736797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69.222978143489854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-2.2737367544323206E-13</v>
      </c>
      <c r="CU138" s="18">
        <f>CT138*VLOOKUP('Données projet'!$B$13,Paramètres!$A$1:$I$88,3,0)*VLOOKUP('Données projet'!$B$13,Paramètres!$A$1:$I$88,5,0)</f>
        <v>-1.8089849618263545E-13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361.30066984973894</v>
      </c>
      <c r="CZ138" s="62">
        <f t="shared" si="150"/>
        <v>351.78053157121622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projet'!$B$13,Paramètres!$A$1:$I$88,3,0)*0.475*44/12</f>
        <v>42.699340572566179</v>
      </c>
      <c r="DG138" s="23">
        <f>EXP(-LN(2)/25)*DG137+(1-EXP(-LN(2)/25))/(LN(2)/25)*Calculateur!DB138*Calculateur!DD138*VLOOKUP('Données projet'!$B$13,Paramètres!$A$1:$I$88,3,0)*0.475*44/12</f>
        <v>0</v>
      </c>
      <c r="DH138" s="23">
        <f>EXP(-LN(2)/2)*DH137+(1-EXP(-LN(2)/2))/(LN(2)/2)*DB138*DE138*VLOOKUP('Données projet'!$B$13,Paramètres!$A$1:$I$88,3,0)*0.475*44/12</f>
        <v>0</v>
      </c>
      <c r="DI138" s="24">
        <f t="shared" si="123"/>
        <v>42.699340572566179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69.222978143489854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>
        <f>DO138*VLOOKUP('Données projet'!$B$14,Paramètres!$A$1:$I$88,3,0)*VLOOKUP('Données projet'!$B$14,Paramètres!$A$1:$I$88,5,0)</f>
        <v>0</v>
      </c>
      <c r="DQ138" s="14" t="e">
        <f t="shared" si="151"/>
        <v>#NUM!</v>
      </c>
      <c r="DR138" s="22" t="e">
        <f t="shared" si="124"/>
        <v>#NUM!</v>
      </c>
      <c r="DS138" s="62" t="e">
        <f t="shared" si="125"/>
        <v>#NUM!</v>
      </c>
      <c r="DT138" s="62">
        <f ca="1">AVERAGE(OFFSET($DS$3,0,0,'Données projet'!$E$14+1,1))-AVERAGE(OFFSET($H$3,0,0,'Données projet'!$E$14+1,1))</f>
        <v>91.201152634762423</v>
      </c>
      <c r="DU138" s="62">
        <f t="shared" si="152"/>
        <v>233.36981992862445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projet'!$B$14,Paramètres!$A$1:$I$88,3,0)*0.475*44/12</f>
        <v>5.1821049966394215</v>
      </c>
      <c r="EB138" s="23">
        <f>EXP(-LN(2)/25)*EB137+(1-EXP(-LN(2)/25))/(LN(2)/25)*Calculateur!DW138*Calculateur!DY138*VLOOKUP('Données projet'!$B$14,Paramètres!$A$1:$I$88,3,0)*0.475*44/12</f>
        <v>0</v>
      </c>
      <c r="EC138" s="23">
        <f>EXP(-LN(2)/2)*EC137+(1-EXP(-LN(2)/2))/(LN(2)/2)*DW138*DZ138*VLOOKUP('Données projet'!$B$14,Paramètres!$A$1:$I$88,3,0)*0.475*44/12</f>
        <v>0</v>
      </c>
      <c r="ED138" s="24">
        <f t="shared" si="126"/>
        <v>5.1821049966394215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69.222978143489854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projet'!$B$15,Paramètres!$A$1:$I$88,3,0)*0.475*44/12</f>
        <v>#N/A</v>
      </c>
      <c r="EW138" s="23" t="e">
        <f>EXP(-LN(2)/25)*EW137+(1-EXP(-LN(2)/25))/(LN(2)/25)*Calculateur!ER138*Calculateur!ET138*VLOOKUP('Données projet'!$B$15,Paramètres!$A$1:$I$88,3,0)*0.475*44/12</f>
        <v>#N/A</v>
      </c>
      <c r="EX138" s="23" t="e">
        <f>EXP(-LN(2)/2)*EX137+(1-EXP(-LN(2)/2))/(LN(2)/2)*ER138*EU138*VLOOKUP('Données projet'!$B$15,Paramètres!$A$1:$I$88,3,0)*0.475*44/12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69.222978143489854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projet'!$B$16,Paramètres!$A$1:$I$88,3,0)*0.475*44/12</f>
        <v>#N/A</v>
      </c>
      <c r="FR138" s="23" t="e">
        <f>EXP(-LN(2)/25)*FR137+(1-EXP(-LN(2)/25))/(LN(2)/25)*Calculateur!FM138*Calculateur!FO138*VLOOKUP('Données projet'!$B$16,Paramètres!$A$1:$I$88,3,0)*0.475*44/12</f>
        <v>#N/A</v>
      </c>
      <c r="FS138" s="23" t="e">
        <f>EXP(-LN(2)/2)*FS137+(1-EXP(-LN(2)/2))/(LN(2)/2)*FM138*FP138*VLOOKUP('Données projet'!$B$16,Paramètres!$A$1:$I$88,3,0)*0.475*44/12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69.222978143489854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projet'!$B$17,Paramètres!$A$1:$I$88,3,0)*0.475*44/12</f>
        <v>#N/A</v>
      </c>
      <c r="GM138" s="23" t="e">
        <f>EXP(-LN(2)/25)*GM137+(1-EXP(-LN(2)/25))/(LN(2)/25)*Calculateur!GH138*Calculateur!GJ138*VLOOKUP('Données projet'!$B$17,Paramètres!$A$1:$I$88,3,0)*0.475*44/12</f>
        <v>#N/A</v>
      </c>
      <c r="GN138" s="23" t="e">
        <f>EXP(-LN(2)/2)*GN137+(1-EXP(-LN(2)/2))/(LN(2)/2)*GH138*GK138*VLOOKUP('Données projet'!$B$17,Paramètres!$A$1:$I$88,3,0)*0.475*44/12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69.222978143489854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projet'!$B$18,Paramètres!$A$1:$I$88,3,0)*0.475*44/12</f>
        <v>#N/A</v>
      </c>
      <c r="HH138" s="23" t="e">
        <f>EXP(-LN(2)/25)*HH137+(1-EXP(-LN(2)/25))/(LN(2)/25)*Calculateur!HC138*Calculateur!HE138*VLOOKUP('Données projet'!$B$18,Paramètres!$A$1:$I$88,3,0)*0.475*44/12</f>
        <v>#N/A</v>
      </c>
      <c r="HI138" s="23" t="e">
        <f>EXP(-LN(2)/2)*HI137+(1-EXP(-LN(2)/2))/(LN(2)/2)*HC138*HF138*VLOOKUP('Données projet'!$B$18,Paramètres!$A$1:$I$88,3,0)*0.475*44/12</f>
        <v>#N/A</v>
      </c>
      <c r="HJ138" s="24" t="e">
        <f t="shared" si="138"/>
        <v>#N/A</v>
      </c>
    </row>
    <row r="139" spans="1:218" s="5" customFormat="1" x14ac:dyDescent="0.2">
      <c r="A139" s="11">
        <f t="shared" si="139"/>
        <v>136</v>
      </c>
      <c r="B139" s="77">
        <f>'Scénario référence'!$B$16*5+'Scénario référence'!$B$17*0+'Scénario référence'!$B$18*5</f>
        <v>1.6500000000000001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6.0500000000000007</v>
      </c>
      <c r="H139" s="70">
        <f t="shared" si="110"/>
        <v>232.4666666666667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69.236457735539673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projet'!$B$9,Paramètres!$A$1:$I$88,3,0)*VLOOKUP('Données projet'!$B$9,Paramètres!$A$1:$I$88,5,0)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290.53367836364748</v>
      </c>
      <c r="S139" s="62">
        <f ca="1">AVERAGE(OFFSET($R$3,0,0,'Données projet'!$E$9+1,1))-AVERAGE(OFFSET($H$3,0,0,'Données projet'!$E$9+1,1))</f>
        <v>354.71367224254021</v>
      </c>
      <c r="T139" s="62">
        <f t="shared" si="142"/>
        <v>490.074370133397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38.458290943323618</v>
      </c>
      <c r="AA139" s="23">
        <f>EXP(-LN(2)/25)*AA138+(1-EXP(-LN(2)/25))/(LN(2)/25)*Calculateur!V139*Calculateur!X139*VLOOKUP('Données projet'!$B$9,Paramètres!$A$1:$I$88,3,0)*0.475*44/12</f>
        <v>4.504254009963331</v>
      </c>
      <c r="AB139" s="23">
        <f>EXP(-LN(2)/2)*AB138+(1-EXP(-LN(2)/2))/(LN(2)/2)*V139*Y139*VLOOKUP('Données projet'!$B$9,Paramètres!$A$1:$I$88,3,0)*0.475*44/12</f>
        <v>2.0707795371484486E-12</v>
      </c>
      <c r="AC139" s="24">
        <f t="shared" si="111"/>
        <v>42.962544953289019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69.236457735539673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2.2737367544323206E-13</v>
      </c>
      <c r="AJ139" s="14">
        <f>AI139*VLOOKUP('Données projet'!$B$10,Paramètres!$A$1:$I$88,3,0)*VLOOKUP('Données projet'!$B$10,Paramètres!$A$1:$I$88,5,0)</f>
        <v>1.3596945791505279E-13</v>
      </c>
      <c r="AK139" s="14">
        <f t="shared" si="143"/>
        <v>1.9708830566360721E-12</v>
      </c>
      <c r="AL139" s="22">
        <f t="shared" si="112"/>
        <v>3.669434796176543E-12</v>
      </c>
      <c r="AM139" s="62">
        <f t="shared" si="113"/>
        <v>290.53367836364919</v>
      </c>
      <c r="AN139" s="62">
        <f ca="1">AVERAGE(OFFSET($AM$3,0,0,'Données projet'!$E$10+1,1))-AVERAGE(OFFSET($H$3,0,0,'Données projet'!$E$10+1,1))</f>
        <v>264.73276096087574</v>
      </c>
      <c r="AO139" s="62">
        <f t="shared" si="144"/>
        <v>381.84464918049662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projet'!$B$10,Paramètres!$A$1:$I$88,3,0)*0.475*44/12</f>
        <v>26.971043813984693</v>
      </c>
      <c r="AV139" s="23">
        <f>EXP(-LN(2)/25)*AV138+(1-EXP(-LN(2)/25))/(LN(2)/25)*Calculateur!AQ139*Calculateur!AS139*VLOOKUP('Données projet'!$B$10,Paramètres!$A$1:$I$88,3,0)*0.475*44/12</f>
        <v>3.1643833194168391</v>
      </c>
      <c r="AW139" s="23">
        <f>EXP(-LN(2)/2)*AW138+(1-EXP(-LN(2)/2))/(LN(2)/2)*AQ139*AT139*VLOOKUP('Données projet'!$B$10,Paramètres!$A$1:$I$88,3,0)*0.475*44/12</f>
        <v>1.4499769901988304E-12</v>
      </c>
      <c r="AX139" s="23">
        <f t="shared" si="114"/>
        <v>30.135427133402981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69.236457735539673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-2.8421709430404007E-13</v>
      </c>
      <c r="BE139" s="14">
        <f>BD139*VLOOKUP('Données projet'!$B$11,Paramètres!$A$1:$I$88,3,0)*VLOOKUP('Données projet'!$B$11,Paramètres!$A$1:$I$88,5,0)</f>
        <v>-3.2366642699344083E-13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470.57532875732056</v>
      </c>
      <c r="BJ139" s="62">
        <f t="shared" si="146"/>
        <v>286.63787681165888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projet'!$B$11,Paramètres!$A$1:$I$88,3,0)*0.475*44/12</f>
        <v>118.30852560411029</v>
      </c>
      <c r="BQ139" s="23">
        <f>EXP(-LN(2)/25)*BQ138+(1-EXP(-LN(2)/25))/(LN(2)/25)*Calculateur!BL139*Calculateur!BN139*VLOOKUP('Données projet'!$B$11,Paramètres!$A$1:$I$88,3,0)*0.475*44/12</f>
        <v>0</v>
      </c>
      <c r="BR139" s="23">
        <f>EXP(-LN(2)/2)*BR138+(1-EXP(-LN(2)/2))/(LN(2)/2)*BL139*BO139*VLOOKUP('Données projet'!$B$11,Paramètres!$A$1:$I$88,3,0)*0.475*44/12</f>
        <v>0</v>
      </c>
      <c r="BS139" s="24">
        <f t="shared" si="117"/>
        <v>118.30852560411029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69.236457735539673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-2.2737367544323206E-13</v>
      </c>
      <c r="BZ139" s="14">
        <f>BY139*VLOOKUP('Données projet'!$B$12,Paramètres!$A$1:$I$88,3,0)*VLOOKUP('Données projet'!$B$12,Paramètres!$A$1:$I$88,5,0)</f>
        <v>-1.4897523215040565E-13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305.38855494899906</v>
      </c>
      <c r="CE139" s="62">
        <f t="shared" si="148"/>
        <v>298.48106301229177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projet'!$B$12,Paramètres!$A$1:$I$88,3,0)*0.475*44/12</f>
        <v>27.969970692424535</v>
      </c>
      <c r="CL139" s="23">
        <f>EXP(-LN(2)/25)*CL138+(1-EXP(-LN(2)/25))/(LN(2)/25)*Calculateur!CG139*Calculateur!CI139*VLOOKUP('Données projet'!$B$12,Paramètres!$A$1:$I$88,3,0)*0.475*44/12</f>
        <v>0</v>
      </c>
      <c r="CM139" s="23">
        <f>EXP(-LN(2)/2)*CM138+(1-EXP(-LN(2)/2))/(LN(2)/2)*CG139*CJ139*VLOOKUP('Données projet'!$B$12,Paramètres!$A$1:$I$88,3,0)*0.475*44/12</f>
        <v>0</v>
      </c>
      <c r="CN139" s="24">
        <f t="shared" si="120"/>
        <v>27.969970692424535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69.236457735539673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-2.2737367544323206E-13</v>
      </c>
      <c r="CU139" s="18">
        <f>CT139*VLOOKUP('Données projet'!$B$13,Paramètres!$A$1:$I$88,3,0)*VLOOKUP('Données projet'!$B$13,Paramètres!$A$1:$I$88,5,0)</f>
        <v>-1.8089849618263545E-13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361.30066984973894</v>
      </c>
      <c r="CZ139" s="62">
        <f t="shared" si="150"/>
        <v>351.78053157121622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projet'!$B$13,Paramètres!$A$1:$I$88,3,0)*0.475*44/12</f>
        <v>41.862032547964269</v>
      </c>
      <c r="DG139" s="23">
        <f>EXP(-LN(2)/25)*DG138+(1-EXP(-LN(2)/25))/(LN(2)/25)*Calculateur!DB139*Calculateur!DD139*VLOOKUP('Données projet'!$B$13,Paramètres!$A$1:$I$88,3,0)*0.475*44/12</f>
        <v>0</v>
      </c>
      <c r="DH139" s="23">
        <f>EXP(-LN(2)/2)*DH138+(1-EXP(-LN(2)/2))/(LN(2)/2)*DB139*DE139*VLOOKUP('Données projet'!$B$13,Paramètres!$A$1:$I$88,3,0)*0.475*44/12</f>
        <v>0</v>
      </c>
      <c r="DI139" s="24">
        <f t="shared" si="123"/>
        <v>41.862032547964269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69.236457735539673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>
        <f>DO139*VLOOKUP('Données projet'!$B$14,Paramètres!$A$1:$I$88,3,0)*VLOOKUP('Données projet'!$B$14,Paramètres!$A$1:$I$88,5,0)</f>
        <v>0</v>
      </c>
      <c r="DQ139" s="14" t="e">
        <f t="shared" si="151"/>
        <v>#NUM!</v>
      </c>
      <c r="DR139" s="22" t="e">
        <f t="shared" si="124"/>
        <v>#NUM!</v>
      </c>
      <c r="DS139" s="62" t="e">
        <f t="shared" si="125"/>
        <v>#NUM!</v>
      </c>
      <c r="DT139" s="62">
        <f ca="1">AVERAGE(OFFSET($DS$3,0,0,'Données projet'!$E$14+1,1))-AVERAGE(OFFSET($H$3,0,0,'Données projet'!$E$14+1,1))</f>
        <v>91.201152634762423</v>
      </c>
      <c r="DU139" s="62">
        <f t="shared" si="152"/>
        <v>233.36981992862445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projet'!$B$14,Paramètres!$A$1:$I$88,3,0)*0.475*44/12</f>
        <v>5.0804870784272698</v>
      </c>
      <c r="EB139" s="23">
        <f>EXP(-LN(2)/25)*EB138+(1-EXP(-LN(2)/25))/(LN(2)/25)*Calculateur!DW139*Calculateur!DY139*VLOOKUP('Données projet'!$B$14,Paramètres!$A$1:$I$88,3,0)*0.475*44/12</f>
        <v>0</v>
      </c>
      <c r="EC139" s="23">
        <f>EXP(-LN(2)/2)*EC138+(1-EXP(-LN(2)/2))/(LN(2)/2)*DW139*DZ139*VLOOKUP('Données projet'!$B$14,Paramètres!$A$1:$I$88,3,0)*0.475*44/12</f>
        <v>0</v>
      </c>
      <c r="ED139" s="24">
        <f t="shared" si="126"/>
        <v>5.0804870784272698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69.236457735539673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projet'!$B$15,Paramètres!$A$1:$I$88,3,0)*0.475*44/12</f>
        <v>#N/A</v>
      </c>
      <c r="EW139" s="23" t="e">
        <f>EXP(-LN(2)/25)*EW138+(1-EXP(-LN(2)/25))/(LN(2)/25)*Calculateur!ER139*Calculateur!ET139*VLOOKUP('Données projet'!$B$15,Paramètres!$A$1:$I$88,3,0)*0.475*44/12</f>
        <v>#N/A</v>
      </c>
      <c r="EX139" s="23" t="e">
        <f>EXP(-LN(2)/2)*EX138+(1-EXP(-LN(2)/2))/(LN(2)/2)*ER139*EU139*VLOOKUP('Données projet'!$B$15,Paramètres!$A$1:$I$88,3,0)*0.475*44/12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69.236457735539673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projet'!$B$16,Paramètres!$A$1:$I$88,3,0)*0.475*44/12</f>
        <v>#N/A</v>
      </c>
      <c r="FR139" s="23" t="e">
        <f>EXP(-LN(2)/25)*FR138+(1-EXP(-LN(2)/25))/(LN(2)/25)*Calculateur!FM139*Calculateur!FO139*VLOOKUP('Données projet'!$B$16,Paramètres!$A$1:$I$88,3,0)*0.475*44/12</f>
        <v>#N/A</v>
      </c>
      <c r="FS139" s="23" t="e">
        <f>EXP(-LN(2)/2)*FS138+(1-EXP(-LN(2)/2))/(LN(2)/2)*FM139*FP139*VLOOKUP('Données projet'!$B$16,Paramètres!$A$1:$I$88,3,0)*0.475*44/12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69.236457735539673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projet'!$B$17,Paramètres!$A$1:$I$88,3,0)*0.475*44/12</f>
        <v>#N/A</v>
      </c>
      <c r="GM139" s="23" t="e">
        <f>EXP(-LN(2)/25)*GM138+(1-EXP(-LN(2)/25))/(LN(2)/25)*Calculateur!GH139*Calculateur!GJ139*VLOOKUP('Données projet'!$B$17,Paramètres!$A$1:$I$88,3,0)*0.475*44/12</f>
        <v>#N/A</v>
      </c>
      <c r="GN139" s="23" t="e">
        <f>EXP(-LN(2)/2)*GN138+(1-EXP(-LN(2)/2))/(LN(2)/2)*GH139*GK139*VLOOKUP('Données projet'!$B$17,Paramètres!$A$1:$I$88,3,0)*0.475*44/12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69.236457735539673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projet'!$B$18,Paramètres!$A$1:$I$88,3,0)*0.475*44/12</f>
        <v>#N/A</v>
      </c>
      <c r="HH139" s="23" t="e">
        <f>EXP(-LN(2)/25)*HH138+(1-EXP(-LN(2)/25))/(LN(2)/25)*Calculateur!HC139*Calculateur!HE139*VLOOKUP('Données projet'!$B$18,Paramètres!$A$1:$I$88,3,0)*0.475*44/12</f>
        <v>#N/A</v>
      </c>
      <c r="HI139" s="23" t="e">
        <f>EXP(-LN(2)/2)*HI138+(1-EXP(-LN(2)/2))/(LN(2)/2)*HC139*HF139*VLOOKUP('Données projet'!$B$18,Paramètres!$A$1:$I$88,3,0)*0.475*44/12</f>
        <v>#N/A</v>
      </c>
      <c r="HJ139" s="24" t="e">
        <f t="shared" si="138"/>
        <v>#N/A</v>
      </c>
    </row>
    <row r="140" spans="1:218" s="5" customFormat="1" x14ac:dyDescent="0.2">
      <c r="A140" s="11">
        <f t="shared" si="139"/>
        <v>137</v>
      </c>
      <c r="B140" s="77">
        <f>'Scénario référence'!$B$16*5+'Scénario référence'!$B$17*0+'Scénario référence'!$B$18*5</f>
        <v>1.6500000000000001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6.0500000000000007</v>
      </c>
      <c r="H140" s="70">
        <f t="shared" si="110"/>
        <v>232.4666666666667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69.249703486803284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projet'!$B$9,Paramètres!$A$1:$I$88,3,0)*VLOOKUP('Données projet'!$B$9,Paramètres!$A$1:$I$88,5,0)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290.58224611828069</v>
      </c>
      <c r="S140" s="62">
        <f ca="1">AVERAGE(OFFSET($R$3,0,0,'Données projet'!$E$9+1,1))-AVERAGE(OFFSET($H$3,0,0,'Données projet'!$E$9+1,1))</f>
        <v>354.71367224254021</v>
      </c>
      <c r="T140" s="62">
        <f t="shared" si="142"/>
        <v>490.074370133397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37.70414731516631</v>
      </c>
      <c r="AA140" s="23">
        <f>EXP(-LN(2)/25)*AA139+(1-EXP(-LN(2)/25))/(LN(2)/25)*Calculateur!V140*Calculateur!X140*VLOOKUP('Données projet'!$B$9,Paramètres!$A$1:$I$88,3,0)*0.475*44/12</f>
        <v>4.38108494719246</v>
      </c>
      <c r="AB140" s="23">
        <f>EXP(-LN(2)/2)*AB139+(1-EXP(-LN(2)/2))/(LN(2)/2)*V140*Y140*VLOOKUP('Données projet'!$B$9,Paramètres!$A$1:$I$88,3,0)*0.475*44/12</f>
        <v>1.4642622530600082E-12</v>
      </c>
      <c r="AC140" s="24">
        <f t="shared" si="111"/>
        <v>42.085232262360236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69.249703486803284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2.2737367544323206E-13</v>
      </c>
      <c r="AJ140" s="14">
        <f>AI140*VLOOKUP('Données projet'!$B$10,Paramètres!$A$1:$I$88,3,0)*VLOOKUP('Données projet'!$B$10,Paramètres!$A$1:$I$88,5,0)</f>
        <v>1.3596945791505279E-13</v>
      </c>
      <c r="AK140" s="14">
        <f t="shared" si="143"/>
        <v>1.9708830566360721E-12</v>
      </c>
      <c r="AL140" s="22">
        <f t="shared" si="112"/>
        <v>3.669434796176543E-12</v>
      </c>
      <c r="AM140" s="62">
        <f t="shared" si="113"/>
        <v>290.5822461182824</v>
      </c>
      <c r="AN140" s="62">
        <f ca="1">AVERAGE(OFFSET($AM$3,0,0,'Données projet'!$E$10+1,1))-AVERAGE(OFFSET($H$3,0,0,'Données projet'!$E$10+1,1))</f>
        <v>264.73276096087574</v>
      </c>
      <c r="AO140" s="62">
        <f t="shared" si="144"/>
        <v>381.84464918049662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projet'!$B$10,Paramètres!$A$1:$I$88,3,0)*0.475*44/12</f>
        <v>26.442158095504805</v>
      </c>
      <c r="AV140" s="23">
        <f>EXP(-LN(2)/25)*AV139+(1-EXP(-LN(2)/25))/(LN(2)/25)*Calculateur!AQ140*Calculateur!AS140*VLOOKUP('Données projet'!$B$10,Paramètres!$A$1:$I$88,3,0)*0.475*44/12</f>
        <v>3.0778530911396991</v>
      </c>
      <c r="AW140" s="23">
        <f>EXP(-LN(2)/2)*AW139+(1-EXP(-LN(2)/2))/(LN(2)/2)*AQ140*AT140*VLOOKUP('Données projet'!$B$10,Paramètres!$A$1:$I$88,3,0)*0.475*44/12</f>
        <v>1.0252885623340531E-12</v>
      </c>
      <c r="AX140" s="23">
        <f t="shared" si="114"/>
        <v>29.520011186645529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69.249703486803284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-2.8421709430404007E-13</v>
      </c>
      <c r="BE140" s="14">
        <f>BD140*VLOOKUP('Données projet'!$B$11,Paramètres!$A$1:$I$88,3,0)*VLOOKUP('Données projet'!$B$11,Paramètres!$A$1:$I$88,5,0)</f>
        <v>-3.2366642699344083E-13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470.57532875732056</v>
      </c>
      <c r="BJ140" s="62">
        <f t="shared" si="146"/>
        <v>286.63787681165888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projet'!$B$11,Paramètres!$A$1:$I$88,3,0)*0.475*44/12</f>
        <v>115.98856757808899</v>
      </c>
      <c r="BQ140" s="23">
        <f>EXP(-LN(2)/25)*BQ139+(1-EXP(-LN(2)/25))/(LN(2)/25)*Calculateur!BL140*Calculateur!BN140*VLOOKUP('Données projet'!$B$11,Paramètres!$A$1:$I$88,3,0)*0.475*44/12</f>
        <v>0</v>
      </c>
      <c r="BR140" s="23">
        <f>EXP(-LN(2)/2)*BR139+(1-EXP(-LN(2)/2))/(LN(2)/2)*BL140*BO140*VLOOKUP('Données projet'!$B$11,Paramètres!$A$1:$I$88,3,0)*0.475*44/12</f>
        <v>0</v>
      </c>
      <c r="BS140" s="24">
        <f t="shared" si="117"/>
        <v>115.98856757808899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69.249703486803284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-2.2737367544323206E-13</v>
      </c>
      <c r="BZ140" s="14">
        <f>BY140*VLOOKUP('Données projet'!$B$12,Paramètres!$A$1:$I$88,3,0)*VLOOKUP('Données projet'!$B$12,Paramètres!$A$1:$I$88,5,0)</f>
        <v>-1.4897523215040565E-13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305.38855494899906</v>
      </c>
      <c r="CE140" s="62">
        <f t="shared" si="148"/>
        <v>298.48106301229177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projet'!$B$12,Paramètres!$A$1:$I$88,3,0)*0.475*44/12</f>
        <v>27.421496627143679</v>
      </c>
      <c r="CL140" s="23">
        <f>EXP(-LN(2)/25)*CL139+(1-EXP(-LN(2)/25))/(LN(2)/25)*Calculateur!CG140*Calculateur!CI140*VLOOKUP('Données projet'!$B$12,Paramètres!$A$1:$I$88,3,0)*0.475*44/12</f>
        <v>0</v>
      </c>
      <c r="CM140" s="23">
        <f>EXP(-LN(2)/2)*CM139+(1-EXP(-LN(2)/2))/(LN(2)/2)*CG140*CJ140*VLOOKUP('Données projet'!$B$12,Paramètres!$A$1:$I$88,3,0)*0.475*44/12</f>
        <v>0</v>
      </c>
      <c r="CN140" s="24">
        <f t="shared" si="120"/>
        <v>27.421496627143679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69.249703486803284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-2.2737367544323206E-13</v>
      </c>
      <c r="CU140" s="18">
        <f>CT140*VLOOKUP('Données projet'!$B$13,Paramètres!$A$1:$I$88,3,0)*VLOOKUP('Données projet'!$B$13,Paramètres!$A$1:$I$88,5,0)</f>
        <v>-1.8089849618263545E-13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361.30066984973894</v>
      </c>
      <c r="CZ140" s="62">
        <f t="shared" si="150"/>
        <v>351.78053157121622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projet'!$B$13,Paramètres!$A$1:$I$88,3,0)*0.475*44/12</f>
        <v>41.041143623017341</v>
      </c>
      <c r="DG140" s="23">
        <f>EXP(-LN(2)/25)*DG139+(1-EXP(-LN(2)/25))/(LN(2)/25)*Calculateur!DB140*Calculateur!DD140*VLOOKUP('Données projet'!$B$13,Paramètres!$A$1:$I$88,3,0)*0.475*44/12</f>
        <v>0</v>
      </c>
      <c r="DH140" s="23">
        <f>EXP(-LN(2)/2)*DH139+(1-EXP(-LN(2)/2))/(LN(2)/2)*DB140*DE140*VLOOKUP('Données projet'!$B$13,Paramètres!$A$1:$I$88,3,0)*0.475*44/12</f>
        <v>0</v>
      </c>
      <c r="DI140" s="24">
        <f t="shared" si="123"/>
        <v>41.041143623017341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69.249703486803284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>
        <f>DO140*VLOOKUP('Données projet'!$B$14,Paramètres!$A$1:$I$88,3,0)*VLOOKUP('Données projet'!$B$14,Paramètres!$A$1:$I$88,5,0)</f>
        <v>0</v>
      </c>
      <c r="DQ140" s="14" t="e">
        <f t="shared" si="151"/>
        <v>#NUM!</v>
      </c>
      <c r="DR140" s="22" t="e">
        <f t="shared" si="124"/>
        <v>#NUM!</v>
      </c>
      <c r="DS140" s="62" t="e">
        <f t="shared" si="125"/>
        <v>#NUM!</v>
      </c>
      <c r="DT140" s="62">
        <f ca="1">AVERAGE(OFFSET($DS$3,0,0,'Données projet'!$E$14+1,1))-AVERAGE(OFFSET($H$3,0,0,'Données projet'!$E$14+1,1))</f>
        <v>91.201152634762423</v>
      </c>
      <c r="DU140" s="62">
        <f t="shared" si="152"/>
        <v>233.36981992862445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projet'!$B$14,Paramètres!$A$1:$I$88,3,0)*0.475*44/12</f>
        <v>4.9808618256104484</v>
      </c>
      <c r="EB140" s="23">
        <f>EXP(-LN(2)/25)*EB139+(1-EXP(-LN(2)/25))/(LN(2)/25)*Calculateur!DW140*Calculateur!DY140*VLOOKUP('Données projet'!$B$14,Paramètres!$A$1:$I$88,3,0)*0.475*44/12</f>
        <v>0</v>
      </c>
      <c r="EC140" s="23">
        <f>EXP(-LN(2)/2)*EC139+(1-EXP(-LN(2)/2))/(LN(2)/2)*DW140*DZ140*VLOOKUP('Données projet'!$B$14,Paramètres!$A$1:$I$88,3,0)*0.475*44/12</f>
        <v>0</v>
      </c>
      <c r="ED140" s="24">
        <f t="shared" si="126"/>
        <v>4.9808618256104484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69.249703486803284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projet'!$B$15,Paramètres!$A$1:$I$88,3,0)*0.475*44/12</f>
        <v>#N/A</v>
      </c>
      <c r="EW140" s="23" t="e">
        <f>EXP(-LN(2)/25)*EW139+(1-EXP(-LN(2)/25))/(LN(2)/25)*Calculateur!ER140*Calculateur!ET140*VLOOKUP('Données projet'!$B$15,Paramètres!$A$1:$I$88,3,0)*0.475*44/12</f>
        <v>#N/A</v>
      </c>
      <c r="EX140" s="23" t="e">
        <f>EXP(-LN(2)/2)*EX139+(1-EXP(-LN(2)/2))/(LN(2)/2)*ER140*EU140*VLOOKUP('Données projet'!$B$15,Paramètres!$A$1:$I$88,3,0)*0.475*44/12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69.249703486803284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projet'!$B$16,Paramètres!$A$1:$I$88,3,0)*0.475*44/12</f>
        <v>#N/A</v>
      </c>
      <c r="FR140" s="23" t="e">
        <f>EXP(-LN(2)/25)*FR139+(1-EXP(-LN(2)/25))/(LN(2)/25)*Calculateur!FM140*Calculateur!FO140*VLOOKUP('Données projet'!$B$16,Paramètres!$A$1:$I$88,3,0)*0.475*44/12</f>
        <v>#N/A</v>
      </c>
      <c r="FS140" s="23" t="e">
        <f>EXP(-LN(2)/2)*FS139+(1-EXP(-LN(2)/2))/(LN(2)/2)*FM140*FP140*VLOOKUP('Données projet'!$B$16,Paramètres!$A$1:$I$88,3,0)*0.475*44/12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69.249703486803284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projet'!$B$17,Paramètres!$A$1:$I$88,3,0)*0.475*44/12</f>
        <v>#N/A</v>
      </c>
      <c r="GM140" s="23" t="e">
        <f>EXP(-LN(2)/25)*GM139+(1-EXP(-LN(2)/25))/(LN(2)/25)*Calculateur!GH140*Calculateur!GJ140*VLOOKUP('Données projet'!$B$17,Paramètres!$A$1:$I$88,3,0)*0.475*44/12</f>
        <v>#N/A</v>
      </c>
      <c r="GN140" s="23" t="e">
        <f>EXP(-LN(2)/2)*GN139+(1-EXP(-LN(2)/2))/(LN(2)/2)*GH140*GK140*VLOOKUP('Données projet'!$B$17,Paramètres!$A$1:$I$88,3,0)*0.475*44/12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69.249703486803284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projet'!$B$18,Paramètres!$A$1:$I$88,3,0)*0.475*44/12</f>
        <v>#N/A</v>
      </c>
      <c r="HH140" s="23" t="e">
        <f>EXP(-LN(2)/25)*HH139+(1-EXP(-LN(2)/25))/(LN(2)/25)*Calculateur!HC140*Calculateur!HE140*VLOOKUP('Données projet'!$B$18,Paramètres!$A$1:$I$88,3,0)*0.475*44/12</f>
        <v>#N/A</v>
      </c>
      <c r="HI140" s="23" t="e">
        <f>EXP(-LN(2)/2)*HI139+(1-EXP(-LN(2)/2))/(LN(2)/2)*HC140*HF140*VLOOKUP('Données projet'!$B$18,Paramètres!$A$1:$I$88,3,0)*0.475*44/12</f>
        <v>#N/A</v>
      </c>
      <c r="HJ140" s="24" t="e">
        <f t="shared" si="138"/>
        <v>#N/A</v>
      </c>
    </row>
    <row r="141" spans="1:218" s="5" customFormat="1" x14ac:dyDescent="0.2">
      <c r="A141" s="11">
        <f t="shared" si="139"/>
        <v>138</v>
      </c>
      <c r="B141" s="77">
        <f>'Scénario référence'!$B$16*5+'Scénario référence'!$B$17*0+'Scénario référence'!$B$18*5</f>
        <v>1.6500000000000001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6.0500000000000007</v>
      </c>
      <c r="H141" s="70">
        <f t="shared" si="110"/>
        <v>232.4666666666667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69.262719453895542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projet'!$B$9,Paramètres!$A$1:$I$88,3,0)*VLOOKUP('Données projet'!$B$9,Paramètres!$A$1:$I$88,5,0)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290.62997133095234</v>
      </c>
      <c r="S141" s="62">
        <f ca="1">AVERAGE(OFFSET($R$3,0,0,'Données projet'!$E$9+1,1))-AVERAGE(OFFSET($H$3,0,0,'Données projet'!$E$9+1,1))</f>
        <v>354.71367224254021</v>
      </c>
      <c r="T141" s="62">
        <f t="shared" si="142"/>
        <v>490.074370133397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36.964791983574969</v>
      </c>
      <c r="AA141" s="23">
        <f>EXP(-LN(2)/25)*AA140+(1-EXP(-LN(2)/25))/(LN(2)/25)*Calculateur!V141*Calculateur!X141*VLOOKUP('Données projet'!$B$9,Paramètres!$A$1:$I$88,3,0)*0.475*44/12</f>
        <v>4.2612839489202381</v>
      </c>
      <c r="AB141" s="23">
        <f>EXP(-LN(2)/2)*AB140+(1-EXP(-LN(2)/2))/(LN(2)/2)*V141*Y141*VLOOKUP('Données projet'!$B$9,Paramètres!$A$1:$I$88,3,0)*0.475*44/12</f>
        <v>1.0353897685742243E-12</v>
      </c>
      <c r="AC141" s="24">
        <f t="shared" si="111"/>
        <v>41.226075932496244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69.262719453895542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2.2737367544323206E-13</v>
      </c>
      <c r="AJ141" s="14">
        <f>AI141*VLOOKUP('Données projet'!$B$10,Paramètres!$A$1:$I$88,3,0)*VLOOKUP('Données projet'!$B$10,Paramètres!$A$1:$I$88,5,0)</f>
        <v>1.3596945791505279E-13</v>
      </c>
      <c r="AK141" s="14">
        <f t="shared" si="143"/>
        <v>1.9708830566360721E-12</v>
      </c>
      <c r="AL141" s="22">
        <f t="shared" si="112"/>
        <v>3.669434796176543E-12</v>
      </c>
      <c r="AM141" s="62">
        <f t="shared" si="113"/>
        <v>290.62997133095405</v>
      </c>
      <c r="AN141" s="62">
        <f ca="1">AVERAGE(OFFSET($AM$3,0,0,'Données projet'!$E$10+1,1))-AVERAGE(OFFSET($H$3,0,0,'Données projet'!$E$10+1,1))</f>
        <v>264.73276096087574</v>
      </c>
      <c r="AO141" s="62">
        <f t="shared" si="144"/>
        <v>381.84464918049662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projet'!$B$10,Paramètres!$A$1:$I$88,3,0)*0.475*44/12</f>
        <v>25.923643503375875</v>
      </c>
      <c r="AV141" s="23">
        <f>EXP(-LN(2)/25)*AV140+(1-EXP(-LN(2)/25))/(LN(2)/25)*Calculateur!AQ141*Calculateur!AS141*VLOOKUP('Données projet'!$B$10,Paramètres!$A$1:$I$88,3,0)*0.475*44/12</f>
        <v>2.9936890365052244</v>
      </c>
      <c r="AW141" s="23">
        <f>EXP(-LN(2)/2)*AW140+(1-EXP(-LN(2)/2))/(LN(2)/2)*AQ141*AT141*VLOOKUP('Données projet'!$B$10,Paramètres!$A$1:$I$88,3,0)*0.475*44/12</f>
        <v>7.2498849509941518E-13</v>
      </c>
      <c r="AX141" s="23">
        <f t="shared" si="114"/>
        <v>28.917332539881823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69.262719453895542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-2.8421709430404007E-13</v>
      </c>
      <c r="BE141" s="14">
        <f>BD141*VLOOKUP('Données projet'!$B$11,Paramètres!$A$1:$I$88,3,0)*VLOOKUP('Données projet'!$B$11,Paramètres!$A$1:$I$88,5,0)</f>
        <v>-3.2366642699344083E-13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470.57532875732056</v>
      </c>
      <c r="BJ141" s="62">
        <f t="shared" si="146"/>
        <v>286.63787681165888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projet'!$B$11,Paramètres!$A$1:$I$88,3,0)*0.475*44/12</f>
        <v>113.71410251392329</v>
      </c>
      <c r="BQ141" s="23">
        <f>EXP(-LN(2)/25)*BQ140+(1-EXP(-LN(2)/25))/(LN(2)/25)*Calculateur!BL141*Calculateur!BN141*VLOOKUP('Données projet'!$B$11,Paramètres!$A$1:$I$88,3,0)*0.475*44/12</f>
        <v>0</v>
      </c>
      <c r="BR141" s="23">
        <f>EXP(-LN(2)/2)*BR140+(1-EXP(-LN(2)/2))/(LN(2)/2)*BL141*BO141*VLOOKUP('Données projet'!$B$11,Paramètres!$A$1:$I$88,3,0)*0.475*44/12</f>
        <v>0</v>
      </c>
      <c r="BS141" s="24">
        <f t="shared" si="117"/>
        <v>113.71410251392329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69.262719453895542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-2.2737367544323206E-13</v>
      </c>
      <c r="BZ141" s="14">
        <f>BY141*VLOOKUP('Données projet'!$B$12,Paramètres!$A$1:$I$88,3,0)*VLOOKUP('Données projet'!$B$12,Paramètres!$A$1:$I$88,5,0)</f>
        <v>-1.4897523215040565E-13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305.38855494899906</v>
      </c>
      <c r="CE141" s="62">
        <f t="shared" si="148"/>
        <v>298.48106301229177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projet'!$B$12,Paramètres!$A$1:$I$88,3,0)*0.475*44/12</f>
        <v>26.883777803746831</v>
      </c>
      <c r="CL141" s="23">
        <f>EXP(-LN(2)/25)*CL140+(1-EXP(-LN(2)/25))/(LN(2)/25)*Calculateur!CG141*Calculateur!CI141*VLOOKUP('Données projet'!$B$12,Paramètres!$A$1:$I$88,3,0)*0.475*44/12</f>
        <v>0</v>
      </c>
      <c r="CM141" s="23">
        <f>EXP(-LN(2)/2)*CM140+(1-EXP(-LN(2)/2))/(LN(2)/2)*CG141*CJ141*VLOOKUP('Données projet'!$B$12,Paramètres!$A$1:$I$88,3,0)*0.475*44/12</f>
        <v>0</v>
      </c>
      <c r="CN141" s="24">
        <f t="shared" si="120"/>
        <v>26.883777803746831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69.262719453895542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-2.2737367544323206E-13</v>
      </c>
      <c r="CU141" s="18">
        <f>CT141*VLOOKUP('Données projet'!$B$13,Paramètres!$A$1:$I$88,3,0)*VLOOKUP('Données projet'!$B$13,Paramètres!$A$1:$I$88,5,0)</f>
        <v>-1.8089849618263545E-13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361.30066984973894</v>
      </c>
      <c r="CZ141" s="62">
        <f t="shared" si="150"/>
        <v>351.78053157121622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projet'!$B$13,Paramètres!$A$1:$I$88,3,0)*0.475*44/12</f>
        <v>40.236351829195812</v>
      </c>
      <c r="DG141" s="23">
        <f>EXP(-LN(2)/25)*DG140+(1-EXP(-LN(2)/25))/(LN(2)/25)*Calculateur!DB141*Calculateur!DD141*VLOOKUP('Données projet'!$B$13,Paramètres!$A$1:$I$88,3,0)*0.475*44/12</f>
        <v>0</v>
      </c>
      <c r="DH141" s="23">
        <f>EXP(-LN(2)/2)*DH140+(1-EXP(-LN(2)/2))/(LN(2)/2)*DB141*DE141*VLOOKUP('Données projet'!$B$13,Paramètres!$A$1:$I$88,3,0)*0.475*44/12</f>
        <v>0</v>
      </c>
      <c r="DI141" s="24">
        <f t="shared" si="123"/>
        <v>40.236351829195812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69.262719453895542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>
        <f>DO141*VLOOKUP('Données projet'!$B$14,Paramètres!$A$1:$I$88,3,0)*VLOOKUP('Données projet'!$B$14,Paramètres!$A$1:$I$88,5,0)</f>
        <v>0</v>
      </c>
      <c r="DQ141" s="14" t="e">
        <f t="shared" si="151"/>
        <v>#NUM!</v>
      </c>
      <c r="DR141" s="22" t="e">
        <f t="shared" si="124"/>
        <v>#NUM!</v>
      </c>
      <c r="DS141" s="62" t="e">
        <f t="shared" si="125"/>
        <v>#NUM!</v>
      </c>
      <c r="DT141" s="62">
        <f ca="1">AVERAGE(OFFSET($DS$3,0,0,'Données projet'!$E$14+1,1))-AVERAGE(OFFSET($H$3,0,0,'Données projet'!$E$14+1,1))</f>
        <v>91.201152634762423</v>
      </c>
      <c r="DU141" s="62">
        <f t="shared" si="152"/>
        <v>233.36981992862445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projet'!$B$14,Paramètres!$A$1:$I$88,3,0)*0.475*44/12</f>
        <v>4.8831901632359607</v>
      </c>
      <c r="EB141" s="23">
        <f>EXP(-LN(2)/25)*EB140+(1-EXP(-LN(2)/25))/(LN(2)/25)*Calculateur!DW141*Calculateur!DY141*VLOOKUP('Données projet'!$B$14,Paramètres!$A$1:$I$88,3,0)*0.475*44/12</f>
        <v>0</v>
      </c>
      <c r="EC141" s="23">
        <f>EXP(-LN(2)/2)*EC140+(1-EXP(-LN(2)/2))/(LN(2)/2)*DW141*DZ141*VLOOKUP('Données projet'!$B$14,Paramètres!$A$1:$I$88,3,0)*0.475*44/12</f>
        <v>0</v>
      </c>
      <c r="ED141" s="24">
        <f t="shared" si="126"/>
        <v>4.8831901632359607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69.262719453895542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projet'!$B$15,Paramètres!$A$1:$I$88,3,0)*0.475*44/12</f>
        <v>#N/A</v>
      </c>
      <c r="EW141" s="23" t="e">
        <f>EXP(-LN(2)/25)*EW140+(1-EXP(-LN(2)/25))/(LN(2)/25)*Calculateur!ER141*Calculateur!ET141*VLOOKUP('Données projet'!$B$15,Paramètres!$A$1:$I$88,3,0)*0.475*44/12</f>
        <v>#N/A</v>
      </c>
      <c r="EX141" s="23" t="e">
        <f>EXP(-LN(2)/2)*EX140+(1-EXP(-LN(2)/2))/(LN(2)/2)*ER141*EU141*VLOOKUP('Données projet'!$B$15,Paramètres!$A$1:$I$88,3,0)*0.475*44/12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69.262719453895542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projet'!$B$16,Paramètres!$A$1:$I$88,3,0)*0.475*44/12</f>
        <v>#N/A</v>
      </c>
      <c r="FR141" s="23" t="e">
        <f>EXP(-LN(2)/25)*FR140+(1-EXP(-LN(2)/25))/(LN(2)/25)*Calculateur!FM141*Calculateur!FO141*VLOOKUP('Données projet'!$B$16,Paramètres!$A$1:$I$88,3,0)*0.475*44/12</f>
        <v>#N/A</v>
      </c>
      <c r="FS141" s="23" t="e">
        <f>EXP(-LN(2)/2)*FS140+(1-EXP(-LN(2)/2))/(LN(2)/2)*FM141*FP141*VLOOKUP('Données projet'!$B$16,Paramètres!$A$1:$I$88,3,0)*0.475*44/12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69.262719453895542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projet'!$B$17,Paramètres!$A$1:$I$88,3,0)*0.475*44/12</f>
        <v>#N/A</v>
      </c>
      <c r="GM141" s="23" t="e">
        <f>EXP(-LN(2)/25)*GM140+(1-EXP(-LN(2)/25))/(LN(2)/25)*Calculateur!GH141*Calculateur!GJ141*VLOOKUP('Données projet'!$B$17,Paramètres!$A$1:$I$88,3,0)*0.475*44/12</f>
        <v>#N/A</v>
      </c>
      <c r="GN141" s="23" t="e">
        <f>EXP(-LN(2)/2)*GN140+(1-EXP(-LN(2)/2))/(LN(2)/2)*GH141*GK141*VLOOKUP('Données projet'!$B$17,Paramètres!$A$1:$I$88,3,0)*0.475*44/12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69.262719453895542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projet'!$B$18,Paramètres!$A$1:$I$88,3,0)*0.475*44/12</f>
        <v>#N/A</v>
      </c>
      <c r="HH141" s="23" t="e">
        <f>EXP(-LN(2)/25)*HH140+(1-EXP(-LN(2)/25))/(LN(2)/25)*Calculateur!HC141*Calculateur!HE141*VLOOKUP('Données projet'!$B$18,Paramètres!$A$1:$I$88,3,0)*0.475*44/12</f>
        <v>#N/A</v>
      </c>
      <c r="HI141" s="23" t="e">
        <f>EXP(-LN(2)/2)*HI140+(1-EXP(-LN(2)/2))/(LN(2)/2)*HC141*HF141*VLOOKUP('Données projet'!$B$18,Paramètres!$A$1:$I$88,3,0)*0.475*44/12</f>
        <v>#N/A</v>
      </c>
      <c r="HJ141" s="24" t="e">
        <f t="shared" si="138"/>
        <v>#N/A</v>
      </c>
    </row>
    <row r="142" spans="1:218" s="5" customFormat="1" x14ac:dyDescent="0.2">
      <c r="A142" s="11">
        <f t="shared" si="139"/>
        <v>139</v>
      </c>
      <c r="B142" s="77">
        <f>'Scénario référence'!$B$16*5+'Scénario référence'!$B$17*0+'Scénario référence'!$B$18*5</f>
        <v>1.6500000000000001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6.0500000000000007</v>
      </c>
      <c r="H142" s="70">
        <f t="shared" si="110"/>
        <v>232.4666666666667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69.275509623058085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projet'!$B$9,Paramètres!$A$1:$I$88,3,0)*VLOOKUP('Données projet'!$B$9,Paramètres!$A$1:$I$88,5,0)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290.67686861788161</v>
      </c>
      <c r="S142" s="62">
        <f ca="1">AVERAGE(OFFSET($R$3,0,0,'Données projet'!$E$9+1,1))-AVERAGE(OFFSET($H$3,0,0,'Données projet'!$E$9+1,1))</f>
        <v>354.71367224254021</v>
      </c>
      <c r="T142" s="62">
        <f t="shared" si="142"/>
        <v>490.074370133397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36.239934959073913</v>
      </c>
      <c r="AA142" s="23">
        <f>EXP(-LN(2)/25)*AA141+(1-EXP(-LN(2)/25))/(LN(2)/25)*Calculateur!V142*Calculateur!X142*VLOOKUP('Données projet'!$B$9,Paramètres!$A$1:$I$88,3,0)*0.475*44/12</f>
        <v>4.1447589152458306</v>
      </c>
      <c r="AB142" s="23">
        <f>EXP(-LN(2)/2)*AB141+(1-EXP(-LN(2)/2))/(LN(2)/2)*V142*Y142*VLOOKUP('Données projet'!$B$9,Paramètres!$A$1:$I$88,3,0)*0.475*44/12</f>
        <v>7.3213112653000411E-13</v>
      </c>
      <c r="AC142" s="24">
        <f t="shared" si="111"/>
        <v>40.384693874320476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69.275509623058085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2.2737367544323206E-13</v>
      </c>
      <c r="AJ142" s="14">
        <f>AI142*VLOOKUP('Données projet'!$B$10,Paramètres!$A$1:$I$88,3,0)*VLOOKUP('Données projet'!$B$10,Paramètres!$A$1:$I$88,5,0)</f>
        <v>1.3596945791505279E-13</v>
      </c>
      <c r="AK142" s="14">
        <f t="shared" si="143"/>
        <v>1.9708830566360721E-12</v>
      </c>
      <c r="AL142" s="22">
        <f t="shared" si="112"/>
        <v>3.669434796176543E-12</v>
      </c>
      <c r="AM142" s="62">
        <f t="shared" si="113"/>
        <v>290.67686861788331</v>
      </c>
      <c r="AN142" s="62">
        <f ca="1">AVERAGE(OFFSET($AM$3,0,0,'Données projet'!$E$10+1,1))-AVERAGE(OFFSET($H$3,0,0,'Données projet'!$E$10+1,1))</f>
        <v>264.73276096087574</v>
      </c>
      <c r="AO142" s="62">
        <f t="shared" si="144"/>
        <v>381.84464918049662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projet'!$B$10,Paramètres!$A$1:$I$88,3,0)*0.475*44/12</f>
        <v>25.415296666135919</v>
      </c>
      <c r="AV142" s="23">
        <f>EXP(-LN(2)/25)*AV141+(1-EXP(-LN(2)/25))/(LN(2)/25)*Calculateur!AQ142*Calculateur!AS142*VLOOKUP('Données projet'!$B$10,Paramètres!$A$1:$I$88,3,0)*0.475*44/12</f>
        <v>2.9118264523707249</v>
      </c>
      <c r="AW142" s="23">
        <f>EXP(-LN(2)/2)*AW141+(1-EXP(-LN(2)/2))/(LN(2)/2)*AQ142*AT142*VLOOKUP('Données projet'!$B$10,Paramètres!$A$1:$I$88,3,0)*0.475*44/12</f>
        <v>5.1264428116702655E-13</v>
      </c>
      <c r="AX142" s="23">
        <f t="shared" si="114"/>
        <v>28.327123118507156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69.275509623058085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-2.8421709430404007E-13</v>
      </c>
      <c r="BE142" s="14">
        <f>BD142*VLOOKUP('Données projet'!$B$11,Paramètres!$A$1:$I$88,3,0)*VLOOKUP('Données projet'!$B$11,Paramètres!$A$1:$I$88,5,0)</f>
        <v>-3.2366642699344083E-13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470.57532875732056</v>
      </c>
      <c r="BJ142" s="62">
        <f t="shared" si="146"/>
        <v>286.63787681165888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projet'!$B$11,Paramètres!$A$1:$I$88,3,0)*0.475*44/12</f>
        <v>111.48423832237918</v>
      </c>
      <c r="BQ142" s="23">
        <f>EXP(-LN(2)/25)*BQ141+(1-EXP(-LN(2)/25))/(LN(2)/25)*Calculateur!BL142*Calculateur!BN142*VLOOKUP('Données projet'!$B$11,Paramètres!$A$1:$I$88,3,0)*0.475*44/12</f>
        <v>0</v>
      </c>
      <c r="BR142" s="23">
        <f>EXP(-LN(2)/2)*BR141+(1-EXP(-LN(2)/2))/(LN(2)/2)*BL142*BO142*VLOOKUP('Données projet'!$B$11,Paramètres!$A$1:$I$88,3,0)*0.475*44/12</f>
        <v>0</v>
      </c>
      <c r="BS142" s="24">
        <f t="shared" si="117"/>
        <v>111.48423832237918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69.275509623058085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-2.2737367544323206E-13</v>
      </c>
      <c r="BZ142" s="14">
        <f>BY142*VLOOKUP('Données projet'!$B$12,Paramètres!$A$1:$I$88,3,0)*VLOOKUP('Données projet'!$B$12,Paramètres!$A$1:$I$88,5,0)</f>
        <v>-1.4897523215040565E-13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305.38855494899906</v>
      </c>
      <c r="CE142" s="62">
        <f t="shared" si="148"/>
        <v>298.48106301229177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projet'!$B$12,Paramètres!$A$1:$I$88,3,0)*0.475*44/12</f>
        <v>26.356603318500699</v>
      </c>
      <c r="CL142" s="23">
        <f>EXP(-LN(2)/25)*CL141+(1-EXP(-LN(2)/25))/(LN(2)/25)*Calculateur!CG142*Calculateur!CI142*VLOOKUP('Données projet'!$B$12,Paramètres!$A$1:$I$88,3,0)*0.475*44/12</f>
        <v>0</v>
      </c>
      <c r="CM142" s="23">
        <f>EXP(-LN(2)/2)*CM141+(1-EXP(-LN(2)/2))/(LN(2)/2)*CG142*CJ142*VLOOKUP('Données projet'!$B$12,Paramètres!$A$1:$I$88,3,0)*0.475*44/12</f>
        <v>0</v>
      </c>
      <c r="CN142" s="24">
        <f t="shared" si="120"/>
        <v>26.356603318500699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69.275509623058085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-2.2737367544323206E-13</v>
      </c>
      <c r="CU142" s="18">
        <f>CT142*VLOOKUP('Données projet'!$B$13,Paramètres!$A$1:$I$88,3,0)*VLOOKUP('Données projet'!$B$13,Paramètres!$A$1:$I$88,5,0)</f>
        <v>-1.8089849618263545E-13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361.30066984973894</v>
      </c>
      <c r="CZ142" s="62">
        <f t="shared" si="150"/>
        <v>351.78053157121622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projet'!$B$13,Paramètres!$A$1:$I$88,3,0)*0.475*44/12</f>
        <v>39.447341511576603</v>
      </c>
      <c r="DG142" s="23">
        <f>EXP(-LN(2)/25)*DG141+(1-EXP(-LN(2)/25))/(LN(2)/25)*Calculateur!DB142*Calculateur!DD142*VLOOKUP('Données projet'!$B$13,Paramètres!$A$1:$I$88,3,0)*0.475*44/12</f>
        <v>0</v>
      </c>
      <c r="DH142" s="23">
        <f>EXP(-LN(2)/2)*DH141+(1-EXP(-LN(2)/2))/(LN(2)/2)*DB142*DE142*VLOOKUP('Données projet'!$B$13,Paramètres!$A$1:$I$88,3,0)*0.475*44/12</f>
        <v>0</v>
      </c>
      <c r="DI142" s="24">
        <f t="shared" si="123"/>
        <v>39.447341511576603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69.275509623058085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>
        <f>DO142*VLOOKUP('Données projet'!$B$14,Paramètres!$A$1:$I$88,3,0)*VLOOKUP('Données projet'!$B$14,Paramètres!$A$1:$I$88,5,0)</f>
        <v>0</v>
      </c>
      <c r="DQ142" s="14" t="e">
        <f t="shared" si="151"/>
        <v>#NUM!</v>
      </c>
      <c r="DR142" s="22" t="e">
        <f t="shared" si="124"/>
        <v>#NUM!</v>
      </c>
      <c r="DS142" s="62" t="e">
        <f t="shared" si="125"/>
        <v>#NUM!</v>
      </c>
      <c r="DT142" s="62">
        <f ca="1">AVERAGE(OFFSET($DS$3,0,0,'Données projet'!$E$14+1,1))-AVERAGE(OFFSET($H$3,0,0,'Données projet'!$E$14+1,1))</f>
        <v>91.201152634762423</v>
      </c>
      <c r="DU142" s="62">
        <f t="shared" si="152"/>
        <v>233.36981992862445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projet'!$B$14,Paramètres!$A$1:$I$88,3,0)*0.475*44/12</f>
        <v>4.7874337825868052</v>
      </c>
      <c r="EB142" s="23">
        <f>EXP(-LN(2)/25)*EB141+(1-EXP(-LN(2)/25))/(LN(2)/25)*Calculateur!DW142*Calculateur!DY142*VLOOKUP('Données projet'!$B$14,Paramètres!$A$1:$I$88,3,0)*0.475*44/12</f>
        <v>0</v>
      </c>
      <c r="EC142" s="23">
        <f>EXP(-LN(2)/2)*EC141+(1-EXP(-LN(2)/2))/(LN(2)/2)*DW142*DZ142*VLOOKUP('Données projet'!$B$14,Paramètres!$A$1:$I$88,3,0)*0.475*44/12</f>
        <v>0</v>
      </c>
      <c r="ED142" s="24">
        <f t="shared" si="126"/>
        <v>4.7874337825868052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69.275509623058085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projet'!$B$15,Paramètres!$A$1:$I$88,3,0)*0.475*44/12</f>
        <v>#N/A</v>
      </c>
      <c r="EW142" s="23" t="e">
        <f>EXP(-LN(2)/25)*EW141+(1-EXP(-LN(2)/25))/(LN(2)/25)*Calculateur!ER142*Calculateur!ET142*VLOOKUP('Données projet'!$B$15,Paramètres!$A$1:$I$88,3,0)*0.475*44/12</f>
        <v>#N/A</v>
      </c>
      <c r="EX142" s="23" t="e">
        <f>EXP(-LN(2)/2)*EX141+(1-EXP(-LN(2)/2))/(LN(2)/2)*ER142*EU142*VLOOKUP('Données projet'!$B$15,Paramètres!$A$1:$I$88,3,0)*0.475*44/12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69.275509623058085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projet'!$B$16,Paramètres!$A$1:$I$88,3,0)*0.475*44/12</f>
        <v>#N/A</v>
      </c>
      <c r="FR142" s="23" t="e">
        <f>EXP(-LN(2)/25)*FR141+(1-EXP(-LN(2)/25))/(LN(2)/25)*Calculateur!FM142*Calculateur!FO142*VLOOKUP('Données projet'!$B$16,Paramètres!$A$1:$I$88,3,0)*0.475*44/12</f>
        <v>#N/A</v>
      </c>
      <c r="FS142" s="23" t="e">
        <f>EXP(-LN(2)/2)*FS141+(1-EXP(-LN(2)/2))/(LN(2)/2)*FM142*FP142*VLOOKUP('Données projet'!$B$16,Paramètres!$A$1:$I$88,3,0)*0.475*44/12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69.275509623058085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projet'!$B$17,Paramètres!$A$1:$I$88,3,0)*0.475*44/12</f>
        <v>#N/A</v>
      </c>
      <c r="GM142" s="23" t="e">
        <f>EXP(-LN(2)/25)*GM141+(1-EXP(-LN(2)/25))/(LN(2)/25)*Calculateur!GH142*Calculateur!GJ142*VLOOKUP('Données projet'!$B$17,Paramètres!$A$1:$I$88,3,0)*0.475*44/12</f>
        <v>#N/A</v>
      </c>
      <c r="GN142" s="23" t="e">
        <f>EXP(-LN(2)/2)*GN141+(1-EXP(-LN(2)/2))/(LN(2)/2)*GH142*GK142*VLOOKUP('Données projet'!$B$17,Paramètres!$A$1:$I$88,3,0)*0.475*44/12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69.275509623058085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projet'!$B$18,Paramètres!$A$1:$I$88,3,0)*0.475*44/12</f>
        <v>#N/A</v>
      </c>
      <c r="HH142" s="23" t="e">
        <f>EXP(-LN(2)/25)*HH141+(1-EXP(-LN(2)/25))/(LN(2)/25)*Calculateur!HC142*Calculateur!HE142*VLOOKUP('Données projet'!$B$18,Paramètres!$A$1:$I$88,3,0)*0.475*44/12</f>
        <v>#N/A</v>
      </c>
      <c r="HI142" s="23" t="e">
        <f>EXP(-LN(2)/2)*HI141+(1-EXP(-LN(2)/2))/(LN(2)/2)*HC142*HF142*VLOOKUP('Données projet'!$B$18,Paramètres!$A$1:$I$88,3,0)*0.475*44/12</f>
        <v>#N/A</v>
      </c>
      <c r="HJ142" s="24" t="e">
        <f t="shared" si="138"/>
        <v>#N/A</v>
      </c>
    </row>
    <row r="143" spans="1:218" s="5" customFormat="1" x14ac:dyDescent="0.2">
      <c r="A143" s="11">
        <f t="shared" si="139"/>
        <v>140</v>
      </c>
      <c r="B143" s="77">
        <f>'Scénario référence'!$B$16*5+'Scénario référence'!$B$17*0+'Scénario référence'!$B$18*5</f>
        <v>1.6500000000000001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6.0500000000000007</v>
      </c>
      <c r="H143" s="70">
        <f t="shared" si="110"/>
        <v>232.4666666666667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69.288077911380199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projet'!$B$9,Paramètres!$A$1:$I$88,3,0)*VLOOKUP('Données projet'!$B$9,Paramètres!$A$1:$I$88,5,0)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290.72295234172941</v>
      </c>
      <c r="S143" s="62">
        <f ca="1">AVERAGE(OFFSET($R$3,0,0,'Données projet'!$E$9+1,1))-AVERAGE(OFFSET($H$3,0,0,'Données projet'!$E$9+1,1))</f>
        <v>354.71367224254021</v>
      </c>
      <c r="T143" s="62">
        <f t="shared" si="142"/>
        <v>490.074370133397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35.529291938704191</v>
      </c>
      <c r="AA143" s="23">
        <f>EXP(-LN(2)/25)*AA142+(1-EXP(-LN(2)/25))/(LN(2)/25)*Calculateur!V143*Calculateur!X143*VLOOKUP('Données projet'!$B$9,Paramètres!$A$1:$I$88,3,0)*0.475*44/12</f>
        <v>4.0314202647450346</v>
      </c>
      <c r="AB143" s="23">
        <f>EXP(-LN(2)/2)*AB142+(1-EXP(-LN(2)/2))/(LN(2)/2)*V143*Y143*VLOOKUP('Données projet'!$B$9,Paramètres!$A$1:$I$88,3,0)*0.475*44/12</f>
        <v>5.1769488428711214E-13</v>
      </c>
      <c r="AC143" s="24">
        <f t="shared" si="111"/>
        <v>39.560712203449746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69.288077911380199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2.2737367544323206E-13</v>
      </c>
      <c r="AJ143" s="14">
        <f>AI143*VLOOKUP('Données projet'!$B$10,Paramètres!$A$1:$I$88,3,0)*VLOOKUP('Données projet'!$B$10,Paramètres!$A$1:$I$88,5,0)</f>
        <v>1.3596945791505279E-13</v>
      </c>
      <c r="AK143" s="14">
        <f t="shared" si="143"/>
        <v>1.9708830566360721E-12</v>
      </c>
      <c r="AL143" s="22">
        <f t="shared" si="112"/>
        <v>3.669434796176543E-12</v>
      </c>
      <c r="AM143" s="62">
        <f t="shared" si="113"/>
        <v>290.72295234173112</v>
      </c>
      <c r="AN143" s="62">
        <f ca="1">AVERAGE(OFFSET($AM$3,0,0,'Données projet'!$E$10+1,1))-AVERAGE(OFFSET($H$3,0,0,'Données projet'!$E$10+1,1))</f>
        <v>264.73276096087574</v>
      </c>
      <c r="AO143" s="62">
        <f t="shared" si="144"/>
        <v>381.84464918049662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projet'!$B$10,Paramètres!$A$1:$I$88,3,0)*0.475*44/12</f>
        <v>24.916918200313283</v>
      </c>
      <c r="AV143" s="23">
        <f>EXP(-LN(2)/25)*AV142+(1-EXP(-LN(2)/25))/(LN(2)/25)*Calculateur!AQ143*Calculateur!AS143*VLOOKUP('Données projet'!$B$10,Paramètres!$A$1:$I$88,3,0)*0.475*44/12</f>
        <v>2.8322024049043493</v>
      </c>
      <c r="AW143" s="23">
        <f>EXP(-LN(2)/2)*AW142+(1-EXP(-LN(2)/2))/(LN(2)/2)*AQ143*AT143*VLOOKUP('Données projet'!$B$10,Paramètres!$A$1:$I$88,3,0)*0.475*44/12</f>
        <v>3.6249424754970759E-13</v>
      </c>
      <c r="AX143" s="23">
        <f t="shared" si="114"/>
        <v>27.749120605217996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69.288077911380199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-2.8421709430404007E-13</v>
      </c>
      <c r="BE143" s="14">
        <f>BD143*VLOOKUP('Données projet'!$B$11,Paramètres!$A$1:$I$88,3,0)*VLOOKUP('Données projet'!$B$11,Paramètres!$A$1:$I$88,5,0)</f>
        <v>-3.2366642699344083E-13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470.57532875732056</v>
      </c>
      <c r="BJ143" s="62">
        <f t="shared" si="146"/>
        <v>286.63787681165888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projet'!$B$11,Paramètres!$A$1:$I$88,3,0)*0.475*44/12</f>
        <v>109.29810040754839</v>
      </c>
      <c r="BQ143" s="23">
        <f>EXP(-LN(2)/25)*BQ142+(1-EXP(-LN(2)/25))/(LN(2)/25)*Calculateur!BL143*Calculateur!BN143*VLOOKUP('Données projet'!$B$11,Paramètres!$A$1:$I$88,3,0)*0.475*44/12</f>
        <v>0</v>
      </c>
      <c r="BR143" s="23">
        <f>EXP(-LN(2)/2)*BR142+(1-EXP(-LN(2)/2))/(LN(2)/2)*BL143*BO143*VLOOKUP('Données projet'!$B$11,Paramètres!$A$1:$I$88,3,0)*0.475*44/12</f>
        <v>0</v>
      </c>
      <c r="BS143" s="24">
        <f t="shared" si="117"/>
        <v>109.29810040754839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69.288077911380199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-2.2737367544323206E-13</v>
      </c>
      <c r="BZ143" s="14">
        <f>BY143*VLOOKUP('Données projet'!$B$12,Paramètres!$A$1:$I$88,3,0)*VLOOKUP('Données projet'!$B$12,Paramètres!$A$1:$I$88,5,0)</f>
        <v>-1.4897523215040565E-13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305.38855494899906</v>
      </c>
      <c r="CE143" s="62">
        <f t="shared" si="148"/>
        <v>298.48106301229177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projet'!$B$12,Paramètres!$A$1:$I$88,3,0)*0.475*44/12</f>
        <v>25.839766403365559</v>
      </c>
      <c r="CL143" s="23">
        <f>EXP(-LN(2)/25)*CL142+(1-EXP(-LN(2)/25))/(LN(2)/25)*Calculateur!CG143*Calculateur!CI143*VLOOKUP('Données projet'!$B$12,Paramètres!$A$1:$I$88,3,0)*0.475*44/12</f>
        <v>0</v>
      </c>
      <c r="CM143" s="23">
        <f>EXP(-LN(2)/2)*CM142+(1-EXP(-LN(2)/2))/(LN(2)/2)*CG143*CJ143*VLOOKUP('Données projet'!$B$12,Paramètres!$A$1:$I$88,3,0)*0.475*44/12</f>
        <v>0</v>
      </c>
      <c r="CN143" s="24">
        <f t="shared" si="120"/>
        <v>25.839766403365559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69.288077911380199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-2.2737367544323206E-13</v>
      </c>
      <c r="CU143" s="18">
        <f>CT143*VLOOKUP('Données projet'!$B$13,Paramètres!$A$1:$I$88,3,0)*VLOOKUP('Données projet'!$B$13,Paramètres!$A$1:$I$88,5,0)</f>
        <v>-1.8089849618263545E-13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361.30066984973894</v>
      </c>
      <c r="CZ143" s="62">
        <f t="shared" si="150"/>
        <v>351.78053157121622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projet'!$B$13,Paramètres!$A$1:$I$88,3,0)*0.475*44/12</f>
        <v>38.673803205037132</v>
      </c>
      <c r="DG143" s="23">
        <f>EXP(-LN(2)/25)*DG142+(1-EXP(-LN(2)/25))/(LN(2)/25)*Calculateur!DB143*Calculateur!DD143*VLOOKUP('Données projet'!$B$13,Paramètres!$A$1:$I$88,3,0)*0.475*44/12</f>
        <v>0</v>
      </c>
      <c r="DH143" s="23">
        <f>EXP(-LN(2)/2)*DH142+(1-EXP(-LN(2)/2))/(LN(2)/2)*DB143*DE143*VLOOKUP('Données projet'!$B$13,Paramètres!$A$1:$I$88,3,0)*0.475*44/12</f>
        <v>0</v>
      </c>
      <c r="DI143" s="24">
        <f t="shared" si="123"/>
        <v>38.673803205037132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69.288077911380199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>
        <f>DO143*VLOOKUP('Données projet'!$B$14,Paramètres!$A$1:$I$88,3,0)*VLOOKUP('Données projet'!$B$14,Paramètres!$A$1:$I$88,5,0)</f>
        <v>0</v>
      </c>
      <c r="DQ143" s="14" t="e">
        <f t="shared" si="151"/>
        <v>#NUM!</v>
      </c>
      <c r="DR143" s="22" t="e">
        <f t="shared" si="124"/>
        <v>#NUM!</v>
      </c>
      <c r="DS143" s="62" t="e">
        <f t="shared" si="125"/>
        <v>#NUM!</v>
      </c>
      <c r="DT143" s="62">
        <f ca="1">AVERAGE(OFFSET($DS$3,0,0,'Données projet'!$E$14+1,1))-AVERAGE(OFFSET($H$3,0,0,'Données projet'!$E$14+1,1))</f>
        <v>91.201152634762423</v>
      </c>
      <c r="DU143" s="62">
        <f t="shared" si="152"/>
        <v>233.36981992862445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projet'!$B$14,Paramètres!$A$1:$I$88,3,0)*0.475*44/12</f>
        <v>4.6935551261565545</v>
      </c>
      <c r="EB143" s="23">
        <f>EXP(-LN(2)/25)*EB142+(1-EXP(-LN(2)/25))/(LN(2)/25)*Calculateur!DW143*Calculateur!DY143*VLOOKUP('Données projet'!$B$14,Paramètres!$A$1:$I$88,3,0)*0.475*44/12</f>
        <v>0</v>
      </c>
      <c r="EC143" s="23">
        <f>EXP(-LN(2)/2)*EC142+(1-EXP(-LN(2)/2))/(LN(2)/2)*DW143*DZ143*VLOOKUP('Données projet'!$B$14,Paramètres!$A$1:$I$88,3,0)*0.475*44/12</f>
        <v>0</v>
      </c>
      <c r="ED143" s="24">
        <f t="shared" si="126"/>
        <v>4.6935551261565545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69.288077911380199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projet'!$B$15,Paramètres!$A$1:$I$88,3,0)*0.475*44/12</f>
        <v>#N/A</v>
      </c>
      <c r="EW143" s="23" t="e">
        <f>EXP(-LN(2)/25)*EW142+(1-EXP(-LN(2)/25))/(LN(2)/25)*Calculateur!ER143*Calculateur!ET143*VLOOKUP('Données projet'!$B$15,Paramètres!$A$1:$I$88,3,0)*0.475*44/12</f>
        <v>#N/A</v>
      </c>
      <c r="EX143" s="23" t="e">
        <f>EXP(-LN(2)/2)*EX142+(1-EXP(-LN(2)/2))/(LN(2)/2)*ER143*EU143*VLOOKUP('Données projet'!$B$15,Paramètres!$A$1:$I$88,3,0)*0.475*44/12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69.288077911380199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projet'!$B$16,Paramètres!$A$1:$I$88,3,0)*0.475*44/12</f>
        <v>#N/A</v>
      </c>
      <c r="FR143" s="23" t="e">
        <f>EXP(-LN(2)/25)*FR142+(1-EXP(-LN(2)/25))/(LN(2)/25)*Calculateur!FM143*Calculateur!FO143*VLOOKUP('Données projet'!$B$16,Paramètres!$A$1:$I$88,3,0)*0.475*44/12</f>
        <v>#N/A</v>
      </c>
      <c r="FS143" s="23" t="e">
        <f>EXP(-LN(2)/2)*FS142+(1-EXP(-LN(2)/2))/(LN(2)/2)*FM143*FP143*VLOOKUP('Données projet'!$B$16,Paramètres!$A$1:$I$88,3,0)*0.475*44/12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69.288077911380199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projet'!$B$17,Paramètres!$A$1:$I$88,3,0)*0.475*44/12</f>
        <v>#N/A</v>
      </c>
      <c r="GM143" s="23" t="e">
        <f>EXP(-LN(2)/25)*GM142+(1-EXP(-LN(2)/25))/(LN(2)/25)*Calculateur!GH143*Calculateur!GJ143*VLOOKUP('Données projet'!$B$17,Paramètres!$A$1:$I$88,3,0)*0.475*44/12</f>
        <v>#N/A</v>
      </c>
      <c r="GN143" s="23" t="e">
        <f>EXP(-LN(2)/2)*GN142+(1-EXP(-LN(2)/2))/(LN(2)/2)*GH143*GK143*VLOOKUP('Données projet'!$B$17,Paramètres!$A$1:$I$88,3,0)*0.475*44/12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69.288077911380199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projet'!$B$18,Paramètres!$A$1:$I$88,3,0)*0.475*44/12</f>
        <v>#N/A</v>
      </c>
      <c r="HH143" s="23" t="e">
        <f>EXP(-LN(2)/25)*HH142+(1-EXP(-LN(2)/25))/(LN(2)/25)*Calculateur!HC143*Calculateur!HE143*VLOOKUP('Données projet'!$B$18,Paramètres!$A$1:$I$88,3,0)*0.475*44/12</f>
        <v>#N/A</v>
      </c>
      <c r="HI143" s="23" t="e">
        <f>EXP(-LN(2)/2)*HI142+(1-EXP(-LN(2)/2))/(LN(2)/2)*HC143*HF143*VLOOKUP('Données projet'!$B$18,Paramètres!$A$1:$I$88,3,0)*0.475*44/12</f>
        <v>#N/A</v>
      </c>
      <c r="HJ143" s="24" t="e">
        <f t="shared" si="138"/>
        <v>#N/A</v>
      </c>
    </row>
    <row r="144" spans="1:218" s="5" customFormat="1" x14ac:dyDescent="0.2">
      <c r="A144" s="11">
        <f t="shared" si="139"/>
        <v>141</v>
      </c>
      <c r="B144" s="77">
        <f>'Scénario référence'!$B$16*5+'Scénario référence'!$B$17*0+'Scénario référence'!$B$18*5</f>
        <v>1.6500000000000001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6.0500000000000007</v>
      </c>
      <c r="H144" s="70">
        <f t="shared" si="110"/>
        <v>232.4666666666667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69.300428167998405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projet'!$B$9,Paramètres!$A$1:$I$88,3,0)*VLOOKUP('Données projet'!$B$9,Paramètres!$A$1:$I$88,5,0)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290.7682366159961</v>
      </c>
      <c r="S144" s="62">
        <f ca="1">AVERAGE(OFFSET($R$3,0,0,'Données projet'!$E$9+1,1))-AVERAGE(OFFSET($H$3,0,0,'Données projet'!$E$9+1,1))</f>
        <v>354.71367224254021</v>
      </c>
      <c r="T144" s="62">
        <f t="shared" si="142"/>
        <v>490.074370133397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34.832584194514475</v>
      </c>
      <c r="AA144" s="23">
        <f>EXP(-LN(2)/25)*AA143+(1-EXP(-LN(2)/25))/(LN(2)/25)*Calculateur!V144*Calculateur!X144*VLOOKUP('Données projet'!$B$9,Paramètres!$A$1:$I$88,3,0)*0.475*44/12</f>
        <v>3.9211808656024036</v>
      </c>
      <c r="AB144" s="23">
        <f>EXP(-LN(2)/2)*AB143+(1-EXP(-LN(2)/2))/(LN(2)/2)*V144*Y144*VLOOKUP('Données projet'!$B$9,Paramètres!$A$1:$I$88,3,0)*0.475*44/12</f>
        <v>3.6606556326500205E-13</v>
      </c>
      <c r="AC144" s="24">
        <f t="shared" si="111"/>
        <v>38.753765060117246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69.300428167998405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2.2737367544323206E-13</v>
      </c>
      <c r="AJ144" s="14">
        <f>AI144*VLOOKUP('Données projet'!$B$10,Paramètres!$A$1:$I$88,3,0)*VLOOKUP('Données projet'!$B$10,Paramètres!$A$1:$I$88,5,0)</f>
        <v>1.3596945791505279E-13</v>
      </c>
      <c r="AK144" s="14">
        <f t="shared" si="143"/>
        <v>1.9708830566360721E-12</v>
      </c>
      <c r="AL144" s="22">
        <f t="shared" si="112"/>
        <v>3.669434796176543E-12</v>
      </c>
      <c r="AM144" s="62">
        <f t="shared" si="113"/>
        <v>290.76823661599781</v>
      </c>
      <c r="AN144" s="62">
        <f ca="1">AVERAGE(OFFSET($AM$3,0,0,'Données projet'!$E$10+1,1))-AVERAGE(OFFSET($H$3,0,0,'Données projet'!$E$10+1,1))</f>
        <v>264.73276096087574</v>
      </c>
      <c r="AO144" s="62">
        <f t="shared" si="144"/>
        <v>381.84464918049662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projet'!$B$10,Paramètres!$A$1:$I$88,3,0)*0.475*44/12</f>
        <v>24.428312632224582</v>
      </c>
      <c r="AV144" s="23">
        <f>EXP(-LN(2)/25)*AV143+(1-EXP(-LN(2)/25))/(LN(2)/25)*Calculateur!AQ144*Calculateur!AS144*VLOOKUP('Données projet'!$B$10,Paramètres!$A$1:$I$88,3,0)*0.475*44/12</f>
        <v>2.7547556812031884</v>
      </c>
      <c r="AW144" s="23">
        <f>EXP(-LN(2)/2)*AW143+(1-EXP(-LN(2)/2))/(LN(2)/2)*AQ144*AT144*VLOOKUP('Données projet'!$B$10,Paramètres!$A$1:$I$88,3,0)*0.475*44/12</f>
        <v>2.5632214058351327E-13</v>
      </c>
      <c r="AX144" s="23">
        <f t="shared" si="114"/>
        <v>27.183068313428027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69.300428167998405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-2.8421709430404007E-13</v>
      </c>
      <c r="BE144" s="14">
        <f>BD144*VLOOKUP('Données projet'!$B$11,Paramètres!$A$1:$I$88,3,0)*VLOOKUP('Données projet'!$B$11,Paramètres!$A$1:$I$88,5,0)</f>
        <v>-3.2366642699344083E-13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470.57532875732056</v>
      </c>
      <c r="BJ144" s="62">
        <f t="shared" si="146"/>
        <v>286.63787681165888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projet'!$B$11,Paramètres!$A$1:$I$88,3,0)*0.475*44/12</f>
        <v>107.15483132381496</v>
      </c>
      <c r="BQ144" s="23">
        <f>EXP(-LN(2)/25)*BQ143+(1-EXP(-LN(2)/25))/(LN(2)/25)*Calculateur!BL144*Calculateur!BN144*VLOOKUP('Données projet'!$B$11,Paramètres!$A$1:$I$88,3,0)*0.475*44/12</f>
        <v>0</v>
      </c>
      <c r="BR144" s="23">
        <f>EXP(-LN(2)/2)*BR143+(1-EXP(-LN(2)/2))/(LN(2)/2)*BL144*BO144*VLOOKUP('Données projet'!$B$11,Paramètres!$A$1:$I$88,3,0)*0.475*44/12</f>
        <v>0</v>
      </c>
      <c r="BS144" s="24">
        <f t="shared" si="117"/>
        <v>107.15483132381496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69.300428167998405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-2.2737367544323206E-13</v>
      </c>
      <c r="BZ144" s="14">
        <f>BY144*VLOOKUP('Données projet'!$B$12,Paramètres!$A$1:$I$88,3,0)*VLOOKUP('Données projet'!$B$12,Paramètres!$A$1:$I$88,5,0)</f>
        <v>-1.4897523215040565E-13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305.38855494899906</v>
      </c>
      <c r="CE144" s="62">
        <f t="shared" si="148"/>
        <v>298.48106301229177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projet'!$B$12,Paramètres!$A$1:$I$88,3,0)*0.475*44/12</f>
        <v>25.333064344896826</v>
      </c>
      <c r="CL144" s="23">
        <f>EXP(-LN(2)/25)*CL143+(1-EXP(-LN(2)/25))/(LN(2)/25)*Calculateur!CG144*Calculateur!CI144*VLOOKUP('Données projet'!$B$12,Paramètres!$A$1:$I$88,3,0)*0.475*44/12</f>
        <v>0</v>
      </c>
      <c r="CM144" s="23">
        <f>EXP(-LN(2)/2)*CM143+(1-EXP(-LN(2)/2))/(LN(2)/2)*CG144*CJ144*VLOOKUP('Données projet'!$B$12,Paramètres!$A$1:$I$88,3,0)*0.475*44/12</f>
        <v>0</v>
      </c>
      <c r="CN144" s="24">
        <f t="shared" si="120"/>
        <v>25.333064344896826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69.300428167998405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-2.2737367544323206E-13</v>
      </c>
      <c r="CU144" s="18">
        <f>CT144*VLOOKUP('Données projet'!$B$13,Paramètres!$A$1:$I$88,3,0)*VLOOKUP('Données projet'!$B$13,Paramètres!$A$1:$I$88,5,0)</f>
        <v>-1.8089849618263545E-13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361.30066984973894</v>
      </c>
      <c r="CZ144" s="62">
        <f t="shared" si="150"/>
        <v>351.78053157121622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projet'!$B$13,Paramètres!$A$1:$I$88,3,0)*0.475*44/12</f>
        <v>37.915433512877122</v>
      </c>
      <c r="DG144" s="23">
        <f>EXP(-LN(2)/25)*DG143+(1-EXP(-LN(2)/25))/(LN(2)/25)*Calculateur!DB144*Calculateur!DD144*VLOOKUP('Données projet'!$B$13,Paramètres!$A$1:$I$88,3,0)*0.475*44/12</f>
        <v>0</v>
      </c>
      <c r="DH144" s="23">
        <f>EXP(-LN(2)/2)*DH143+(1-EXP(-LN(2)/2))/(LN(2)/2)*DB144*DE144*VLOOKUP('Données projet'!$B$13,Paramètres!$A$1:$I$88,3,0)*0.475*44/12</f>
        <v>0</v>
      </c>
      <c r="DI144" s="24">
        <f t="shared" si="123"/>
        <v>37.915433512877122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69.300428167998405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>
        <f>DO144*VLOOKUP('Données projet'!$B$14,Paramètres!$A$1:$I$88,3,0)*VLOOKUP('Données projet'!$B$14,Paramètres!$A$1:$I$88,5,0)</f>
        <v>0</v>
      </c>
      <c r="DQ144" s="14" t="e">
        <f t="shared" si="151"/>
        <v>#NUM!</v>
      </c>
      <c r="DR144" s="22" t="e">
        <f t="shared" si="124"/>
        <v>#NUM!</v>
      </c>
      <c r="DS144" s="62" t="e">
        <f t="shared" si="125"/>
        <v>#NUM!</v>
      </c>
      <c r="DT144" s="62">
        <f ca="1">AVERAGE(OFFSET($DS$3,0,0,'Données projet'!$E$14+1,1))-AVERAGE(OFFSET($H$3,0,0,'Données projet'!$E$14+1,1))</f>
        <v>91.201152634762423</v>
      </c>
      <c r="DU144" s="62">
        <f t="shared" si="152"/>
        <v>233.36981992862445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projet'!$B$14,Paramètres!$A$1:$I$88,3,0)*0.475*44/12</f>
        <v>4.6015173729185745</v>
      </c>
      <c r="EB144" s="23">
        <f>EXP(-LN(2)/25)*EB143+(1-EXP(-LN(2)/25))/(LN(2)/25)*Calculateur!DW144*Calculateur!DY144*VLOOKUP('Données projet'!$B$14,Paramètres!$A$1:$I$88,3,0)*0.475*44/12</f>
        <v>0</v>
      </c>
      <c r="EC144" s="23">
        <f>EXP(-LN(2)/2)*EC143+(1-EXP(-LN(2)/2))/(LN(2)/2)*DW144*DZ144*VLOOKUP('Données projet'!$B$14,Paramètres!$A$1:$I$88,3,0)*0.475*44/12</f>
        <v>0</v>
      </c>
      <c r="ED144" s="24">
        <f t="shared" si="126"/>
        <v>4.6015173729185745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69.300428167998405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projet'!$B$15,Paramètres!$A$1:$I$88,3,0)*0.475*44/12</f>
        <v>#N/A</v>
      </c>
      <c r="EW144" s="23" t="e">
        <f>EXP(-LN(2)/25)*EW143+(1-EXP(-LN(2)/25))/(LN(2)/25)*Calculateur!ER144*Calculateur!ET144*VLOOKUP('Données projet'!$B$15,Paramètres!$A$1:$I$88,3,0)*0.475*44/12</f>
        <v>#N/A</v>
      </c>
      <c r="EX144" s="23" t="e">
        <f>EXP(-LN(2)/2)*EX143+(1-EXP(-LN(2)/2))/(LN(2)/2)*ER144*EU144*VLOOKUP('Données projet'!$B$15,Paramètres!$A$1:$I$88,3,0)*0.475*44/12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69.300428167998405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projet'!$B$16,Paramètres!$A$1:$I$88,3,0)*0.475*44/12</f>
        <v>#N/A</v>
      </c>
      <c r="FR144" s="23" t="e">
        <f>EXP(-LN(2)/25)*FR143+(1-EXP(-LN(2)/25))/(LN(2)/25)*Calculateur!FM144*Calculateur!FO144*VLOOKUP('Données projet'!$B$16,Paramètres!$A$1:$I$88,3,0)*0.475*44/12</f>
        <v>#N/A</v>
      </c>
      <c r="FS144" s="23" t="e">
        <f>EXP(-LN(2)/2)*FS143+(1-EXP(-LN(2)/2))/(LN(2)/2)*FM144*FP144*VLOOKUP('Données projet'!$B$16,Paramètres!$A$1:$I$88,3,0)*0.475*44/12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69.300428167998405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projet'!$B$17,Paramètres!$A$1:$I$88,3,0)*0.475*44/12</f>
        <v>#N/A</v>
      </c>
      <c r="GM144" s="23" t="e">
        <f>EXP(-LN(2)/25)*GM143+(1-EXP(-LN(2)/25))/(LN(2)/25)*Calculateur!GH144*Calculateur!GJ144*VLOOKUP('Données projet'!$B$17,Paramètres!$A$1:$I$88,3,0)*0.475*44/12</f>
        <v>#N/A</v>
      </c>
      <c r="GN144" s="23" t="e">
        <f>EXP(-LN(2)/2)*GN143+(1-EXP(-LN(2)/2))/(LN(2)/2)*GH144*GK144*VLOOKUP('Données projet'!$B$17,Paramètres!$A$1:$I$88,3,0)*0.475*44/12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69.300428167998405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projet'!$B$18,Paramètres!$A$1:$I$88,3,0)*0.475*44/12</f>
        <v>#N/A</v>
      </c>
      <c r="HH144" s="23" t="e">
        <f>EXP(-LN(2)/25)*HH143+(1-EXP(-LN(2)/25))/(LN(2)/25)*Calculateur!HC144*Calculateur!HE144*VLOOKUP('Données projet'!$B$18,Paramètres!$A$1:$I$88,3,0)*0.475*44/12</f>
        <v>#N/A</v>
      </c>
      <c r="HI144" s="23" t="e">
        <f>EXP(-LN(2)/2)*HI143+(1-EXP(-LN(2)/2))/(LN(2)/2)*HC144*HF144*VLOOKUP('Données projet'!$B$18,Paramètres!$A$1:$I$88,3,0)*0.475*44/12</f>
        <v>#N/A</v>
      </c>
      <c r="HJ144" s="24" t="e">
        <f t="shared" si="138"/>
        <v>#N/A</v>
      </c>
    </row>
    <row r="145" spans="1:218" s="5" customFormat="1" x14ac:dyDescent="0.2">
      <c r="A145" s="11">
        <f t="shared" si="139"/>
        <v>142</v>
      </c>
      <c r="B145" s="77">
        <f>'Scénario référence'!$B$16*5+'Scénario référence'!$B$17*0+'Scénario référence'!$B$18*5</f>
        <v>1.6500000000000001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6.0500000000000007</v>
      </c>
      <c r="H145" s="70">
        <f t="shared" si="110"/>
        <v>232.4666666666667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69.312564175275327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projet'!$B$9,Paramètres!$A$1:$I$88,3,0)*VLOOKUP('Données projet'!$B$9,Paramètres!$A$1:$I$88,5,0)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290.81273530934482</v>
      </c>
      <c r="S145" s="62">
        <f ca="1">AVERAGE(OFFSET($R$3,0,0,'Données projet'!$E$9+1,1))-AVERAGE(OFFSET($H$3,0,0,'Données projet'!$E$9+1,1))</f>
        <v>354.71367224254021</v>
      </c>
      <c r="T145" s="62">
        <f t="shared" si="142"/>
        <v>490.074370133397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34.14953846423856</v>
      </c>
      <c r="AA145" s="23">
        <f>EXP(-LN(2)/25)*AA144+(1-EXP(-LN(2)/25))/(LN(2)/25)*Calculateur!V145*Calculateur!X145*VLOOKUP('Données projet'!$B$9,Paramètres!$A$1:$I$88,3,0)*0.475*44/12</f>
        <v>3.8139559686265661</v>
      </c>
      <c r="AB145" s="23">
        <f>EXP(-LN(2)/2)*AB144+(1-EXP(-LN(2)/2))/(LN(2)/2)*V145*Y145*VLOOKUP('Données projet'!$B$9,Paramètres!$A$1:$I$88,3,0)*0.475*44/12</f>
        <v>2.5884744214355607E-13</v>
      </c>
      <c r="AC145" s="24">
        <f t="shared" si="111"/>
        <v>37.963494432865382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69.312564175275327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2.2737367544323206E-13</v>
      </c>
      <c r="AJ145" s="14">
        <f>AI145*VLOOKUP('Données projet'!$B$10,Paramètres!$A$1:$I$88,3,0)*VLOOKUP('Données projet'!$B$10,Paramètres!$A$1:$I$88,5,0)</f>
        <v>1.3596945791505279E-13</v>
      </c>
      <c r="AK145" s="14">
        <f t="shared" si="143"/>
        <v>1.9708830566360721E-12</v>
      </c>
      <c r="AL145" s="22">
        <f t="shared" si="112"/>
        <v>3.669434796176543E-12</v>
      </c>
      <c r="AM145" s="62">
        <f t="shared" si="113"/>
        <v>290.81273530934652</v>
      </c>
      <c r="AN145" s="62">
        <f ca="1">AVERAGE(OFFSET($AM$3,0,0,'Données projet'!$E$10+1,1))-AVERAGE(OFFSET($H$3,0,0,'Données projet'!$E$10+1,1))</f>
        <v>264.73276096087574</v>
      </c>
      <c r="AO145" s="62">
        <f t="shared" si="144"/>
        <v>381.84464918049662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projet'!$B$10,Paramètres!$A$1:$I$88,3,0)*0.475*44/12</f>
        <v>23.949288321306131</v>
      </c>
      <c r="AV145" s="23">
        <f>EXP(-LN(2)/25)*AV144+(1-EXP(-LN(2)/25))/(LN(2)/25)*Calculateur!AQ145*Calculateur!AS145*VLOOKUP('Données projet'!$B$10,Paramètres!$A$1:$I$88,3,0)*0.475*44/12</f>
        <v>2.6794267422343818</v>
      </c>
      <c r="AW145" s="23">
        <f>EXP(-LN(2)/2)*AW144+(1-EXP(-LN(2)/2))/(LN(2)/2)*AQ145*AT145*VLOOKUP('Données projet'!$B$10,Paramètres!$A$1:$I$88,3,0)*0.475*44/12</f>
        <v>1.8124712377485379E-13</v>
      </c>
      <c r="AX145" s="23">
        <f t="shared" si="114"/>
        <v>26.628715063540692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69.312564175275327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-2.8421709430404007E-13</v>
      </c>
      <c r="BE145" s="14">
        <f>BD145*VLOOKUP('Données projet'!$B$11,Paramètres!$A$1:$I$88,3,0)*VLOOKUP('Données projet'!$B$11,Paramètres!$A$1:$I$88,5,0)</f>
        <v>-3.2366642699344083E-13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470.57532875732056</v>
      </c>
      <c r="BJ145" s="62">
        <f t="shared" si="146"/>
        <v>286.63787681165888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projet'!$B$11,Paramètres!$A$1:$I$88,3,0)*0.475*44/12</f>
        <v>105.05359043954849</v>
      </c>
      <c r="BQ145" s="23">
        <f>EXP(-LN(2)/25)*BQ144+(1-EXP(-LN(2)/25))/(LN(2)/25)*Calculateur!BL145*Calculateur!BN145*VLOOKUP('Données projet'!$B$11,Paramètres!$A$1:$I$88,3,0)*0.475*44/12</f>
        <v>0</v>
      </c>
      <c r="BR145" s="23">
        <f>EXP(-LN(2)/2)*BR144+(1-EXP(-LN(2)/2))/(LN(2)/2)*BL145*BO145*VLOOKUP('Données projet'!$B$11,Paramètres!$A$1:$I$88,3,0)*0.475*44/12</f>
        <v>0</v>
      </c>
      <c r="BS145" s="24">
        <f t="shared" si="117"/>
        <v>105.05359043954849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69.312564175275327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-2.2737367544323206E-13</v>
      </c>
      <c r="BZ145" s="14">
        <f>BY145*VLOOKUP('Données projet'!$B$12,Paramètres!$A$1:$I$88,3,0)*VLOOKUP('Données projet'!$B$12,Paramètres!$A$1:$I$88,5,0)</f>
        <v>-1.4897523215040565E-13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305.38855494899906</v>
      </c>
      <c r="CE145" s="62">
        <f t="shared" si="148"/>
        <v>298.48106301229177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projet'!$B$12,Paramètres!$A$1:$I$88,3,0)*0.475*44/12</f>
        <v>24.836298404736926</v>
      </c>
      <c r="CL145" s="23">
        <f>EXP(-LN(2)/25)*CL144+(1-EXP(-LN(2)/25))/(LN(2)/25)*Calculateur!CG145*Calculateur!CI145*VLOOKUP('Données projet'!$B$12,Paramètres!$A$1:$I$88,3,0)*0.475*44/12</f>
        <v>0</v>
      </c>
      <c r="CM145" s="23">
        <f>EXP(-LN(2)/2)*CM144+(1-EXP(-LN(2)/2))/(LN(2)/2)*CG145*CJ145*VLOOKUP('Données projet'!$B$12,Paramètres!$A$1:$I$88,3,0)*0.475*44/12</f>
        <v>0</v>
      </c>
      <c r="CN145" s="24">
        <f t="shared" si="120"/>
        <v>24.836298404736926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69.312564175275327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-2.2737367544323206E-13</v>
      </c>
      <c r="CU145" s="18">
        <f>CT145*VLOOKUP('Données projet'!$B$13,Paramètres!$A$1:$I$88,3,0)*VLOOKUP('Données projet'!$B$13,Paramètres!$A$1:$I$88,5,0)</f>
        <v>-1.8089849618263545E-13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361.30066984973894</v>
      </c>
      <c r="CZ145" s="62">
        <f t="shared" si="150"/>
        <v>351.78053157121622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projet'!$B$13,Paramètres!$A$1:$I$88,3,0)*0.475*44/12</f>
        <v>37.171934987820528</v>
      </c>
      <c r="DG145" s="23">
        <f>EXP(-LN(2)/25)*DG144+(1-EXP(-LN(2)/25))/(LN(2)/25)*Calculateur!DB145*Calculateur!DD145*VLOOKUP('Données projet'!$B$13,Paramètres!$A$1:$I$88,3,0)*0.475*44/12</f>
        <v>0</v>
      </c>
      <c r="DH145" s="23">
        <f>EXP(-LN(2)/2)*DH144+(1-EXP(-LN(2)/2))/(LN(2)/2)*DB145*DE145*VLOOKUP('Données projet'!$B$13,Paramètres!$A$1:$I$88,3,0)*0.475*44/12</f>
        <v>0</v>
      </c>
      <c r="DI145" s="24">
        <f t="shared" si="123"/>
        <v>37.171934987820528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69.312564175275327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>
        <f>DO145*VLOOKUP('Données projet'!$B$14,Paramètres!$A$1:$I$88,3,0)*VLOOKUP('Données projet'!$B$14,Paramètres!$A$1:$I$88,5,0)</f>
        <v>0</v>
      </c>
      <c r="DQ145" s="14" t="e">
        <f t="shared" si="151"/>
        <v>#NUM!</v>
      </c>
      <c r="DR145" s="22" t="e">
        <f t="shared" si="124"/>
        <v>#NUM!</v>
      </c>
      <c r="DS145" s="62" t="e">
        <f t="shared" si="125"/>
        <v>#NUM!</v>
      </c>
      <c r="DT145" s="62">
        <f ca="1">AVERAGE(OFFSET($DS$3,0,0,'Données projet'!$E$14+1,1))-AVERAGE(OFFSET($H$3,0,0,'Données projet'!$E$14+1,1))</f>
        <v>91.201152634762423</v>
      </c>
      <c r="DU145" s="62">
        <f t="shared" si="152"/>
        <v>233.36981992862445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projet'!$B$14,Paramètres!$A$1:$I$88,3,0)*0.475*44/12</f>
        <v>4.5112844238841054</v>
      </c>
      <c r="EB145" s="23">
        <f>EXP(-LN(2)/25)*EB144+(1-EXP(-LN(2)/25))/(LN(2)/25)*Calculateur!DW145*Calculateur!DY145*VLOOKUP('Données projet'!$B$14,Paramètres!$A$1:$I$88,3,0)*0.475*44/12</f>
        <v>0</v>
      </c>
      <c r="EC145" s="23">
        <f>EXP(-LN(2)/2)*EC144+(1-EXP(-LN(2)/2))/(LN(2)/2)*DW145*DZ145*VLOOKUP('Données projet'!$B$14,Paramètres!$A$1:$I$88,3,0)*0.475*44/12</f>
        <v>0</v>
      </c>
      <c r="ED145" s="24">
        <f t="shared" si="126"/>
        <v>4.5112844238841054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69.312564175275327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projet'!$B$15,Paramètres!$A$1:$I$88,3,0)*0.475*44/12</f>
        <v>#N/A</v>
      </c>
      <c r="EW145" s="23" t="e">
        <f>EXP(-LN(2)/25)*EW144+(1-EXP(-LN(2)/25))/(LN(2)/25)*Calculateur!ER145*Calculateur!ET145*VLOOKUP('Données projet'!$B$15,Paramètres!$A$1:$I$88,3,0)*0.475*44/12</f>
        <v>#N/A</v>
      </c>
      <c r="EX145" s="23" t="e">
        <f>EXP(-LN(2)/2)*EX144+(1-EXP(-LN(2)/2))/(LN(2)/2)*ER145*EU145*VLOOKUP('Données projet'!$B$15,Paramètres!$A$1:$I$88,3,0)*0.475*44/12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69.312564175275327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projet'!$B$16,Paramètres!$A$1:$I$88,3,0)*0.475*44/12</f>
        <v>#N/A</v>
      </c>
      <c r="FR145" s="23" t="e">
        <f>EXP(-LN(2)/25)*FR144+(1-EXP(-LN(2)/25))/(LN(2)/25)*Calculateur!FM145*Calculateur!FO145*VLOOKUP('Données projet'!$B$16,Paramètres!$A$1:$I$88,3,0)*0.475*44/12</f>
        <v>#N/A</v>
      </c>
      <c r="FS145" s="23" t="e">
        <f>EXP(-LN(2)/2)*FS144+(1-EXP(-LN(2)/2))/(LN(2)/2)*FM145*FP145*VLOOKUP('Données projet'!$B$16,Paramètres!$A$1:$I$88,3,0)*0.475*44/12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69.312564175275327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projet'!$B$17,Paramètres!$A$1:$I$88,3,0)*0.475*44/12</f>
        <v>#N/A</v>
      </c>
      <c r="GM145" s="23" t="e">
        <f>EXP(-LN(2)/25)*GM144+(1-EXP(-LN(2)/25))/(LN(2)/25)*Calculateur!GH145*Calculateur!GJ145*VLOOKUP('Données projet'!$B$17,Paramètres!$A$1:$I$88,3,0)*0.475*44/12</f>
        <v>#N/A</v>
      </c>
      <c r="GN145" s="23" t="e">
        <f>EXP(-LN(2)/2)*GN144+(1-EXP(-LN(2)/2))/(LN(2)/2)*GH145*GK145*VLOOKUP('Données projet'!$B$17,Paramètres!$A$1:$I$88,3,0)*0.475*44/12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69.312564175275327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projet'!$B$18,Paramètres!$A$1:$I$88,3,0)*0.475*44/12</f>
        <v>#N/A</v>
      </c>
      <c r="HH145" s="23" t="e">
        <f>EXP(-LN(2)/25)*HH144+(1-EXP(-LN(2)/25))/(LN(2)/25)*Calculateur!HC145*Calculateur!HE145*VLOOKUP('Données projet'!$B$18,Paramètres!$A$1:$I$88,3,0)*0.475*44/12</f>
        <v>#N/A</v>
      </c>
      <c r="HI145" s="23" t="e">
        <f>EXP(-LN(2)/2)*HI144+(1-EXP(-LN(2)/2))/(LN(2)/2)*HC145*HF145*VLOOKUP('Données projet'!$B$18,Paramètres!$A$1:$I$88,3,0)*0.475*44/12</f>
        <v>#N/A</v>
      </c>
      <c r="HJ145" s="24" t="e">
        <f t="shared" si="138"/>
        <v>#N/A</v>
      </c>
    </row>
    <row r="146" spans="1:218" s="5" customFormat="1" x14ac:dyDescent="0.2">
      <c r="A146" s="11">
        <f t="shared" si="139"/>
        <v>143</v>
      </c>
      <c r="B146" s="77">
        <f>'Scénario référence'!$B$16*5+'Scénario référence'!$B$17*0+'Scénario référence'!$B$18*5</f>
        <v>1.6500000000000001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6.0500000000000007</v>
      </c>
      <c r="H146" s="70">
        <f t="shared" si="110"/>
        <v>232.4666666666667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69.324489649958025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projet'!$B$9,Paramètres!$A$1:$I$88,3,0)*VLOOKUP('Données projet'!$B$9,Paramètres!$A$1:$I$88,5,0)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290.85646204984812</v>
      </c>
      <c r="S146" s="62">
        <f ca="1">AVERAGE(OFFSET($R$3,0,0,'Données projet'!$E$9+1,1))-AVERAGE(OFFSET($H$3,0,0,'Données projet'!$E$9+1,1))</f>
        <v>354.71367224254021</v>
      </c>
      <c r="T146" s="62">
        <f t="shared" si="142"/>
        <v>490.074370133397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33.479886844116599</v>
      </c>
      <c r="AA146" s="23">
        <f>EXP(-LN(2)/25)*AA145+(1-EXP(-LN(2)/25))/(LN(2)/25)*Calculateur!V146*Calculateur!X146*VLOOKUP('Données projet'!$B$9,Paramètres!$A$1:$I$88,3,0)*0.475*44/12</f>
        <v>3.709663142097245</v>
      </c>
      <c r="AB146" s="23">
        <f>EXP(-LN(2)/2)*AB145+(1-EXP(-LN(2)/2))/(LN(2)/2)*V146*Y146*VLOOKUP('Données projet'!$B$9,Paramètres!$A$1:$I$88,3,0)*0.475*44/12</f>
        <v>1.8303278163250103E-13</v>
      </c>
      <c r="AC146" s="24">
        <f t="shared" si="111"/>
        <v>37.189549986214033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69.324489649958025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2.2737367544323206E-13</v>
      </c>
      <c r="AJ146" s="14">
        <f>AI146*VLOOKUP('Données projet'!$B$10,Paramètres!$A$1:$I$88,3,0)*VLOOKUP('Données projet'!$B$10,Paramètres!$A$1:$I$88,5,0)</f>
        <v>1.3596945791505279E-13</v>
      </c>
      <c r="AK146" s="14">
        <f t="shared" si="143"/>
        <v>1.9708830566360721E-12</v>
      </c>
      <c r="AL146" s="22">
        <f t="shared" si="112"/>
        <v>3.669434796176543E-12</v>
      </c>
      <c r="AM146" s="62">
        <f t="shared" si="113"/>
        <v>290.85646204984982</v>
      </c>
      <c r="AN146" s="62">
        <f ca="1">AVERAGE(OFFSET($AM$3,0,0,'Données projet'!$E$10+1,1))-AVERAGE(OFFSET($H$3,0,0,'Données projet'!$E$10+1,1))</f>
        <v>264.73276096087574</v>
      </c>
      <c r="AO146" s="62">
        <f t="shared" si="144"/>
        <v>381.84464918049662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projet'!$B$10,Paramètres!$A$1:$I$88,3,0)*0.475*44/12</f>
        <v>23.479657384948812</v>
      </c>
      <c r="AV146" s="23">
        <f>EXP(-LN(2)/25)*AV145+(1-EXP(-LN(2)/25))/(LN(2)/25)*Calculateur!AQ146*Calculateur!AS146*VLOOKUP('Données projet'!$B$10,Paramètres!$A$1:$I$88,3,0)*0.475*44/12</f>
        <v>2.6061576770630541</v>
      </c>
      <c r="AW146" s="23">
        <f>EXP(-LN(2)/2)*AW145+(1-EXP(-LN(2)/2))/(LN(2)/2)*AQ146*AT146*VLOOKUP('Données projet'!$B$10,Paramètres!$A$1:$I$88,3,0)*0.475*44/12</f>
        <v>1.2816107029175664E-13</v>
      </c>
      <c r="AX146" s="23">
        <f t="shared" si="114"/>
        <v>26.085815062011996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69.324489649958025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-2.8421709430404007E-13</v>
      </c>
      <c r="BE146" s="14">
        <f>BD146*VLOOKUP('Données projet'!$B$11,Paramètres!$A$1:$I$88,3,0)*VLOOKUP('Données projet'!$B$11,Paramètres!$A$1:$I$88,5,0)</f>
        <v>-3.2366642699344083E-13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470.57532875732056</v>
      </c>
      <c r="BJ146" s="62">
        <f t="shared" si="146"/>
        <v>286.63787681165888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projet'!$B$11,Paramètres!$A$1:$I$88,3,0)*0.475*44/12</f>
        <v>102.99355360739209</v>
      </c>
      <c r="BQ146" s="23">
        <f>EXP(-LN(2)/25)*BQ145+(1-EXP(-LN(2)/25))/(LN(2)/25)*Calculateur!BL146*Calculateur!BN146*VLOOKUP('Données projet'!$B$11,Paramètres!$A$1:$I$88,3,0)*0.475*44/12</f>
        <v>0</v>
      </c>
      <c r="BR146" s="23">
        <f>EXP(-LN(2)/2)*BR145+(1-EXP(-LN(2)/2))/(LN(2)/2)*BL146*BO146*VLOOKUP('Données projet'!$B$11,Paramètres!$A$1:$I$88,3,0)*0.475*44/12</f>
        <v>0</v>
      </c>
      <c r="BS146" s="24">
        <f t="shared" si="117"/>
        <v>102.99355360739209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69.324489649958025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-2.2737367544323206E-13</v>
      </c>
      <c r="BZ146" s="14">
        <f>BY146*VLOOKUP('Données projet'!$B$12,Paramètres!$A$1:$I$88,3,0)*VLOOKUP('Données projet'!$B$12,Paramètres!$A$1:$I$88,5,0)</f>
        <v>-1.4897523215040565E-13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305.38855494899906</v>
      </c>
      <c r="CE146" s="62">
        <f t="shared" si="148"/>
        <v>298.48106301229177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projet'!$B$12,Paramètres!$A$1:$I$88,3,0)*0.475*44/12</f>
        <v>24.349273741666256</v>
      </c>
      <c r="CL146" s="23">
        <f>EXP(-LN(2)/25)*CL145+(1-EXP(-LN(2)/25))/(LN(2)/25)*Calculateur!CG146*Calculateur!CI146*VLOOKUP('Données projet'!$B$12,Paramètres!$A$1:$I$88,3,0)*0.475*44/12</f>
        <v>0</v>
      </c>
      <c r="CM146" s="23">
        <f>EXP(-LN(2)/2)*CM145+(1-EXP(-LN(2)/2))/(LN(2)/2)*CG146*CJ146*VLOOKUP('Données projet'!$B$12,Paramètres!$A$1:$I$88,3,0)*0.475*44/12</f>
        <v>0</v>
      </c>
      <c r="CN146" s="24">
        <f t="shared" si="120"/>
        <v>24.349273741666256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69.324489649958025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-2.2737367544323206E-13</v>
      </c>
      <c r="CU146" s="18">
        <f>CT146*VLOOKUP('Données projet'!$B$13,Paramètres!$A$1:$I$88,3,0)*VLOOKUP('Données projet'!$B$13,Paramètres!$A$1:$I$88,5,0)</f>
        <v>-1.8089849618263545E-13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361.30066984973894</v>
      </c>
      <c r="CZ146" s="62">
        <f t="shared" si="150"/>
        <v>351.78053157121622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projet'!$B$13,Paramètres!$A$1:$I$88,3,0)*0.475*44/12</f>
        <v>36.44301601535097</v>
      </c>
      <c r="DG146" s="23">
        <f>EXP(-LN(2)/25)*DG145+(1-EXP(-LN(2)/25))/(LN(2)/25)*Calculateur!DB146*Calculateur!DD146*VLOOKUP('Données projet'!$B$13,Paramètres!$A$1:$I$88,3,0)*0.475*44/12</f>
        <v>0</v>
      </c>
      <c r="DH146" s="23">
        <f>EXP(-LN(2)/2)*DH145+(1-EXP(-LN(2)/2))/(LN(2)/2)*DB146*DE146*VLOOKUP('Données projet'!$B$13,Paramètres!$A$1:$I$88,3,0)*0.475*44/12</f>
        <v>0</v>
      </c>
      <c r="DI146" s="24">
        <f t="shared" si="123"/>
        <v>36.44301601535097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69.324489649958025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>
        <f>DO146*VLOOKUP('Données projet'!$B$14,Paramètres!$A$1:$I$88,3,0)*VLOOKUP('Données projet'!$B$14,Paramètres!$A$1:$I$88,5,0)</f>
        <v>0</v>
      </c>
      <c r="DQ146" s="14" t="e">
        <f t="shared" si="151"/>
        <v>#NUM!</v>
      </c>
      <c r="DR146" s="22" t="e">
        <f t="shared" si="124"/>
        <v>#NUM!</v>
      </c>
      <c r="DS146" s="62" t="e">
        <f t="shared" si="125"/>
        <v>#NUM!</v>
      </c>
      <c r="DT146" s="62">
        <f ca="1">AVERAGE(OFFSET($DS$3,0,0,'Données projet'!$E$14+1,1))-AVERAGE(OFFSET($H$3,0,0,'Données projet'!$E$14+1,1))</f>
        <v>91.201152634762423</v>
      </c>
      <c r="DU146" s="62">
        <f t="shared" si="152"/>
        <v>233.36981992862445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projet'!$B$14,Paramètres!$A$1:$I$88,3,0)*0.475*44/12</f>
        <v>4.422820887943538</v>
      </c>
      <c r="EB146" s="23">
        <f>EXP(-LN(2)/25)*EB145+(1-EXP(-LN(2)/25))/(LN(2)/25)*Calculateur!DW146*Calculateur!DY146*VLOOKUP('Données projet'!$B$14,Paramètres!$A$1:$I$88,3,0)*0.475*44/12</f>
        <v>0</v>
      </c>
      <c r="EC146" s="23">
        <f>EXP(-LN(2)/2)*EC145+(1-EXP(-LN(2)/2))/(LN(2)/2)*DW146*DZ146*VLOOKUP('Données projet'!$B$14,Paramètres!$A$1:$I$88,3,0)*0.475*44/12</f>
        <v>0</v>
      </c>
      <c r="ED146" s="24">
        <f t="shared" si="126"/>
        <v>4.422820887943538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69.324489649958025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projet'!$B$15,Paramètres!$A$1:$I$88,3,0)*0.475*44/12</f>
        <v>#N/A</v>
      </c>
      <c r="EW146" s="23" t="e">
        <f>EXP(-LN(2)/25)*EW145+(1-EXP(-LN(2)/25))/(LN(2)/25)*Calculateur!ER146*Calculateur!ET146*VLOOKUP('Données projet'!$B$15,Paramètres!$A$1:$I$88,3,0)*0.475*44/12</f>
        <v>#N/A</v>
      </c>
      <c r="EX146" s="23" t="e">
        <f>EXP(-LN(2)/2)*EX145+(1-EXP(-LN(2)/2))/(LN(2)/2)*ER146*EU146*VLOOKUP('Données projet'!$B$15,Paramètres!$A$1:$I$88,3,0)*0.475*44/12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69.324489649958025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projet'!$B$16,Paramètres!$A$1:$I$88,3,0)*0.475*44/12</f>
        <v>#N/A</v>
      </c>
      <c r="FR146" s="23" t="e">
        <f>EXP(-LN(2)/25)*FR145+(1-EXP(-LN(2)/25))/(LN(2)/25)*Calculateur!FM146*Calculateur!FO146*VLOOKUP('Données projet'!$B$16,Paramètres!$A$1:$I$88,3,0)*0.475*44/12</f>
        <v>#N/A</v>
      </c>
      <c r="FS146" s="23" t="e">
        <f>EXP(-LN(2)/2)*FS145+(1-EXP(-LN(2)/2))/(LN(2)/2)*FM146*FP146*VLOOKUP('Données projet'!$B$16,Paramètres!$A$1:$I$88,3,0)*0.475*44/12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69.324489649958025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projet'!$B$17,Paramètres!$A$1:$I$88,3,0)*0.475*44/12</f>
        <v>#N/A</v>
      </c>
      <c r="GM146" s="23" t="e">
        <f>EXP(-LN(2)/25)*GM145+(1-EXP(-LN(2)/25))/(LN(2)/25)*Calculateur!GH146*Calculateur!GJ146*VLOOKUP('Données projet'!$B$17,Paramètres!$A$1:$I$88,3,0)*0.475*44/12</f>
        <v>#N/A</v>
      </c>
      <c r="GN146" s="23" t="e">
        <f>EXP(-LN(2)/2)*GN145+(1-EXP(-LN(2)/2))/(LN(2)/2)*GH146*GK146*VLOOKUP('Données projet'!$B$17,Paramètres!$A$1:$I$88,3,0)*0.475*44/12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69.324489649958025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projet'!$B$18,Paramètres!$A$1:$I$88,3,0)*0.475*44/12</f>
        <v>#N/A</v>
      </c>
      <c r="HH146" s="23" t="e">
        <f>EXP(-LN(2)/25)*HH145+(1-EXP(-LN(2)/25))/(LN(2)/25)*Calculateur!HC146*Calculateur!HE146*VLOOKUP('Données projet'!$B$18,Paramètres!$A$1:$I$88,3,0)*0.475*44/12</f>
        <v>#N/A</v>
      </c>
      <c r="HI146" s="23" t="e">
        <f>EXP(-LN(2)/2)*HI145+(1-EXP(-LN(2)/2))/(LN(2)/2)*HC146*HF146*VLOOKUP('Données projet'!$B$18,Paramètres!$A$1:$I$88,3,0)*0.475*44/12</f>
        <v>#N/A</v>
      </c>
      <c r="HJ146" s="24" t="e">
        <f t="shared" si="138"/>
        <v>#N/A</v>
      </c>
    </row>
    <row r="147" spans="1:218" s="5" customFormat="1" x14ac:dyDescent="0.2">
      <c r="A147" s="11">
        <f t="shared" si="139"/>
        <v>144</v>
      </c>
      <c r="B147" s="77">
        <f>'Scénario référence'!$B$16*5+'Scénario référence'!$B$17*0+'Scénario référence'!$B$18*5</f>
        <v>1.6500000000000001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6.0500000000000007</v>
      </c>
      <c r="H147" s="70">
        <f t="shared" si="110"/>
        <v>232.4666666666667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69.336208244316367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projet'!$B$9,Paramètres!$A$1:$I$88,3,0)*VLOOKUP('Données projet'!$B$9,Paramètres!$A$1:$I$88,5,0)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290.89943022916202</v>
      </c>
      <c r="S147" s="62">
        <f ca="1">AVERAGE(OFFSET($R$3,0,0,'Données projet'!$E$9+1,1))-AVERAGE(OFFSET($H$3,0,0,'Données projet'!$E$9+1,1))</f>
        <v>354.71367224254021</v>
      </c>
      <c r="T147" s="62">
        <f t="shared" si="142"/>
        <v>490.074370133397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32.823366683818072</v>
      </c>
      <c r="AA147" s="23">
        <f>EXP(-LN(2)/25)*AA146+(1-EXP(-LN(2)/25))/(LN(2)/25)*Calculateur!V147*Calculateur!X147*VLOOKUP('Données projet'!$B$9,Paramètres!$A$1:$I$88,3,0)*0.475*44/12</f>
        <v>3.6082222083938897</v>
      </c>
      <c r="AB147" s="23">
        <f>EXP(-LN(2)/2)*AB146+(1-EXP(-LN(2)/2))/(LN(2)/2)*V147*Y147*VLOOKUP('Données projet'!$B$9,Paramètres!$A$1:$I$88,3,0)*0.475*44/12</f>
        <v>1.2942372107177804E-13</v>
      </c>
      <c r="AC147" s="24">
        <f t="shared" si="111"/>
        <v>36.431588892212091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69.336208244316367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2.2737367544323206E-13</v>
      </c>
      <c r="AJ147" s="14">
        <f>AI147*VLOOKUP('Données projet'!$B$10,Paramètres!$A$1:$I$88,3,0)*VLOOKUP('Données projet'!$B$10,Paramètres!$A$1:$I$88,5,0)</f>
        <v>1.3596945791505279E-13</v>
      </c>
      <c r="AK147" s="14">
        <f t="shared" si="143"/>
        <v>1.9708830566360721E-12</v>
      </c>
      <c r="AL147" s="22">
        <f t="shared" si="112"/>
        <v>3.669434796176543E-12</v>
      </c>
      <c r="AM147" s="62">
        <f t="shared" si="113"/>
        <v>290.89943022916373</v>
      </c>
      <c r="AN147" s="62">
        <f ca="1">AVERAGE(OFFSET($AM$3,0,0,'Données projet'!$E$10+1,1))-AVERAGE(OFFSET($H$3,0,0,'Données projet'!$E$10+1,1))</f>
        <v>264.73276096087574</v>
      </c>
      <c r="AO147" s="62">
        <f t="shared" si="144"/>
        <v>381.84464918049662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projet'!$B$10,Paramètres!$A$1:$I$88,3,0)*0.475*44/12</f>
        <v>23.019235624806871</v>
      </c>
      <c r="AV147" s="23">
        <f>EXP(-LN(2)/25)*AV146+(1-EXP(-LN(2)/25))/(LN(2)/25)*Calculateur!AQ147*Calculateur!AS147*VLOOKUP('Données projet'!$B$10,Paramètres!$A$1:$I$88,3,0)*0.475*44/12</f>
        <v>2.5348921583318891</v>
      </c>
      <c r="AW147" s="23">
        <f>EXP(-LN(2)/2)*AW146+(1-EXP(-LN(2)/2))/(LN(2)/2)*AQ147*AT147*VLOOKUP('Données projet'!$B$10,Paramètres!$A$1:$I$88,3,0)*0.475*44/12</f>
        <v>9.0623561887426897E-14</v>
      </c>
      <c r="AX147" s="23">
        <f t="shared" si="114"/>
        <v>25.554127783138853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69.336208244316367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-2.8421709430404007E-13</v>
      </c>
      <c r="BE147" s="14">
        <f>BD147*VLOOKUP('Données projet'!$B$11,Paramètres!$A$1:$I$88,3,0)*VLOOKUP('Données projet'!$B$11,Paramètres!$A$1:$I$88,5,0)</f>
        <v>-3.2366642699344083E-13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470.57532875732056</v>
      </c>
      <c r="BJ147" s="62">
        <f t="shared" si="146"/>
        <v>286.63787681165888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projet'!$B$11,Paramètres!$A$1:$I$88,3,0)*0.475*44/12</f>
        <v>100.97391284101589</v>
      </c>
      <c r="BQ147" s="23">
        <f>EXP(-LN(2)/25)*BQ146+(1-EXP(-LN(2)/25))/(LN(2)/25)*Calculateur!BL147*Calculateur!BN147*VLOOKUP('Données projet'!$B$11,Paramètres!$A$1:$I$88,3,0)*0.475*44/12</f>
        <v>0</v>
      </c>
      <c r="BR147" s="23">
        <f>EXP(-LN(2)/2)*BR146+(1-EXP(-LN(2)/2))/(LN(2)/2)*BL147*BO147*VLOOKUP('Données projet'!$B$11,Paramètres!$A$1:$I$88,3,0)*0.475*44/12</f>
        <v>0</v>
      </c>
      <c r="BS147" s="24">
        <f t="shared" si="117"/>
        <v>100.97391284101589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69.336208244316367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-2.2737367544323206E-13</v>
      </c>
      <c r="BZ147" s="14">
        <f>BY147*VLOOKUP('Données projet'!$B$12,Paramètres!$A$1:$I$88,3,0)*VLOOKUP('Données projet'!$B$12,Paramètres!$A$1:$I$88,5,0)</f>
        <v>-1.4897523215040565E-13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305.38855494899906</v>
      </c>
      <c r="CE147" s="62">
        <f t="shared" si="148"/>
        <v>298.48106301229177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projet'!$B$12,Paramètres!$A$1:$I$88,3,0)*0.475*44/12</f>
        <v>23.87179933518269</v>
      </c>
      <c r="CL147" s="23">
        <f>EXP(-LN(2)/25)*CL146+(1-EXP(-LN(2)/25))/(LN(2)/25)*Calculateur!CG147*Calculateur!CI147*VLOOKUP('Données projet'!$B$12,Paramètres!$A$1:$I$88,3,0)*0.475*44/12</f>
        <v>0</v>
      </c>
      <c r="CM147" s="23">
        <f>EXP(-LN(2)/2)*CM146+(1-EXP(-LN(2)/2))/(LN(2)/2)*CG147*CJ147*VLOOKUP('Données projet'!$B$12,Paramètres!$A$1:$I$88,3,0)*0.475*44/12</f>
        <v>0</v>
      </c>
      <c r="CN147" s="24">
        <f t="shared" si="120"/>
        <v>23.87179933518269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69.336208244316367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-2.2737367544323206E-13</v>
      </c>
      <c r="CU147" s="18">
        <f>CT147*VLOOKUP('Données projet'!$B$13,Paramètres!$A$1:$I$88,3,0)*VLOOKUP('Données projet'!$B$13,Paramètres!$A$1:$I$88,5,0)</f>
        <v>-1.8089849618263545E-13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361.30066984973894</v>
      </c>
      <c r="CZ147" s="62">
        <f t="shared" si="150"/>
        <v>351.78053157121622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projet'!$B$13,Paramètres!$A$1:$I$88,3,0)*0.475*44/12</f>
        <v>35.728390699334867</v>
      </c>
      <c r="DG147" s="23">
        <f>EXP(-LN(2)/25)*DG146+(1-EXP(-LN(2)/25))/(LN(2)/25)*Calculateur!DB147*Calculateur!DD147*VLOOKUP('Données projet'!$B$13,Paramètres!$A$1:$I$88,3,0)*0.475*44/12</f>
        <v>0</v>
      </c>
      <c r="DH147" s="23">
        <f>EXP(-LN(2)/2)*DH146+(1-EXP(-LN(2)/2))/(LN(2)/2)*DB147*DE147*VLOOKUP('Données projet'!$B$13,Paramètres!$A$1:$I$88,3,0)*0.475*44/12</f>
        <v>0</v>
      </c>
      <c r="DI147" s="24">
        <f t="shared" si="123"/>
        <v>35.728390699334867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69.336208244316367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>
        <f>DO147*VLOOKUP('Données projet'!$B$14,Paramètres!$A$1:$I$88,3,0)*VLOOKUP('Données projet'!$B$14,Paramètres!$A$1:$I$88,5,0)</f>
        <v>0</v>
      </c>
      <c r="DQ147" s="14" t="e">
        <f t="shared" si="151"/>
        <v>#NUM!</v>
      </c>
      <c r="DR147" s="22" t="e">
        <f t="shared" si="124"/>
        <v>#NUM!</v>
      </c>
      <c r="DS147" s="62" t="e">
        <f t="shared" si="125"/>
        <v>#NUM!</v>
      </c>
      <c r="DT147" s="62">
        <f ca="1">AVERAGE(OFFSET($DS$3,0,0,'Données projet'!$E$14+1,1))-AVERAGE(OFFSET($H$3,0,0,'Données projet'!$E$14+1,1))</f>
        <v>91.201152634762423</v>
      </c>
      <c r="DU147" s="62">
        <f t="shared" si="152"/>
        <v>233.36981992862445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projet'!$B$14,Paramètres!$A$1:$I$88,3,0)*0.475*44/12</f>
        <v>4.3360920679853354</v>
      </c>
      <c r="EB147" s="23">
        <f>EXP(-LN(2)/25)*EB146+(1-EXP(-LN(2)/25))/(LN(2)/25)*Calculateur!DW147*Calculateur!DY147*VLOOKUP('Données projet'!$B$14,Paramètres!$A$1:$I$88,3,0)*0.475*44/12</f>
        <v>0</v>
      </c>
      <c r="EC147" s="23">
        <f>EXP(-LN(2)/2)*EC146+(1-EXP(-LN(2)/2))/(LN(2)/2)*DW147*DZ147*VLOOKUP('Données projet'!$B$14,Paramètres!$A$1:$I$88,3,0)*0.475*44/12</f>
        <v>0</v>
      </c>
      <c r="ED147" s="24">
        <f t="shared" si="126"/>
        <v>4.3360920679853354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69.336208244316367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projet'!$B$15,Paramètres!$A$1:$I$88,3,0)*0.475*44/12</f>
        <v>#N/A</v>
      </c>
      <c r="EW147" s="23" t="e">
        <f>EXP(-LN(2)/25)*EW146+(1-EXP(-LN(2)/25))/(LN(2)/25)*Calculateur!ER147*Calculateur!ET147*VLOOKUP('Données projet'!$B$15,Paramètres!$A$1:$I$88,3,0)*0.475*44/12</f>
        <v>#N/A</v>
      </c>
      <c r="EX147" s="23" t="e">
        <f>EXP(-LN(2)/2)*EX146+(1-EXP(-LN(2)/2))/(LN(2)/2)*ER147*EU147*VLOOKUP('Données projet'!$B$15,Paramètres!$A$1:$I$88,3,0)*0.475*44/12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69.336208244316367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projet'!$B$16,Paramètres!$A$1:$I$88,3,0)*0.475*44/12</f>
        <v>#N/A</v>
      </c>
      <c r="FR147" s="23" t="e">
        <f>EXP(-LN(2)/25)*FR146+(1-EXP(-LN(2)/25))/(LN(2)/25)*Calculateur!FM147*Calculateur!FO147*VLOOKUP('Données projet'!$B$16,Paramètres!$A$1:$I$88,3,0)*0.475*44/12</f>
        <v>#N/A</v>
      </c>
      <c r="FS147" s="23" t="e">
        <f>EXP(-LN(2)/2)*FS146+(1-EXP(-LN(2)/2))/(LN(2)/2)*FM147*FP147*VLOOKUP('Données projet'!$B$16,Paramètres!$A$1:$I$88,3,0)*0.475*44/12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69.336208244316367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projet'!$B$17,Paramètres!$A$1:$I$88,3,0)*0.475*44/12</f>
        <v>#N/A</v>
      </c>
      <c r="GM147" s="23" t="e">
        <f>EXP(-LN(2)/25)*GM146+(1-EXP(-LN(2)/25))/(LN(2)/25)*Calculateur!GH147*Calculateur!GJ147*VLOOKUP('Données projet'!$B$17,Paramètres!$A$1:$I$88,3,0)*0.475*44/12</f>
        <v>#N/A</v>
      </c>
      <c r="GN147" s="23" t="e">
        <f>EXP(-LN(2)/2)*GN146+(1-EXP(-LN(2)/2))/(LN(2)/2)*GH147*GK147*VLOOKUP('Données projet'!$B$17,Paramètres!$A$1:$I$88,3,0)*0.475*44/12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69.336208244316367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projet'!$B$18,Paramètres!$A$1:$I$88,3,0)*0.475*44/12</f>
        <v>#N/A</v>
      </c>
      <c r="HH147" s="23" t="e">
        <f>EXP(-LN(2)/25)*HH146+(1-EXP(-LN(2)/25))/(LN(2)/25)*Calculateur!HC147*Calculateur!HE147*VLOOKUP('Données projet'!$B$18,Paramètres!$A$1:$I$88,3,0)*0.475*44/12</f>
        <v>#N/A</v>
      </c>
      <c r="HI147" s="23" t="e">
        <f>EXP(-LN(2)/2)*HI146+(1-EXP(-LN(2)/2))/(LN(2)/2)*HC147*HF147*VLOOKUP('Données projet'!$B$18,Paramètres!$A$1:$I$88,3,0)*0.475*44/12</f>
        <v>#N/A</v>
      </c>
      <c r="HJ147" s="24" t="e">
        <f t="shared" si="138"/>
        <v>#N/A</v>
      </c>
    </row>
    <row r="148" spans="1:218" s="5" customFormat="1" x14ac:dyDescent="0.2">
      <c r="A148" s="11">
        <f t="shared" si="139"/>
        <v>145</v>
      </c>
      <c r="B148" s="77">
        <f>'Scénario référence'!$B$16*5+'Scénario référence'!$B$17*0+'Scénario référence'!$B$18*5</f>
        <v>1.6500000000000001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6.0500000000000007</v>
      </c>
      <c r="H148" s="70">
        <f t="shared" si="110"/>
        <v>232.4666666666667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69.347723547261438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projet'!$B$9,Paramètres!$A$1:$I$88,3,0)*VLOOKUP('Données projet'!$B$9,Paramètres!$A$1:$I$88,5,0)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290.94165300662723</v>
      </c>
      <c r="S148" s="62">
        <f ca="1">AVERAGE(OFFSET($R$3,0,0,'Données projet'!$E$9+1,1))-AVERAGE(OFFSET($H$3,0,0,'Données projet'!$E$9+1,1))</f>
        <v>354.71367224254021</v>
      </c>
      <c r="T148" s="62">
        <f t="shared" si="142"/>
        <v>490.074370133397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32.179720483425235</v>
      </c>
      <c r="AA148" s="23">
        <f>EXP(-LN(2)/25)*AA147+(1-EXP(-LN(2)/25))/(LN(2)/25)*Calculateur!V148*Calculateur!X148*VLOOKUP('Données projet'!$B$9,Paramètres!$A$1:$I$88,3,0)*0.475*44/12</f>
        <v>3.5095551823571998</v>
      </c>
      <c r="AB148" s="23">
        <f>EXP(-LN(2)/2)*AB147+(1-EXP(-LN(2)/2))/(LN(2)/2)*V148*Y148*VLOOKUP('Données projet'!$B$9,Paramètres!$A$1:$I$88,3,0)*0.475*44/12</f>
        <v>9.1516390816250513E-14</v>
      </c>
      <c r="AC148" s="24">
        <f t="shared" si="111"/>
        <v>35.689275665782525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69.347723547261438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2.2737367544323206E-13</v>
      </c>
      <c r="AJ148" s="14">
        <f>AI148*VLOOKUP('Données projet'!$B$10,Paramètres!$A$1:$I$88,3,0)*VLOOKUP('Données projet'!$B$10,Paramètres!$A$1:$I$88,5,0)</f>
        <v>1.3596945791505279E-13</v>
      </c>
      <c r="AK148" s="14">
        <f t="shared" si="143"/>
        <v>1.9708830566360721E-12</v>
      </c>
      <c r="AL148" s="22">
        <f t="shared" si="112"/>
        <v>3.669434796176543E-12</v>
      </c>
      <c r="AM148" s="62">
        <f t="shared" si="113"/>
        <v>290.94165300662894</v>
      </c>
      <c r="AN148" s="62">
        <f ca="1">AVERAGE(OFFSET($AM$3,0,0,'Données projet'!$E$10+1,1))-AVERAGE(OFFSET($H$3,0,0,'Données projet'!$E$10+1,1))</f>
        <v>264.73276096087574</v>
      </c>
      <c r="AO148" s="62">
        <f t="shared" si="144"/>
        <v>381.84464918049662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projet'!$B$10,Paramètres!$A$1:$I$88,3,0)*0.475*44/12</f>
        <v>22.567842454551769</v>
      </c>
      <c r="AV148" s="23">
        <f>EXP(-LN(2)/25)*AV147+(1-EXP(-LN(2)/25))/(LN(2)/25)*Calculateur!AQ148*Calculateur!AS148*VLOOKUP('Données projet'!$B$10,Paramètres!$A$1:$I$88,3,0)*0.475*44/12</f>
        <v>2.4655753989581184</v>
      </c>
      <c r="AW148" s="23">
        <f>EXP(-LN(2)/2)*AW147+(1-EXP(-LN(2)/2))/(LN(2)/2)*AQ148*AT148*VLOOKUP('Données projet'!$B$10,Paramètres!$A$1:$I$88,3,0)*0.475*44/12</f>
        <v>6.4080535145878318E-14</v>
      </c>
      <c r="AX148" s="23">
        <f t="shared" si="114"/>
        <v>25.033417853509953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69.347723547261438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-2.8421709430404007E-13</v>
      </c>
      <c r="BE148" s="14">
        <f>BD148*VLOOKUP('Données projet'!$B$11,Paramètres!$A$1:$I$88,3,0)*VLOOKUP('Données projet'!$B$11,Paramètres!$A$1:$I$88,5,0)</f>
        <v>-3.2366642699344083E-13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470.57532875732056</v>
      </c>
      <c r="BJ148" s="62">
        <f t="shared" si="146"/>
        <v>286.63787681165888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projet'!$B$11,Paramètres!$A$1:$I$88,3,0)*0.475*44/12</f>
        <v>98.993875998209091</v>
      </c>
      <c r="BQ148" s="23">
        <f>EXP(-LN(2)/25)*BQ147+(1-EXP(-LN(2)/25))/(LN(2)/25)*Calculateur!BL148*Calculateur!BN148*VLOOKUP('Données projet'!$B$11,Paramètres!$A$1:$I$88,3,0)*0.475*44/12</f>
        <v>0</v>
      </c>
      <c r="BR148" s="23">
        <f>EXP(-LN(2)/2)*BR147+(1-EXP(-LN(2)/2))/(LN(2)/2)*BL148*BO148*VLOOKUP('Données projet'!$B$11,Paramètres!$A$1:$I$88,3,0)*0.475*44/12</f>
        <v>0</v>
      </c>
      <c r="BS148" s="24">
        <f t="shared" si="117"/>
        <v>98.993875998209091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69.347723547261438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-2.2737367544323206E-13</v>
      </c>
      <c r="BZ148" s="14">
        <f>BY148*VLOOKUP('Données projet'!$B$12,Paramètres!$A$1:$I$88,3,0)*VLOOKUP('Données projet'!$B$12,Paramètres!$A$1:$I$88,5,0)</f>
        <v>-1.4897523215040565E-13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305.38855494899906</v>
      </c>
      <c r="CE148" s="62">
        <f t="shared" si="148"/>
        <v>298.48106301229177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projet'!$B$12,Paramètres!$A$1:$I$88,3,0)*0.475*44/12</f>
        <v>23.403687910579634</v>
      </c>
      <c r="CL148" s="23">
        <f>EXP(-LN(2)/25)*CL147+(1-EXP(-LN(2)/25))/(LN(2)/25)*Calculateur!CG148*Calculateur!CI148*VLOOKUP('Données projet'!$B$12,Paramètres!$A$1:$I$88,3,0)*0.475*44/12</f>
        <v>0</v>
      </c>
      <c r="CM148" s="23">
        <f>EXP(-LN(2)/2)*CM147+(1-EXP(-LN(2)/2))/(LN(2)/2)*CG148*CJ148*VLOOKUP('Données projet'!$B$12,Paramètres!$A$1:$I$88,3,0)*0.475*44/12</f>
        <v>0</v>
      </c>
      <c r="CN148" s="24">
        <f t="shared" si="120"/>
        <v>23.403687910579634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69.347723547261438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-2.2737367544323206E-13</v>
      </c>
      <c r="CU148" s="18">
        <f>CT148*VLOOKUP('Données projet'!$B$13,Paramètres!$A$1:$I$88,3,0)*VLOOKUP('Données projet'!$B$13,Paramètres!$A$1:$I$88,5,0)</f>
        <v>-1.8089849618263545E-13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361.30066984973894</v>
      </c>
      <c r="CZ148" s="62">
        <f t="shared" si="150"/>
        <v>351.78053157121622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projet'!$B$13,Paramètres!$A$1:$I$88,3,0)*0.475*44/12</f>
        <v>35.027778749887439</v>
      </c>
      <c r="DG148" s="23">
        <f>EXP(-LN(2)/25)*DG147+(1-EXP(-LN(2)/25))/(LN(2)/25)*Calculateur!DB148*Calculateur!DD148*VLOOKUP('Données projet'!$B$13,Paramètres!$A$1:$I$88,3,0)*0.475*44/12</f>
        <v>0</v>
      </c>
      <c r="DH148" s="23">
        <f>EXP(-LN(2)/2)*DH147+(1-EXP(-LN(2)/2))/(LN(2)/2)*DB148*DE148*VLOOKUP('Données projet'!$B$13,Paramètres!$A$1:$I$88,3,0)*0.475*44/12</f>
        <v>0</v>
      </c>
      <c r="DI148" s="24">
        <f t="shared" si="123"/>
        <v>35.027778749887439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69.347723547261438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>
        <f>DO148*VLOOKUP('Données projet'!$B$14,Paramètres!$A$1:$I$88,3,0)*VLOOKUP('Données projet'!$B$14,Paramètres!$A$1:$I$88,5,0)</f>
        <v>0</v>
      </c>
      <c r="DQ148" s="14" t="e">
        <f t="shared" si="151"/>
        <v>#NUM!</v>
      </c>
      <c r="DR148" s="22" t="e">
        <f t="shared" si="124"/>
        <v>#NUM!</v>
      </c>
      <c r="DS148" s="62" t="e">
        <f t="shared" si="125"/>
        <v>#NUM!</v>
      </c>
      <c r="DT148" s="62">
        <f ca="1">AVERAGE(OFFSET($DS$3,0,0,'Données projet'!$E$14+1,1))-AVERAGE(OFFSET($H$3,0,0,'Données projet'!$E$14+1,1))</f>
        <v>91.201152634762423</v>
      </c>
      <c r="DU148" s="62">
        <f t="shared" si="152"/>
        <v>233.36981992862445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projet'!$B$14,Paramètres!$A$1:$I$88,3,0)*0.475*44/12</f>
        <v>4.2510639472871565</v>
      </c>
      <c r="EB148" s="23">
        <f>EXP(-LN(2)/25)*EB147+(1-EXP(-LN(2)/25))/(LN(2)/25)*Calculateur!DW148*Calculateur!DY148*VLOOKUP('Données projet'!$B$14,Paramètres!$A$1:$I$88,3,0)*0.475*44/12</f>
        <v>0</v>
      </c>
      <c r="EC148" s="23">
        <f>EXP(-LN(2)/2)*EC147+(1-EXP(-LN(2)/2))/(LN(2)/2)*DW148*DZ148*VLOOKUP('Données projet'!$B$14,Paramètres!$A$1:$I$88,3,0)*0.475*44/12</f>
        <v>0</v>
      </c>
      <c r="ED148" s="24">
        <f t="shared" si="126"/>
        <v>4.2510639472871565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69.347723547261438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projet'!$B$15,Paramètres!$A$1:$I$88,3,0)*0.475*44/12</f>
        <v>#N/A</v>
      </c>
      <c r="EW148" s="23" t="e">
        <f>EXP(-LN(2)/25)*EW147+(1-EXP(-LN(2)/25))/(LN(2)/25)*Calculateur!ER148*Calculateur!ET148*VLOOKUP('Données projet'!$B$15,Paramètres!$A$1:$I$88,3,0)*0.475*44/12</f>
        <v>#N/A</v>
      </c>
      <c r="EX148" s="23" t="e">
        <f>EXP(-LN(2)/2)*EX147+(1-EXP(-LN(2)/2))/(LN(2)/2)*ER148*EU148*VLOOKUP('Données projet'!$B$15,Paramètres!$A$1:$I$88,3,0)*0.475*44/12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69.347723547261438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projet'!$B$16,Paramètres!$A$1:$I$88,3,0)*0.475*44/12</f>
        <v>#N/A</v>
      </c>
      <c r="FR148" s="23" t="e">
        <f>EXP(-LN(2)/25)*FR147+(1-EXP(-LN(2)/25))/(LN(2)/25)*Calculateur!FM148*Calculateur!FO148*VLOOKUP('Données projet'!$B$16,Paramètres!$A$1:$I$88,3,0)*0.475*44/12</f>
        <v>#N/A</v>
      </c>
      <c r="FS148" s="23" t="e">
        <f>EXP(-LN(2)/2)*FS147+(1-EXP(-LN(2)/2))/(LN(2)/2)*FM148*FP148*VLOOKUP('Données projet'!$B$16,Paramètres!$A$1:$I$88,3,0)*0.475*44/12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69.347723547261438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projet'!$B$17,Paramètres!$A$1:$I$88,3,0)*0.475*44/12</f>
        <v>#N/A</v>
      </c>
      <c r="GM148" s="23" t="e">
        <f>EXP(-LN(2)/25)*GM147+(1-EXP(-LN(2)/25))/(LN(2)/25)*Calculateur!GH148*Calculateur!GJ148*VLOOKUP('Données projet'!$B$17,Paramètres!$A$1:$I$88,3,0)*0.475*44/12</f>
        <v>#N/A</v>
      </c>
      <c r="GN148" s="23" t="e">
        <f>EXP(-LN(2)/2)*GN147+(1-EXP(-LN(2)/2))/(LN(2)/2)*GH148*GK148*VLOOKUP('Données projet'!$B$17,Paramètres!$A$1:$I$88,3,0)*0.475*44/12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69.347723547261438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projet'!$B$18,Paramètres!$A$1:$I$88,3,0)*0.475*44/12</f>
        <v>#N/A</v>
      </c>
      <c r="HH148" s="23" t="e">
        <f>EXP(-LN(2)/25)*HH147+(1-EXP(-LN(2)/25))/(LN(2)/25)*Calculateur!HC148*Calculateur!HE148*VLOOKUP('Données projet'!$B$18,Paramètres!$A$1:$I$88,3,0)*0.475*44/12</f>
        <v>#N/A</v>
      </c>
      <c r="HI148" s="23" t="e">
        <f>EXP(-LN(2)/2)*HI147+(1-EXP(-LN(2)/2))/(LN(2)/2)*HC148*HF148*VLOOKUP('Données projet'!$B$18,Paramètres!$A$1:$I$88,3,0)*0.475*44/12</f>
        <v>#N/A</v>
      </c>
      <c r="HJ148" s="24" t="e">
        <f t="shared" si="138"/>
        <v>#N/A</v>
      </c>
    </row>
    <row r="149" spans="1:218" s="5" customFormat="1" x14ac:dyDescent="0.2">
      <c r="A149" s="11">
        <f t="shared" si="139"/>
        <v>146</v>
      </c>
      <c r="B149" s="77">
        <f>'Scénario référence'!$B$16*5+'Scénario référence'!$B$17*0+'Scénario référence'!$B$18*5</f>
        <v>1.6500000000000001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6.0500000000000007</v>
      </c>
      <c r="H149" s="70">
        <f t="shared" si="110"/>
        <v>232.4666666666667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69.359039085444763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projet'!$B$9,Paramètres!$A$1:$I$88,3,0)*VLOOKUP('Données projet'!$B$9,Paramètres!$A$1:$I$88,5,0)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290.98314331329948</v>
      </c>
      <c r="S149" s="62">
        <f ca="1">AVERAGE(OFFSET($R$3,0,0,'Données projet'!$E$9+1,1))-AVERAGE(OFFSET($H$3,0,0,'Données projet'!$E$9+1,1))</f>
        <v>354.71367224254021</v>
      </c>
      <c r="T149" s="62">
        <f t="shared" si="142"/>
        <v>490.074370133397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31.548695792436689</v>
      </c>
      <c r="AA149" s="23">
        <f>EXP(-LN(2)/25)*AA148+(1-EXP(-LN(2)/25))/(LN(2)/25)*Calculateur!V149*Calculateur!X149*VLOOKUP('Données projet'!$B$9,Paramètres!$A$1:$I$88,3,0)*0.475*44/12</f>
        <v>3.4135862113361561</v>
      </c>
      <c r="AB149" s="23">
        <f>EXP(-LN(2)/2)*AB148+(1-EXP(-LN(2)/2))/(LN(2)/2)*V149*Y149*VLOOKUP('Données projet'!$B$9,Paramètres!$A$1:$I$88,3,0)*0.475*44/12</f>
        <v>6.4711860535889018E-14</v>
      </c>
      <c r="AC149" s="24">
        <f t="shared" si="111"/>
        <v>34.962282003772906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69.359039085444763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2.2737367544323206E-13</v>
      </c>
      <c r="AJ149" s="14">
        <f>AI149*VLOOKUP('Données projet'!$B$10,Paramètres!$A$1:$I$88,3,0)*VLOOKUP('Données projet'!$B$10,Paramètres!$A$1:$I$88,5,0)</f>
        <v>1.3596945791505279E-13</v>
      </c>
      <c r="AK149" s="14">
        <f t="shared" si="143"/>
        <v>1.9708830566360721E-12</v>
      </c>
      <c r="AL149" s="22">
        <f t="shared" si="112"/>
        <v>3.669434796176543E-12</v>
      </c>
      <c r="AM149" s="62">
        <f t="shared" si="113"/>
        <v>290.98314331330118</v>
      </c>
      <c r="AN149" s="62">
        <f ca="1">AVERAGE(OFFSET($AM$3,0,0,'Données projet'!$E$10+1,1))-AVERAGE(OFFSET($H$3,0,0,'Données projet'!$E$10+1,1))</f>
        <v>264.73276096087574</v>
      </c>
      <c r="AO149" s="62">
        <f t="shared" si="144"/>
        <v>381.84464918049662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projet'!$B$10,Paramètres!$A$1:$I$88,3,0)*0.475*44/12</f>
        <v>22.125300829042722</v>
      </c>
      <c r="AV149" s="23">
        <f>EXP(-LN(2)/25)*AV148+(1-EXP(-LN(2)/25))/(LN(2)/25)*Calculateur!AQ149*Calculateur!AS149*VLOOKUP('Données projet'!$B$10,Paramètres!$A$1:$I$88,3,0)*0.475*44/12</f>
        <v>2.3981541100146337</v>
      </c>
      <c r="AW149" s="23">
        <f>EXP(-LN(2)/2)*AW148+(1-EXP(-LN(2)/2))/(LN(2)/2)*AQ149*AT149*VLOOKUP('Données projet'!$B$10,Paramètres!$A$1:$I$88,3,0)*0.475*44/12</f>
        <v>4.5311780943713449E-14</v>
      </c>
      <c r="AX149" s="23">
        <f t="shared" si="114"/>
        <v>24.523454939057402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69.359039085444763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-2.8421709430404007E-13</v>
      </c>
      <c r="BE149" s="14">
        <f>BD149*VLOOKUP('Données projet'!$B$11,Paramètres!$A$1:$I$88,3,0)*VLOOKUP('Données projet'!$B$11,Paramètres!$A$1:$I$88,5,0)</f>
        <v>-3.2366642699344083E-13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470.57532875732056</v>
      </c>
      <c r="BJ149" s="62">
        <f t="shared" si="146"/>
        <v>286.63787681165888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projet'!$B$11,Paramètres!$A$1:$I$88,3,0)*0.475*44/12</f>
        <v>97.052666470186509</v>
      </c>
      <c r="BQ149" s="23">
        <f>EXP(-LN(2)/25)*BQ148+(1-EXP(-LN(2)/25))/(LN(2)/25)*Calculateur!BL149*Calculateur!BN149*VLOOKUP('Données projet'!$B$11,Paramètres!$A$1:$I$88,3,0)*0.475*44/12</f>
        <v>0</v>
      </c>
      <c r="BR149" s="23">
        <f>EXP(-LN(2)/2)*BR148+(1-EXP(-LN(2)/2))/(LN(2)/2)*BL149*BO149*VLOOKUP('Données projet'!$B$11,Paramètres!$A$1:$I$88,3,0)*0.475*44/12</f>
        <v>0</v>
      </c>
      <c r="BS149" s="24">
        <f t="shared" si="117"/>
        <v>97.052666470186509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69.359039085444763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-2.2737367544323206E-13</v>
      </c>
      <c r="BZ149" s="14">
        <f>BY149*VLOOKUP('Données projet'!$B$12,Paramètres!$A$1:$I$88,3,0)*VLOOKUP('Données projet'!$B$12,Paramètres!$A$1:$I$88,5,0)</f>
        <v>-1.4897523215040565E-13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305.38855494899906</v>
      </c>
      <c r="CE149" s="62">
        <f t="shared" si="148"/>
        <v>298.48106301229177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projet'!$B$12,Paramètres!$A$1:$I$88,3,0)*0.475*44/12</f>
        <v>22.944755865493271</v>
      </c>
      <c r="CL149" s="23">
        <f>EXP(-LN(2)/25)*CL148+(1-EXP(-LN(2)/25))/(LN(2)/25)*Calculateur!CG149*Calculateur!CI149*VLOOKUP('Données projet'!$B$12,Paramètres!$A$1:$I$88,3,0)*0.475*44/12</f>
        <v>0</v>
      </c>
      <c r="CM149" s="23">
        <f>EXP(-LN(2)/2)*CM148+(1-EXP(-LN(2)/2))/(LN(2)/2)*CG149*CJ149*VLOOKUP('Données projet'!$B$12,Paramètres!$A$1:$I$88,3,0)*0.475*44/12</f>
        <v>0</v>
      </c>
      <c r="CN149" s="24">
        <f t="shared" si="120"/>
        <v>22.944755865493271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69.359039085444763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-2.2737367544323206E-13</v>
      </c>
      <c r="CU149" s="18">
        <f>CT149*VLOOKUP('Données projet'!$B$13,Paramètres!$A$1:$I$88,3,0)*VLOOKUP('Données projet'!$B$13,Paramètres!$A$1:$I$88,5,0)</f>
        <v>-1.8089849618263545E-13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361.30066984973894</v>
      </c>
      <c r="CZ149" s="62">
        <f t="shared" si="150"/>
        <v>351.78053157121622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projet'!$B$13,Paramètres!$A$1:$I$88,3,0)*0.475*44/12</f>
        <v>34.340905373437579</v>
      </c>
      <c r="DG149" s="23">
        <f>EXP(-LN(2)/25)*DG148+(1-EXP(-LN(2)/25))/(LN(2)/25)*Calculateur!DB149*Calculateur!DD149*VLOOKUP('Données projet'!$B$13,Paramètres!$A$1:$I$88,3,0)*0.475*44/12</f>
        <v>0</v>
      </c>
      <c r="DH149" s="23">
        <f>EXP(-LN(2)/2)*DH148+(1-EXP(-LN(2)/2))/(LN(2)/2)*DB149*DE149*VLOOKUP('Données projet'!$B$13,Paramètres!$A$1:$I$88,3,0)*0.475*44/12</f>
        <v>0</v>
      </c>
      <c r="DI149" s="24">
        <f t="shared" si="123"/>
        <v>34.340905373437579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69.359039085444763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>
        <f>DO149*VLOOKUP('Données projet'!$B$14,Paramètres!$A$1:$I$88,3,0)*VLOOKUP('Données projet'!$B$14,Paramètres!$A$1:$I$88,5,0)</f>
        <v>0</v>
      </c>
      <c r="DQ149" s="14" t="e">
        <f t="shared" si="151"/>
        <v>#NUM!</v>
      </c>
      <c r="DR149" s="22" t="e">
        <f t="shared" si="124"/>
        <v>#NUM!</v>
      </c>
      <c r="DS149" s="62" t="e">
        <f t="shared" si="125"/>
        <v>#NUM!</v>
      </c>
      <c r="DT149" s="62">
        <f ca="1">AVERAGE(OFFSET($DS$3,0,0,'Données projet'!$E$14+1,1))-AVERAGE(OFFSET($H$3,0,0,'Données projet'!$E$14+1,1))</f>
        <v>91.201152634762423</v>
      </c>
      <c r="DU149" s="62">
        <f t="shared" si="152"/>
        <v>233.36981992862445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projet'!$B$14,Paramètres!$A$1:$I$88,3,0)*0.475*44/12</f>
        <v>4.1677031761738359</v>
      </c>
      <c r="EB149" s="23">
        <f>EXP(-LN(2)/25)*EB148+(1-EXP(-LN(2)/25))/(LN(2)/25)*Calculateur!DW149*Calculateur!DY149*VLOOKUP('Données projet'!$B$14,Paramètres!$A$1:$I$88,3,0)*0.475*44/12</f>
        <v>0</v>
      </c>
      <c r="EC149" s="23">
        <f>EXP(-LN(2)/2)*EC148+(1-EXP(-LN(2)/2))/(LN(2)/2)*DW149*DZ149*VLOOKUP('Données projet'!$B$14,Paramètres!$A$1:$I$88,3,0)*0.475*44/12</f>
        <v>0</v>
      </c>
      <c r="ED149" s="24">
        <f t="shared" si="126"/>
        <v>4.1677031761738359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69.359039085444763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projet'!$B$15,Paramètres!$A$1:$I$88,3,0)*0.475*44/12</f>
        <v>#N/A</v>
      </c>
      <c r="EW149" s="23" t="e">
        <f>EXP(-LN(2)/25)*EW148+(1-EXP(-LN(2)/25))/(LN(2)/25)*Calculateur!ER149*Calculateur!ET149*VLOOKUP('Données projet'!$B$15,Paramètres!$A$1:$I$88,3,0)*0.475*44/12</f>
        <v>#N/A</v>
      </c>
      <c r="EX149" s="23" t="e">
        <f>EXP(-LN(2)/2)*EX148+(1-EXP(-LN(2)/2))/(LN(2)/2)*ER149*EU149*VLOOKUP('Données projet'!$B$15,Paramètres!$A$1:$I$88,3,0)*0.475*44/12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69.359039085444763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projet'!$B$16,Paramètres!$A$1:$I$88,3,0)*0.475*44/12</f>
        <v>#N/A</v>
      </c>
      <c r="FR149" s="23" t="e">
        <f>EXP(-LN(2)/25)*FR148+(1-EXP(-LN(2)/25))/(LN(2)/25)*Calculateur!FM149*Calculateur!FO149*VLOOKUP('Données projet'!$B$16,Paramètres!$A$1:$I$88,3,0)*0.475*44/12</f>
        <v>#N/A</v>
      </c>
      <c r="FS149" s="23" t="e">
        <f>EXP(-LN(2)/2)*FS148+(1-EXP(-LN(2)/2))/(LN(2)/2)*FM149*FP149*VLOOKUP('Données projet'!$B$16,Paramètres!$A$1:$I$88,3,0)*0.475*44/12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69.359039085444763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projet'!$B$17,Paramètres!$A$1:$I$88,3,0)*0.475*44/12</f>
        <v>#N/A</v>
      </c>
      <c r="GM149" s="23" t="e">
        <f>EXP(-LN(2)/25)*GM148+(1-EXP(-LN(2)/25))/(LN(2)/25)*Calculateur!GH149*Calculateur!GJ149*VLOOKUP('Données projet'!$B$17,Paramètres!$A$1:$I$88,3,0)*0.475*44/12</f>
        <v>#N/A</v>
      </c>
      <c r="GN149" s="23" t="e">
        <f>EXP(-LN(2)/2)*GN148+(1-EXP(-LN(2)/2))/(LN(2)/2)*GH149*GK149*VLOOKUP('Données projet'!$B$17,Paramètres!$A$1:$I$88,3,0)*0.475*44/12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69.359039085444763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projet'!$B$18,Paramètres!$A$1:$I$88,3,0)*0.475*44/12</f>
        <v>#N/A</v>
      </c>
      <c r="HH149" s="23" t="e">
        <f>EXP(-LN(2)/25)*HH148+(1-EXP(-LN(2)/25))/(LN(2)/25)*Calculateur!HC149*Calculateur!HE149*VLOOKUP('Données projet'!$B$18,Paramètres!$A$1:$I$88,3,0)*0.475*44/12</f>
        <v>#N/A</v>
      </c>
      <c r="HI149" s="23" t="e">
        <f>EXP(-LN(2)/2)*HI148+(1-EXP(-LN(2)/2))/(LN(2)/2)*HC149*HF149*VLOOKUP('Données projet'!$B$18,Paramètres!$A$1:$I$88,3,0)*0.475*44/12</f>
        <v>#N/A</v>
      </c>
      <c r="HJ149" s="24" t="e">
        <f t="shared" si="138"/>
        <v>#N/A</v>
      </c>
    </row>
    <row r="150" spans="1:218" s="5" customFormat="1" x14ac:dyDescent="0.2">
      <c r="A150" s="11">
        <f t="shared" si="139"/>
        <v>147</v>
      </c>
      <c r="B150" s="77">
        <f>'Scénario référence'!$B$16*5+'Scénario référence'!$B$17*0+'Scénario référence'!$B$18*5</f>
        <v>1.6500000000000001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6.0500000000000007</v>
      </c>
      <c r="H150" s="70">
        <f t="shared" si="110"/>
        <v>232.4666666666667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69.370158324338362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projet'!$B$9,Paramètres!$A$1:$I$88,3,0)*VLOOKUP('Données projet'!$B$9,Paramètres!$A$1:$I$88,5,0)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291.02391385590931</v>
      </c>
      <c r="S150" s="62">
        <f ca="1">AVERAGE(OFFSET($R$3,0,0,'Données projet'!$E$9+1,1))-AVERAGE(OFFSET($H$3,0,0,'Données projet'!$E$9+1,1))</f>
        <v>354.71367224254021</v>
      </c>
      <c r="T150" s="62">
        <f t="shared" si="142"/>
        <v>490.074370133397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30.930045110751369</v>
      </c>
      <c r="AA150" s="23">
        <f>EXP(-LN(2)/25)*AA149+(1-EXP(-LN(2)/25))/(LN(2)/25)*Calculateur!V150*Calculateur!X150*VLOOKUP('Données projet'!$B$9,Paramètres!$A$1:$I$88,3,0)*0.475*44/12</f>
        <v>3.3202415168744719</v>
      </c>
      <c r="AB150" s="23">
        <f>EXP(-LN(2)/2)*AB149+(1-EXP(-LN(2)/2))/(LN(2)/2)*V150*Y150*VLOOKUP('Données projet'!$B$9,Paramètres!$A$1:$I$88,3,0)*0.475*44/12</f>
        <v>4.5758195408125257E-14</v>
      </c>
      <c r="AC150" s="24">
        <f t="shared" si="111"/>
        <v>34.250286627625883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69.370158324338362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2.2737367544323206E-13</v>
      </c>
      <c r="AJ150" s="14">
        <f>AI150*VLOOKUP('Données projet'!$B$10,Paramètres!$A$1:$I$88,3,0)*VLOOKUP('Données projet'!$B$10,Paramètres!$A$1:$I$88,5,0)</f>
        <v>1.3596945791505279E-13</v>
      </c>
      <c r="AK150" s="14">
        <f t="shared" si="143"/>
        <v>1.9708830566360721E-12</v>
      </c>
      <c r="AL150" s="22">
        <f t="shared" si="112"/>
        <v>3.669434796176543E-12</v>
      </c>
      <c r="AM150" s="62">
        <f t="shared" si="113"/>
        <v>291.02391385591102</v>
      </c>
      <c r="AN150" s="62">
        <f ca="1">AVERAGE(OFFSET($AM$3,0,0,'Données projet'!$E$10+1,1))-AVERAGE(OFFSET($H$3,0,0,'Données projet'!$E$10+1,1))</f>
        <v>264.73276096087574</v>
      </c>
      <c r="AO150" s="62">
        <f t="shared" si="144"/>
        <v>381.84464918049662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projet'!$B$10,Paramètres!$A$1:$I$88,3,0)*0.475*44/12</f>
        <v>21.691437174886168</v>
      </c>
      <c r="AV150" s="23">
        <f>EXP(-LN(2)/25)*AV149+(1-EXP(-LN(2)/25))/(LN(2)/25)*Calculateur!AQ150*Calculateur!AS150*VLOOKUP('Données projet'!$B$10,Paramètres!$A$1:$I$88,3,0)*0.475*44/12</f>
        <v>2.3325764597628398</v>
      </c>
      <c r="AW150" s="23">
        <f>EXP(-LN(2)/2)*AW149+(1-EXP(-LN(2)/2))/(LN(2)/2)*AQ150*AT150*VLOOKUP('Données projet'!$B$10,Paramètres!$A$1:$I$88,3,0)*0.475*44/12</f>
        <v>3.2040267572939159E-14</v>
      </c>
      <c r="AX150" s="23">
        <f t="shared" si="114"/>
        <v>24.024013634649041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69.370158324338362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-2.8421709430404007E-13</v>
      </c>
      <c r="BE150" s="14">
        <f>BD150*VLOOKUP('Données projet'!$B$11,Paramètres!$A$1:$I$88,3,0)*VLOOKUP('Données projet'!$B$11,Paramètres!$A$1:$I$88,5,0)</f>
        <v>-3.2366642699344083E-13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470.57532875732056</v>
      </c>
      <c r="BJ150" s="62">
        <f t="shared" si="146"/>
        <v>286.63787681165888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projet'!$B$11,Paramètres!$A$1:$I$88,3,0)*0.475*44/12</f>
        <v>95.149522876987547</v>
      </c>
      <c r="BQ150" s="23">
        <f>EXP(-LN(2)/25)*BQ149+(1-EXP(-LN(2)/25))/(LN(2)/25)*Calculateur!BL150*Calculateur!BN150*VLOOKUP('Données projet'!$B$11,Paramètres!$A$1:$I$88,3,0)*0.475*44/12</f>
        <v>0</v>
      </c>
      <c r="BR150" s="23">
        <f>EXP(-LN(2)/2)*BR149+(1-EXP(-LN(2)/2))/(LN(2)/2)*BL150*BO150*VLOOKUP('Données projet'!$B$11,Paramètres!$A$1:$I$88,3,0)*0.475*44/12</f>
        <v>0</v>
      </c>
      <c r="BS150" s="24">
        <f t="shared" si="117"/>
        <v>95.149522876987547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69.370158324338362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-2.2737367544323206E-13</v>
      </c>
      <c r="BZ150" s="14">
        <f>BY150*VLOOKUP('Données projet'!$B$12,Paramètres!$A$1:$I$88,3,0)*VLOOKUP('Données projet'!$B$12,Paramètres!$A$1:$I$88,5,0)</f>
        <v>-1.4897523215040565E-13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305.38855494899906</v>
      </c>
      <c r="CE150" s="62">
        <f t="shared" si="148"/>
        <v>298.48106301229177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projet'!$B$12,Paramètres!$A$1:$I$88,3,0)*0.475*44/12</f>
        <v>22.494823197890142</v>
      </c>
      <c r="CL150" s="23">
        <f>EXP(-LN(2)/25)*CL149+(1-EXP(-LN(2)/25))/(LN(2)/25)*Calculateur!CG150*Calculateur!CI150*VLOOKUP('Données projet'!$B$12,Paramètres!$A$1:$I$88,3,0)*0.475*44/12</f>
        <v>0</v>
      </c>
      <c r="CM150" s="23">
        <f>EXP(-LN(2)/2)*CM149+(1-EXP(-LN(2)/2))/(LN(2)/2)*CG150*CJ150*VLOOKUP('Données projet'!$B$12,Paramètres!$A$1:$I$88,3,0)*0.475*44/12</f>
        <v>0</v>
      </c>
      <c r="CN150" s="24">
        <f t="shared" si="120"/>
        <v>22.494823197890142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69.370158324338362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-2.2737367544323206E-13</v>
      </c>
      <c r="CU150" s="18">
        <f>CT150*VLOOKUP('Données projet'!$B$13,Paramètres!$A$1:$I$88,3,0)*VLOOKUP('Données projet'!$B$13,Paramètres!$A$1:$I$88,5,0)</f>
        <v>-1.8089849618263545E-13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361.30066984973894</v>
      </c>
      <c r="CZ150" s="62">
        <f t="shared" si="150"/>
        <v>351.78053157121622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projet'!$B$13,Paramètres!$A$1:$I$88,3,0)*0.475*44/12</f>
        <v>33.667501164948511</v>
      </c>
      <c r="DG150" s="23">
        <f>EXP(-LN(2)/25)*DG149+(1-EXP(-LN(2)/25))/(LN(2)/25)*Calculateur!DB150*Calculateur!DD150*VLOOKUP('Données projet'!$B$13,Paramètres!$A$1:$I$88,3,0)*0.475*44/12</f>
        <v>0</v>
      </c>
      <c r="DH150" s="23">
        <f>EXP(-LN(2)/2)*DH149+(1-EXP(-LN(2)/2))/(LN(2)/2)*DB150*DE150*VLOOKUP('Données projet'!$B$13,Paramètres!$A$1:$I$88,3,0)*0.475*44/12</f>
        <v>0</v>
      </c>
      <c r="DI150" s="24">
        <f t="shared" si="123"/>
        <v>33.667501164948511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69.370158324338362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>
        <f>DO150*VLOOKUP('Données projet'!$B$14,Paramètres!$A$1:$I$88,3,0)*VLOOKUP('Données projet'!$B$14,Paramètres!$A$1:$I$88,5,0)</f>
        <v>0</v>
      </c>
      <c r="DQ150" s="14" t="e">
        <f t="shared" si="151"/>
        <v>#NUM!</v>
      </c>
      <c r="DR150" s="22" t="e">
        <f t="shared" si="124"/>
        <v>#NUM!</v>
      </c>
      <c r="DS150" s="62" t="e">
        <f t="shared" si="125"/>
        <v>#NUM!</v>
      </c>
      <c r="DT150" s="62">
        <f ca="1">AVERAGE(OFFSET($DS$3,0,0,'Données projet'!$E$14+1,1))-AVERAGE(OFFSET($H$3,0,0,'Données projet'!$E$14+1,1))</f>
        <v>91.201152634762423</v>
      </c>
      <c r="DU150" s="62">
        <f t="shared" si="152"/>
        <v>233.36981992862445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projet'!$B$14,Paramètres!$A$1:$I$88,3,0)*0.475*44/12</f>
        <v>4.0859770589369981</v>
      </c>
      <c r="EB150" s="23">
        <f>EXP(-LN(2)/25)*EB149+(1-EXP(-LN(2)/25))/(LN(2)/25)*Calculateur!DW150*Calculateur!DY150*VLOOKUP('Données projet'!$B$14,Paramètres!$A$1:$I$88,3,0)*0.475*44/12</f>
        <v>0</v>
      </c>
      <c r="EC150" s="23">
        <f>EXP(-LN(2)/2)*EC149+(1-EXP(-LN(2)/2))/(LN(2)/2)*DW150*DZ150*VLOOKUP('Données projet'!$B$14,Paramètres!$A$1:$I$88,3,0)*0.475*44/12</f>
        <v>0</v>
      </c>
      <c r="ED150" s="24">
        <f t="shared" si="126"/>
        <v>4.0859770589369981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69.370158324338362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projet'!$B$15,Paramètres!$A$1:$I$88,3,0)*0.475*44/12</f>
        <v>#N/A</v>
      </c>
      <c r="EW150" s="23" t="e">
        <f>EXP(-LN(2)/25)*EW149+(1-EXP(-LN(2)/25))/(LN(2)/25)*Calculateur!ER150*Calculateur!ET150*VLOOKUP('Données projet'!$B$15,Paramètres!$A$1:$I$88,3,0)*0.475*44/12</f>
        <v>#N/A</v>
      </c>
      <c r="EX150" s="23" t="e">
        <f>EXP(-LN(2)/2)*EX149+(1-EXP(-LN(2)/2))/(LN(2)/2)*ER150*EU150*VLOOKUP('Données projet'!$B$15,Paramètres!$A$1:$I$88,3,0)*0.475*44/12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69.370158324338362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projet'!$B$16,Paramètres!$A$1:$I$88,3,0)*0.475*44/12</f>
        <v>#N/A</v>
      </c>
      <c r="FR150" s="23" t="e">
        <f>EXP(-LN(2)/25)*FR149+(1-EXP(-LN(2)/25))/(LN(2)/25)*Calculateur!FM150*Calculateur!FO150*VLOOKUP('Données projet'!$B$16,Paramètres!$A$1:$I$88,3,0)*0.475*44/12</f>
        <v>#N/A</v>
      </c>
      <c r="FS150" s="23" t="e">
        <f>EXP(-LN(2)/2)*FS149+(1-EXP(-LN(2)/2))/(LN(2)/2)*FM150*FP150*VLOOKUP('Données projet'!$B$16,Paramètres!$A$1:$I$88,3,0)*0.475*44/12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69.370158324338362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projet'!$B$17,Paramètres!$A$1:$I$88,3,0)*0.475*44/12</f>
        <v>#N/A</v>
      </c>
      <c r="GM150" s="23" t="e">
        <f>EXP(-LN(2)/25)*GM149+(1-EXP(-LN(2)/25))/(LN(2)/25)*Calculateur!GH150*Calculateur!GJ150*VLOOKUP('Données projet'!$B$17,Paramètres!$A$1:$I$88,3,0)*0.475*44/12</f>
        <v>#N/A</v>
      </c>
      <c r="GN150" s="23" t="e">
        <f>EXP(-LN(2)/2)*GN149+(1-EXP(-LN(2)/2))/(LN(2)/2)*GH150*GK150*VLOOKUP('Données projet'!$B$17,Paramètres!$A$1:$I$88,3,0)*0.475*44/12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69.370158324338362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projet'!$B$18,Paramètres!$A$1:$I$88,3,0)*0.475*44/12</f>
        <v>#N/A</v>
      </c>
      <c r="HH150" s="23" t="e">
        <f>EXP(-LN(2)/25)*HH149+(1-EXP(-LN(2)/25))/(LN(2)/25)*Calculateur!HC150*Calculateur!HE150*VLOOKUP('Données projet'!$B$18,Paramètres!$A$1:$I$88,3,0)*0.475*44/12</f>
        <v>#N/A</v>
      </c>
      <c r="HI150" s="23" t="e">
        <f>EXP(-LN(2)/2)*HI149+(1-EXP(-LN(2)/2))/(LN(2)/2)*HC150*HF150*VLOOKUP('Données projet'!$B$18,Paramètres!$A$1:$I$88,3,0)*0.475*44/12</f>
        <v>#N/A</v>
      </c>
      <c r="HJ150" s="24" t="e">
        <f t="shared" si="138"/>
        <v>#N/A</v>
      </c>
    </row>
    <row r="151" spans="1:218" s="5" customFormat="1" x14ac:dyDescent="0.2">
      <c r="A151" s="11">
        <f t="shared" si="139"/>
        <v>148</v>
      </c>
      <c r="B151" s="77">
        <f>'Scénario référence'!$B$16*5+'Scénario référence'!$B$17*0+'Scénario référence'!$B$18*5</f>
        <v>1.6500000000000001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6.0500000000000007</v>
      </c>
      <c r="H151" s="70">
        <f t="shared" si="110"/>
        <v>232.4666666666667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69.381084669296058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projet'!$B$9,Paramètres!$A$1:$I$88,3,0)*VLOOKUP('Données projet'!$B$9,Paramètres!$A$1:$I$88,5,0)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291.0639771207542</v>
      </c>
      <c r="S151" s="62">
        <f ca="1">AVERAGE(OFFSET($R$3,0,0,'Données projet'!$E$9+1,1))-AVERAGE(OFFSET($H$3,0,0,'Données projet'!$E$9+1,1))</f>
        <v>354.71367224254021</v>
      </c>
      <c r="T151" s="62">
        <f t="shared" si="142"/>
        <v>490.074370133397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30.323525791594243</v>
      </c>
      <c r="AA151" s="23">
        <f>EXP(-LN(2)/25)*AA150+(1-EXP(-LN(2)/25))/(LN(2)/25)*Calculateur!V151*Calculateur!X151*VLOOKUP('Données projet'!$B$9,Paramètres!$A$1:$I$88,3,0)*0.475*44/12</f>
        <v>3.2294493379916265</v>
      </c>
      <c r="AB151" s="23">
        <f>EXP(-LN(2)/2)*AB150+(1-EXP(-LN(2)/2))/(LN(2)/2)*V151*Y151*VLOOKUP('Données projet'!$B$9,Paramètres!$A$1:$I$88,3,0)*0.475*44/12</f>
        <v>3.2355930267944509E-14</v>
      </c>
      <c r="AC151" s="24">
        <f t="shared" si="111"/>
        <v>33.552975129585903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69.381084669296058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2.2737367544323206E-13</v>
      </c>
      <c r="AJ151" s="14">
        <f>AI151*VLOOKUP('Données projet'!$B$10,Paramètres!$A$1:$I$88,3,0)*VLOOKUP('Données projet'!$B$10,Paramètres!$A$1:$I$88,5,0)</f>
        <v>1.3596945791505279E-13</v>
      </c>
      <c r="AK151" s="14">
        <f t="shared" si="143"/>
        <v>1.9708830566360721E-12</v>
      </c>
      <c r="AL151" s="22">
        <f t="shared" si="112"/>
        <v>3.669434796176543E-12</v>
      </c>
      <c r="AM151" s="62">
        <f t="shared" si="113"/>
        <v>291.06397712075591</v>
      </c>
      <c r="AN151" s="62">
        <f ca="1">AVERAGE(OFFSET($AM$3,0,0,'Données projet'!$E$10+1,1))-AVERAGE(OFFSET($H$3,0,0,'Données projet'!$E$10+1,1))</f>
        <v>264.73276096087574</v>
      </c>
      <c r="AO151" s="62">
        <f t="shared" si="144"/>
        <v>381.84464918049662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projet'!$B$10,Paramètres!$A$1:$I$88,3,0)*0.475*44/12</f>
        <v>21.266081322356928</v>
      </c>
      <c r="AV151" s="23">
        <f>EXP(-LN(2)/25)*AV150+(1-EXP(-LN(2)/25))/(LN(2)/25)*Calculateur!AQ151*Calculateur!AS151*VLOOKUP('Données projet'!$B$10,Paramètres!$A$1:$I$88,3,0)*0.475*44/12</f>
        <v>2.2687920338057599</v>
      </c>
      <c r="AW151" s="23">
        <f>EXP(-LN(2)/2)*AW150+(1-EXP(-LN(2)/2))/(LN(2)/2)*AQ151*AT151*VLOOKUP('Données projet'!$B$10,Paramètres!$A$1:$I$88,3,0)*0.475*44/12</f>
        <v>2.2655890471856724E-14</v>
      </c>
      <c r="AX151" s="23">
        <f t="shared" si="114"/>
        <v>23.534873356162709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69.381084669296058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-2.8421709430404007E-13</v>
      </c>
      <c r="BE151" s="14">
        <f>BD151*VLOOKUP('Données projet'!$B$11,Paramètres!$A$1:$I$88,3,0)*VLOOKUP('Données projet'!$B$11,Paramètres!$A$1:$I$88,5,0)</f>
        <v>-3.2366642699344083E-13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470.57532875732056</v>
      </c>
      <c r="BJ151" s="62">
        <f t="shared" si="146"/>
        <v>286.63787681165888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projet'!$B$11,Paramètres!$A$1:$I$88,3,0)*0.475*44/12</f>
        <v>93.283698768848254</v>
      </c>
      <c r="BQ151" s="23">
        <f>EXP(-LN(2)/25)*BQ150+(1-EXP(-LN(2)/25))/(LN(2)/25)*Calculateur!BL151*Calculateur!BN151*VLOOKUP('Données projet'!$B$11,Paramètres!$A$1:$I$88,3,0)*0.475*44/12</f>
        <v>0</v>
      </c>
      <c r="BR151" s="23">
        <f>EXP(-LN(2)/2)*BR150+(1-EXP(-LN(2)/2))/(LN(2)/2)*BL151*BO151*VLOOKUP('Données projet'!$B$11,Paramètres!$A$1:$I$88,3,0)*0.475*44/12</f>
        <v>0</v>
      </c>
      <c r="BS151" s="24">
        <f t="shared" si="117"/>
        <v>93.283698768848254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69.381084669296058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-2.2737367544323206E-13</v>
      </c>
      <c r="BZ151" s="14">
        <f>BY151*VLOOKUP('Données projet'!$B$12,Paramètres!$A$1:$I$88,3,0)*VLOOKUP('Données projet'!$B$12,Paramètres!$A$1:$I$88,5,0)</f>
        <v>-1.4897523215040565E-13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305.38855494899906</v>
      </c>
      <c r="CE151" s="62">
        <f t="shared" si="148"/>
        <v>298.48106301229177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projet'!$B$12,Paramètres!$A$1:$I$88,3,0)*0.475*44/12</f>
        <v>22.053713435466882</v>
      </c>
      <c r="CL151" s="23">
        <f>EXP(-LN(2)/25)*CL150+(1-EXP(-LN(2)/25))/(LN(2)/25)*Calculateur!CG151*Calculateur!CI151*VLOOKUP('Données projet'!$B$12,Paramètres!$A$1:$I$88,3,0)*0.475*44/12</f>
        <v>0</v>
      </c>
      <c r="CM151" s="23">
        <f>EXP(-LN(2)/2)*CM150+(1-EXP(-LN(2)/2))/(LN(2)/2)*CG151*CJ151*VLOOKUP('Données projet'!$B$12,Paramètres!$A$1:$I$88,3,0)*0.475*44/12</f>
        <v>0</v>
      </c>
      <c r="CN151" s="24">
        <f t="shared" si="120"/>
        <v>22.053713435466882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69.381084669296058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-2.2737367544323206E-13</v>
      </c>
      <c r="CU151" s="18">
        <f>CT151*VLOOKUP('Données projet'!$B$13,Paramètres!$A$1:$I$88,3,0)*VLOOKUP('Données projet'!$B$13,Paramètres!$A$1:$I$88,5,0)</f>
        <v>-1.8089849618263545E-13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361.30066984973894</v>
      </c>
      <c r="CZ151" s="62">
        <f t="shared" si="150"/>
        <v>351.78053157121622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projet'!$B$13,Paramètres!$A$1:$I$88,3,0)*0.475*44/12</f>
        <v>33.007302002251905</v>
      </c>
      <c r="DG151" s="23">
        <f>EXP(-LN(2)/25)*DG150+(1-EXP(-LN(2)/25))/(LN(2)/25)*Calculateur!DB151*Calculateur!DD151*VLOOKUP('Données projet'!$B$13,Paramètres!$A$1:$I$88,3,0)*0.475*44/12</f>
        <v>0</v>
      </c>
      <c r="DH151" s="23">
        <f>EXP(-LN(2)/2)*DH150+(1-EXP(-LN(2)/2))/(LN(2)/2)*DB151*DE151*VLOOKUP('Données projet'!$B$13,Paramètres!$A$1:$I$88,3,0)*0.475*44/12</f>
        <v>0</v>
      </c>
      <c r="DI151" s="24">
        <f t="shared" si="123"/>
        <v>33.007302002251905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69.381084669296058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>
        <f>DO151*VLOOKUP('Données projet'!$B$14,Paramètres!$A$1:$I$88,3,0)*VLOOKUP('Données projet'!$B$14,Paramètres!$A$1:$I$88,5,0)</f>
        <v>0</v>
      </c>
      <c r="DQ151" s="14" t="e">
        <f t="shared" si="151"/>
        <v>#NUM!</v>
      </c>
      <c r="DR151" s="22" t="e">
        <f t="shared" si="124"/>
        <v>#NUM!</v>
      </c>
      <c r="DS151" s="62" t="e">
        <f t="shared" si="125"/>
        <v>#NUM!</v>
      </c>
      <c r="DT151" s="62">
        <f ca="1">AVERAGE(OFFSET($DS$3,0,0,'Données projet'!$E$14+1,1))-AVERAGE(OFFSET($H$3,0,0,'Données projet'!$E$14+1,1))</f>
        <v>91.201152634762423</v>
      </c>
      <c r="DU151" s="62">
        <f t="shared" si="152"/>
        <v>233.36981992862445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projet'!$B$14,Paramètres!$A$1:$I$88,3,0)*0.475*44/12</f>
        <v>4.0058535410111649</v>
      </c>
      <c r="EB151" s="23">
        <f>EXP(-LN(2)/25)*EB150+(1-EXP(-LN(2)/25))/(LN(2)/25)*Calculateur!DW151*Calculateur!DY151*VLOOKUP('Données projet'!$B$14,Paramètres!$A$1:$I$88,3,0)*0.475*44/12</f>
        <v>0</v>
      </c>
      <c r="EC151" s="23">
        <f>EXP(-LN(2)/2)*EC150+(1-EXP(-LN(2)/2))/(LN(2)/2)*DW151*DZ151*VLOOKUP('Données projet'!$B$14,Paramètres!$A$1:$I$88,3,0)*0.475*44/12</f>
        <v>0</v>
      </c>
      <c r="ED151" s="24">
        <f t="shared" si="126"/>
        <v>4.0058535410111649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69.381084669296058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projet'!$B$15,Paramètres!$A$1:$I$88,3,0)*0.475*44/12</f>
        <v>#N/A</v>
      </c>
      <c r="EW151" s="23" t="e">
        <f>EXP(-LN(2)/25)*EW150+(1-EXP(-LN(2)/25))/(LN(2)/25)*Calculateur!ER151*Calculateur!ET151*VLOOKUP('Données projet'!$B$15,Paramètres!$A$1:$I$88,3,0)*0.475*44/12</f>
        <v>#N/A</v>
      </c>
      <c r="EX151" s="23" t="e">
        <f>EXP(-LN(2)/2)*EX150+(1-EXP(-LN(2)/2))/(LN(2)/2)*ER151*EU151*VLOOKUP('Données projet'!$B$15,Paramètres!$A$1:$I$88,3,0)*0.475*44/12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69.381084669296058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projet'!$B$16,Paramètres!$A$1:$I$88,3,0)*0.475*44/12</f>
        <v>#N/A</v>
      </c>
      <c r="FR151" s="23" t="e">
        <f>EXP(-LN(2)/25)*FR150+(1-EXP(-LN(2)/25))/(LN(2)/25)*Calculateur!FM151*Calculateur!FO151*VLOOKUP('Données projet'!$B$16,Paramètres!$A$1:$I$88,3,0)*0.475*44/12</f>
        <v>#N/A</v>
      </c>
      <c r="FS151" s="23" t="e">
        <f>EXP(-LN(2)/2)*FS150+(1-EXP(-LN(2)/2))/(LN(2)/2)*FM151*FP151*VLOOKUP('Données projet'!$B$16,Paramètres!$A$1:$I$88,3,0)*0.475*44/12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69.381084669296058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projet'!$B$17,Paramètres!$A$1:$I$88,3,0)*0.475*44/12</f>
        <v>#N/A</v>
      </c>
      <c r="GM151" s="23" t="e">
        <f>EXP(-LN(2)/25)*GM150+(1-EXP(-LN(2)/25))/(LN(2)/25)*Calculateur!GH151*Calculateur!GJ151*VLOOKUP('Données projet'!$B$17,Paramètres!$A$1:$I$88,3,0)*0.475*44/12</f>
        <v>#N/A</v>
      </c>
      <c r="GN151" s="23" t="e">
        <f>EXP(-LN(2)/2)*GN150+(1-EXP(-LN(2)/2))/(LN(2)/2)*GH151*GK151*VLOOKUP('Données projet'!$B$17,Paramètres!$A$1:$I$88,3,0)*0.475*44/12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69.381084669296058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projet'!$B$18,Paramètres!$A$1:$I$88,3,0)*0.475*44/12</f>
        <v>#N/A</v>
      </c>
      <c r="HH151" s="23" t="e">
        <f>EXP(-LN(2)/25)*HH150+(1-EXP(-LN(2)/25))/(LN(2)/25)*Calculateur!HC151*Calculateur!HE151*VLOOKUP('Données projet'!$B$18,Paramètres!$A$1:$I$88,3,0)*0.475*44/12</f>
        <v>#N/A</v>
      </c>
      <c r="HI151" s="23" t="e">
        <f>EXP(-LN(2)/2)*HI150+(1-EXP(-LN(2)/2))/(LN(2)/2)*HC151*HF151*VLOOKUP('Données projet'!$B$18,Paramètres!$A$1:$I$88,3,0)*0.475*44/12</f>
        <v>#N/A</v>
      </c>
      <c r="HJ151" s="24" t="e">
        <f t="shared" si="138"/>
        <v>#N/A</v>
      </c>
    </row>
    <row r="152" spans="1:218" s="5" customFormat="1" x14ac:dyDescent="0.2">
      <c r="A152" s="11">
        <f t="shared" si="139"/>
        <v>149</v>
      </c>
      <c r="B152" s="77">
        <f>'Scénario référence'!$B$16*5+'Scénario référence'!$B$17*0+'Scénario référence'!$B$18*5</f>
        <v>1.6500000000000001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6.0500000000000007</v>
      </c>
      <c r="H152" s="70">
        <f t="shared" si="110"/>
        <v>232.4666666666667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69.391821466596383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projet'!$B$9,Paramètres!$A$1:$I$88,3,0)*VLOOKUP('Données projet'!$B$9,Paramètres!$A$1:$I$88,5,0)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291.10334537752203</v>
      </c>
      <c r="S152" s="62">
        <f ca="1">AVERAGE(OFFSET($R$3,0,0,'Données projet'!$E$9+1,1))-AVERAGE(OFFSET($H$3,0,0,'Données projet'!$E$9+1,1))</f>
        <v>354.71367224254021</v>
      </c>
      <c r="T152" s="62">
        <f t="shared" si="142"/>
        <v>490.074370133397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29.728899946345532</v>
      </c>
      <c r="AA152" s="23">
        <f>EXP(-LN(2)/25)*AA151+(1-EXP(-LN(2)/25))/(LN(2)/25)*Calculateur!V152*Calculateur!X152*VLOOKUP('Données projet'!$B$9,Paramètres!$A$1:$I$88,3,0)*0.475*44/12</f>
        <v>3.1411398760148859</v>
      </c>
      <c r="AB152" s="23">
        <f>EXP(-LN(2)/2)*AB151+(1-EXP(-LN(2)/2))/(LN(2)/2)*V152*Y152*VLOOKUP('Données projet'!$B$9,Paramètres!$A$1:$I$88,3,0)*0.475*44/12</f>
        <v>2.2879097704062628E-14</v>
      </c>
      <c r="AC152" s="24">
        <f t="shared" si="111"/>
        <v>32.87003982236044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69.391821466596383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2.2737367544323206E-13</v>
      </c>
      <c r="AJ152" s="14">
        <f>AI152*VLOOKUP('Données projet'!$B$10,Paramètres!$A$1:$I$88,3,0)*VLOOKUP('Données projet'!$B$10,Paramètres!$A$1:$I$88,5,0)</f>
        <v>1.3596945791505279E-13</v>
      </c>
      <c r="AK152" s="14">
        <f t="shared" si="143"/>
        <v>1.9708830566360721E-12</v>
      </c>
      <c r="AL152" s="22">
        <f t="shared" si="112"/>
        <v>3.669434796176543E-12</v>
      </c>
      <c r="AM152" s="62">
        <f t="shared" si="113"/>
        <v>291.10334537752374</v>
      </c>
      <c r="AN152" s="62">
        <f ca="1">AVERAGE(OFFSET($AM$3,0,0,'Données projet'!$E$10+1,1))-AVERAGE(OFFSET($H$3,0,0,'Données projet'!$E$10+1,1))</f>
        <v>264.73276096087574</v>
      </c>
      <c r="AO152" s="62">
        <f t="shared" si="144"/>
        <v>381.84464918049662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projet'!$B$10,Paramètres!$A$1:$I$88,3,0)*0.475*44/12</f>
        <v>20.849066438654333</v>
      </c>
      <c r="AV152" s="23">
        <f>EXP(-LN(2)/25)*AV151+(1-EXP(-LN(2)/25))/(LN(2)/25)*Calculateur!AQ152*Calculateur!AS152*VLOOKUP('Données projet'!$B$10,Paramètres!$A$1:$I$88,3,0)*0.475*44/12</f>
        <v>2.2067517963307539</v>
      </c>
      <c r="AW152" s="23">
        <f>EXP(-LN(2)/2)*AW151+(1-EXP(-LN(2)/2))/(LN(2)/2)*AQ152*AT152*VLOOKUP('Données projet'!$B$10,Paramètres!$A$1:$I$88,3,0)*0.475*44/12</f>
        <v>1.602013378646958E-14</v>
      </c>
      <c r="AX152" s="23">
        <f t="shared" si="114"/>
        <v>23.055818234985104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69.391821466596383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-2.8421709430404007E-13</v>
      </c>
      <c r="BE152" s="14">
        <f>BD152*VLOOKUP('Données projet'!$B$11,Paramètres!$A$1:$I$88,3,0)*VLOOKUP('Données projet'!$B$11,Paramètres!$A$1:$I$88,5,0)</f>
        <v>-3.2366642699344083E-13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470.57532875732056</v>
      </c>
      <c r="BJ152" s="62">
        <f t="shared" si="146"/>
        <v>286.63787681165888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projet'!$B$11,Paramètres!$A$1:$I$88,3,0)*0.475*44/12</f>
        <v>91.454462333429234</v>
      </c>
      <c r="BQ152" s="23">
        <f>EXP(-LN(2)/25)*BQ151+(1-EXP(-LN(2)/25))/(LN(2)/25)*Calculateur!BL152*Calculateur!BN152*VLOOKUP('Données projet'!$B$11,Paramètres!$A$1:$I$88,3,0)*0.475*44/12</f>
        <v>0</v>
      </c>
      <c r="BR152" s="23">
        <f>EXP(-LN(2)/2)*BR151+(1-EXP(-LN(2)/2))/(LN(2)/2)*BL152*BO152*VLOOKUP('Données projet'!$B$11,Paramètres!$A$1:$I$88,3,0)*0.475*44/12</f>
        <v>0</v>
      </c>
      <c r="BS152" s="24">
        <f t="shared" si="117"/>
        <v>91.454462333429234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69.391821466596383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-2.2737367544323206E-13</v>
      </c>
      <c r="BZ152" s="14">
        <f>BY152*VLOOKUP('Données projet'!$B$12,Paramètres!$A$1:$I$88,3,0)*VLOOKUP('Données projet'!$B$12,Paramètres!$A$1:$I$88,5,0)</f>
        <v>-1.4897523215040565E-13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305.38855494899906</v>
      </c>
      <c r="CE152" s="62">
        <f t="shared" si="148"/>
        <v>298.48106301229177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projet'!$B$12,Paramètres!$A$1:$I$88,3,0)*0.475*44/12</f>
        <v>21.621253566434355</v>
      </c>
      <c r="CL152" s="23">
        <f>EXP(-LN(2)/25)*CL151+(1-EXP(-LN(2)/25))/(LN(2)/25)*Calculateur!CG152*Calculateur!CI152*VLOOKUP('Données projet'!$B$12,Paramètres!$A$1:$I$88,3,0)*0.475*44/12</f>
        <v>0</v>
      </c>
      <c r="CM152" s="23">
        <f>EXP(-LN(2)/2)*CM151+(1-EXP(-LN(2)/2))/(LN(2)/2)*CG152*CJ152*VLOOKUP('Données projet'!$B$12,Paramètres!$A$1:$I$88,3,0)*0.475*44/12</f>
        <v>0</v>
      </c>
      <c r="CN152" s="24">
        <f t="shared" si="120"/>
        <v>21.621253566434355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69.391821466596383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-2.2737367544323206E-13</v>
      </c>
      <c r="CU152" s="18">
        <f>CT152*VLOOKUP('Données projet'!$B$13,Paramètres!$A$1:$I$88,3,0)*VLOOKUP('Données projet'!$B$13,Paramètres!$A$1:$I$88,5,0)</f>
        <v>-1.8089849618263545E-13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361.30066984973894</v>
      </c>
      <c r="CZ152" s="62">
        <f t="shared" si="150"/>
        <v>351.78053157121622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projet'!$B$13,Paramètres!$A$1:$I$88,3,0)*0.475*44/12</f>
        <v>32.36004894245405</v>
      </c>
      <c r="DG152" s="23">
        <f>EXP(-LN(2)/25)*DG151+(1-EXP(-LN(2)/25))/(LN(2)/25)*Calculateur!DB152*Calculateur!DD152*VLOOKUP('Données projet'!$B$13,Paramètres!$A$1:$I$88,3,0)*0.475*44/12</f>
        <v>0</v>
      </c>
      <c r="DH152" s="23">
        <f>EXP(-LN(2)/2)*DH151+(1-EXP(-LN(2)/2))/(LN(2)/2)*DB152*DE152*VLOOKUP('Données projet'!$B$13,Paramètres!$A$1:$I$88,3,0)*0.475*44/12</f>
        <v>0</v>
      </c>
      <c r="DI152" s="24">
        <f t="shared" si="123"/>
        <v>32.36004894245405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69.391821466596383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>
        <f>DO152*VLOOKUP('Données projet'!$B$14,Paramètres!$A$1:$I$88,3,0)*VLOOKUP('Données projet'!$B$14,Paramètres!$A$1:$I$88,5,0)</f>
        <v>0</v>
      </c>
      <c r="DQ152" s="14" t="e">
        <f t="shared" si="151"/>
        <v>#NUM!</v>
      </c>
      <c r="DR152" s="22" t="e">
        <f t="shared" si="124"/>
        <v>#NUM!</v>
      </c>
      <c r="DS152" s="62" t="e">
        <f t="shared" si="125"/>
        <v>#NUM!</v>
      </c>
      <c r="DT152" s="62">
        <f ca="1">AVERAGE(OFFSET($DS$3,0,0,'Données projet'!$E$14+1,1))-AVERAGE(OFFSET($H$3,0,0,'Données projet'!$E$14+1,1))</f>
        <v>91.201152634762423</v>
      </c>
      <c r="DU152" s="62">
        <f t="shared" si="152"/>
        <v>233.36981992862445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projet'!$B$14,Paramètres!$A$1:$I$88,3,0)*0.475*44/12</f>
        <v>3.9273011964013373</v>
      </c>
      <c r="EB152" s="23">
        <f>EXP(-LN(2)/25)*EB151+(1-EXP(-LN(2)/25))/(LN(2)/25)*Calculateur!DW152*Calculateur!DY152*VLOOKUP('Données projet'!$B$14,Paramètres!$A$1:$I$88,3,0)*0.475*44/12</f>
        <v>0</v>
      </c>
      <c r="EC152" s="23">
        <f>EXP(-LN(2)/2)*EC151+(1-EXP(-LN(2)/2))/(LN(2)/2)*DW152*DZ152*VLOOKUP('Données projet'!$B$14,Paramètres!$A$1:$I$88,3,0)*0.475*44/12</f>
        <v>0</v>
      </c>
      <c r="ED152" s="24">
        <f t="shared" si="126"/>
        <v>3.9273011964013373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69.391821466596383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projet'!$B$15,Paramètres!$A$1:$I$88,3,0)*0.475*44/12</f>
        <v>#N/A</v>
      </c>
      <c r="EW152" s="23" t="e">
        <f>EXP(-LN(2)/25)*EW151+(1-EXP(-LN(2)/25))/(LN(2)/25)*Calculateur!ER152*Calculateur!ET152*VLOOKUP('Données projet'!$B$15,Paramètres!$A$1:$I$88,3,0)*0.475*44/12</f>
        <v>#N/A</v>
      </c>
      <c r="EX152" s="23" t="e">
        <f>EXP(-LN(2)/2)*EX151+(1-EXP(-LN(2)/2))/(LN(2)/2)*ER152*EU152*VLOOKUP('Données projet'!$B$15,Paramètres!$A$1:$I$88,3,0)*0.475*44/12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69.391821466596383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projet'!$B$16,Paramètres!$A$1:$I$88,3,0)*0.475*44/12</f>
        <v>#N/A</v>
      </c>
      <c r="FR152" s="23" t="e">
        <f>EXP(-LN(2)/25)*FR151+(1-EXP(-LN(2)/25))/(LN(2)/25)*Calculateur!FM152*Calculateur!FO152*VLOOKUP('Données projet'!$B$16,Paramètres!$A$1:$I$88,3,0)*0.475*44/12</f>
        <v>#N/A</v>
      </c>
      <c r="FS152" s="23" t="e">
        <f>EXP(-LN(2)/2)*FS151+(1-EXP(-LN(2)/2))/(LN(2)/2)*FM152*FP152*VLOOKUP('Données projet'!$B$16,Paramètres!$A$1:$I$88,3,0)*0.475*44/12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69.391821466596383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projet'!$B$17,Paramètres!$A$1:$I$88,3,0)*0.475*44/12</f>
        <v>#N/A</v>
      </c>
      <c r="GM152" s="23" t="e">
        <f>EXP(-LN(2)/25)*GM151+(1-EXP(-LN(2)/25))/(LN(2)/25)*Calculateur!GH152*Calculateur!GJ152*VLOOKUP('Données projet'!$B$17,Paramètres!$A$1:$I$88,3,0)*0.475*44/12</f>
        <v>#N/A</v>
      </c>
      <c r="GN152" s="23" t="e">
        <f>EXP(-LN(2)/2)*GN151+(1-EXP(-LN(2)/2))/(LN(2)/2)*GH152*GK152*VLOOKUP('Données projet'!$B$17,Paramètres!$A$1:$I$88,3,0)*0.475*44/12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69.391821466596383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projet'!$B$18,Paramètres!$A$1:$I$88,3,0)*0.475*44/12</f>
        <v>#N/A</v>
      </c>
      <c r="HH152" s="23" t="e">
        <f>EXP(-LN(2)/25)*HH151+(1-EXP(-LN(2)/25))/(LN(2)/25)*Calculateur!HC152*Calculateur!HE152*VLOOKUP('Données projet'!$B$18,Paramètres!$A$1:$I$88,3,0)*0.475*44/12</f>
        <v>#N/A</v>
      </c>
      <c r="HI152" s="23" t="e">
        <f>EXP(-LN(2)/2)*HI151+(1-EXP(-LN(2)/2))/(LN(2)/2)*HC152*HF152*VLOOKUP('Données projet'!$B$18,Paramètres!$A$1:$I$88,3,0)*0.475*44/12</f>
        <v>#N/A</v>
      </c>
      <c r="HJ152" s="24" t="e">
        <f t="shared" si="138"/>
        <v>#N/A</v>
      </c>
    </row>
    <row r="153" spans="1:218" s="5" customFormat="1" x14ac:dyDescent="0.2">
      <c r="A153" s="11">
        <f>A152+1</f>
        <v>150</v>
      </c>
      <c r="B153" s="77">
        <f>'Scénario référence'!$B$16*5+'Scénario référence'!$B$17*0+'Scénario référence'!$B$18*5</f>
        <v>1.6500000000000001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6.0500000000000007</v>
      </c>
      <c r="H153" s="70">
        <f t="shared" si="110"/>
        <v>232.4666666666667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69.402372004467438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projet'!$B$9,Paramètres!$A$1:$I$88,3,0)*VLOOKUP('Données projet'!$B$9,Paramètres!$A$1:$I$88,5,0)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291.14203068304926</v>
      </c>
      <c r="S153" s="62">
        <f ca="1">AVERAGE(OFFSET($R$3,0,0,'Données projet'!$E$9+1,1))-AVERAGE(OFFSET($H$3,0,0,'Données projet'!$E$9+1,1))</f>
        <v>354.71367224254021</v>
      </c>
      <c r="T153" s="62">
        <f t="shared" si="142"/>
        <v>490.074370133397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29.145934351236193</v>
      </c>
      <c r="AA153" s="23">
        <f>EXP(-LN(2)/25)*AA152+(1-EXP(-LN(2)/25))/(LN(2)/25)*Calculateur!V153*Calculateur!X153*VLOOKUP('Données projet'!$B$9,Paramètres!$A$1:$I$88,3,0)*0.475*44/12</f>
        <v>3.0552452409198918</v>
      </c>
      <c r="AB153" s="23">
        <f>EXP(-LN(2)/2)*AB152+(1-EXP(-LN(2)/2))/(LN(2)/2)*V153*Y153*VLOOKUP('Données projet'!$B$9,Paramètres!$A$1:$I$88,3,0)*0.475*44/12</f>
        <v>1.6177965133972254E-14</v>
      </c>
      <c r="AC153" s="24">
        <f t="shared" si="111"/>
        <v>32.201179592156102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69.402372004467438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2.2737367544323206E-13</v>
      </c>
      <c r="AJ153" s="14">
        <f>AI153*VLOOKUP('Données projet'!$B$10,Paramètres!$A$1:$I$88,3,0)*VLOOKUP('Données projet'!$B$10,Paramètres!$A$1:$I$88,5,0)</f>
        <v>1.3596945791505279E-13</v>
      </c>
      <c r="AK153" s="14">
        <f t="shared" si="143"/>
        <v>1.9708830566360721E-12</v>
      </c>
      <c r="AL153" s="22">
        <f t="shared" si="112"/>
        <v>3.669434796176543E-12</v>
      </c>
      <c r="AM153" s="62">
        <f t="shared" si="113"/>
        <v>291.14203068305096</v>
      </c>
      <c r="AN153" s="62">
        <f ca="1">AVERAGE(OFFSET($AM$3,0,0,'Données projet'!$E$10+1,1))-AVERAGE(OFFSET($H$3,0,0,'Données projet'!$E$10+1,1))</f>
        <v>264.73276096087574</v>
      </c>
      <c r="AO153" s="62">
        <f t="shared" si="144"/>
        <v>381.84464918049662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projet'!$B$10,Paramètres!$A$1:$I$88,3,0)*0.475*44/12</f>
        <v>20.440228962467181</v>
      </c>
      <c r="AV153" s="23">
        <f>EXP(-LN(2)/25)*AV152+(1-EXP(-LN(2)/25))/(LN(2)/25)*Calculateur!AQ153*Calculateur!AS153*VLOOKUP('Données projet'!$B$10,Paramètres!$A$1:$I$88,3,0)*0.475*44/12</f>
        <v>2.1464080524120561</v>
      </c>
      <c r="AW153" s="23">
        <f>EXP(-LN(2)/2)*AW152+(1-EXP(-LN(2)/2))/(LN(2)/2)*AQ153*AT153*VLOOKUP('Données projet'!$B$10,Paramètres!$A$1:$I$88,3,0)*0.475*44/12</f>
        <v>1.1327945235928362E-14</v>
      </c>
      <c r="AX153" s="23">
        <f t="shared" si="114"/>
        <v>22.586637014879248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69.402372004467438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-2.8421709430404007E-13</v>
      </c>
      <c r="BE153" s="14">
        <f>BD153*VLOOKUP('Données projet'!$B$11,Paramètres!$A$1:$I$88,3,0)*VLOOKUP('Données projet'!$B$11,Paramètres!$A$1:$I$88,5,0)</f>
        <v>-3.2366642699344083E-13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470.57532875732056</v>
      </c>
      <c r="BJ153" s="62">
        <f t="shared" si="146"/>
        <v>286.63787681165888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projet'!$B$11,Paramètres!$A$1:$I$88,3,0)*0.475*44/12</f>
        <v>89.661096108784719</v>
      </c>
      <c r="BQ153" s="23">
        <f>EXP(-LN(2)/25)*BQ152+(1-EXP(-LN(2)/25))/(LN(2)/25)*Calculateur!BL153*Calculateur!BN153*VLOOKUP('Données projet'!$B$11,Paramètres!$A$1:$I$88,3,0)*0.475*44/12</f>
        <v>0</v>
      </c>
      <c r="BR153" s="23">
        <f>EXP(-LN(2)/2)*BR152+(1-EXP(-LN(2)/2))/(LN(2)/2)*BL153*BO153*VLOOKUP('Données projet'!$B$11,Paramètres!$A$1:$I$88,3,0)*0.475*44/12</f>
        <v>0</v>
      </c>
      <c r="BS153" s="24">
        <f t="shared" si="117"/>
        <v>89.661096108784719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69.402372004467438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-2.2737367544323206E-13</v>
      </c>
      <c r="BZ153" s="14">
        <f>BY153*VLOOKUP('Données projet'!$B$12,Paramètres!$A$1:$I$88,3,0)*VLOOKUP('Données projet'!$B$12,Paramètres!$A$1:$I$88,5,0)</f>
        <v>-1.4897523215040565E-13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305.38855494899906</v>
      </c>
      <c r="CE153" s="62">
        <f t="shared" si="148"/>
        <v>298.48106301229177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projet'!$B$12,Paramètres!$A$1:$I$88,3,0)*0.475*44/12</f>
        <v>21.197273971659079</v>
      </c>
      <c r="CL153" s="23">
        <f>EXP(-LN(2)/25)*CL152+(1-EXP(-LN(2)/25))/(LN(2)/25)*Calculateur!CG153*Calculateur!CI153*VLOOKUP('Données projet'!$B$12,Paramètres!$A$1:$I$88,3,0)*0.475*44/12</f>
        <v>0</v>
      </c>
      <c r="CM153" s="23">
        <f>EXP(-LN(2)/2)*CM152+(1-EXP(-LN(2)/2))/(LN(2)/2)*CG153*CJ153*VLOOKUP('Données projet'!$B$12,Paramètres!$A$1:$I$88,3,0)*0.475*44/12</f>
        <v>0</v>
      </c>
      <c r="CN153" s="24">
        <f t="shared" si="120"/>
        <v>21.197273971659079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69.402372004467438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-2.2737367544323206E-13</v>
      </c>
      <c r="CU153" s="18">
        <f>CT153*VLOOKUP('Données projet'!$B$13,Paramètres!$A$1:$I$88,3,0)*VLOOKUP('Données projet'!$B$13,Paramètres!$A$1:$I$88,5,0)</f>
        <v>-1.8089849618263545E-13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361.30066984973894</v>
      </c>
      <c r="CZ153" s="62">
        <f t="shared" si="150"/>
        <v>351.78053157121622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projet'!$B$13,Paramètres!$A$1:$I$88,3,0)*0.475*44/12</f>
        <v>31.725488120373448</v>
      </c>
      <c r="DG153" s="23">
        <f>EXP(-LN(2)/25)*DG152+(1-EXP(-LN(2)/25))/(LN(2)/25)*Calculateur!DB153*Calculateur!DD153*VLOOKUP('Données projet'!$B$13,Paramètres!$A$1:$I$88,3,0)*0.475*44/12</f>
        <v>0</v>
      </c>
      <c r="DH153" s="23">
        <f>EXP(-LN(2)/2)*DH152+(1-EXP(-LN(2)/2))/(LN(2)/2)*DB153*DE153*VLOOKUP('Données projet'!$B$13,Paramètres!$A$1:$I$88,3,0)*0.475*44/12</f>
        <v>0</v>
      </c>
      <c r="DI153" s="24">
        <f t="shared" si="123"/>
        <v>31.725488120373448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69.402372004467438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>
        <f>DO153*VLOOKUP('Données projet'!$B$14,Paramètres!$A$1:$I$88,3,0)*VLOOKUP('Données projet'!$B$14,Paramètres!$A$1:$I$88,5,0)</f>
        <v>0</v>
      </c>
      <c r="DQ153" s="14" t="e">
        <f t="shared" si="151"/>
        <v>#NUM!</v>
      </c>
      <c r="DR153" s="22" t="e">
        <f t="shared" si="124"/>
        <v>#NUM!</v>
      </c>
      <c r="DS153" s="62" t="e">
        <f t="shared" si="125"/>
        <v>#NUM!</v>
      </c>
      <c r="DT153" s="62">
        <f ca="1">AVERAGE(OFFSET($DS$3,0,0,'Données projet'!$E$14+1,1))-AVERAGE(OFFSET($H$3,0,0,'Données projet'!$E$14+1,1))</f>
        <v>91.201152634762423</v>
      </c>
      <c r="DU153" s="62">
        <f t="shared" si="152"/>
        <v>233.36981992862445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projet'!$B$14,Paramètres!$A$1:$I$88,3,0)*0.475*44/12</f>
        <v>3.8502892153571091</v>
      </c>
      <c r="EB153" s="23">
        <f>EXP(-LN(2)/25)*EB152+(1-EXP(-LN(2)/25))/(LN(2)/25)*Calculateur!DW153*Calculateur!DY153*VLOOKUP('Données projet'!$B$14,Paramètres!$A$1:$I$88,3,0)*0.475*44/12</f>
        <v>0</v>
      </c>
      <c r="EC153" s="23">
        <f>EXP(-LN(2)/2)*EC152+(1-EXP(-LN(2)/2))/(LN(2)/2)*DW153*DZ153*VLOOKUP('Données projet'!$B$14,Paramètres!$A$1:$I$88,3,0)*0.475*44/12</f>
        <v>0</v>
      </c>
      <c r="ED153" s="24">
        <f t="shared" si="126"/>
        <v>3.8502892153571091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69.402372004467438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projet'!$B$15,Paramètres!$A$1:$I$88,3,0)*0.475*44/12</f>
        <v>#N/A</v>
      </c>
      <c r="EW153" s="23" t="e">
        <f>EXP(-LN(2)/25)*EW152+(1-EXP(-LN(2)/25))/(LN(2)/25)*Calculateur!ER153*Calculateur!ET153*VLOOKUP('Données projet'!$B$15,Paramètres!$A$1:$I$88,3,0)*0.475*44/12</f>
        <v>#N/A</v>
      </c>
      <c r="EX153" s="23" t="e">
        <f>EXP(-LN(2)/2)*EX152+(1-EXP(-LN(2)/2))/(LN(2)/2)*ER153*EU153*VLOOKUP('Données projet'!$B$15,Paramètres!$A$1:$I$88,3,0)*0.475*44/12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69.402372004467438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projet'!$B$16,Paramètres!$A$1:$I$88,3,0)*0.475*44/12</f>
        <v>#N/A</v>
      </c>
      <c r="FR153" s="23" t="e">
        <f>EXP(-LN(2)/25)*FR152+(1-EXP(-LN(2)/25))/(LN(2)/25)*Calculateur!FM153*Calculateur!FO153*VLOOKUP('Données projet'!$B$16,Paramètres!$A$1:$I$88,3,0)*0.475*44/12</f>
        <v>#N/A</v>
      </c>
      <c r="FS153" s="23" t="e">
        <f>EXP(-LN(2)/2)*FS152+(1-EXP(-LN(2)/2))/(LN(2)/2)*FM153*FP153*VLOOKUP('Données projet'!$B$16,Paramètres!$A$1:$I$88,3,0)*0.475*44/12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69.402372004467438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projet'!$B$17,Paramètres!$A$1:$I$88,3,0)*0.475*44/12</f>
        <v>#N/A</v>
      </c>
      <c r="GM153" s="23" t="e">
        <f>EXP(-LN(2)/25)*GM152+(1-EXP(-LN(2)/25))/(LN(2)/25)*Calculateur!GH153*Calculateur!GJ153*VLOOKUP('Données projet'!$B$17,Paramètres!$A$1:$I$88,3,0)*0.475*44/12</f>
        <v>#N/A</v>
      </c>
      <c r="GN153" s="23" t="e">
        <f>EXP(-LN(2)/2)*GN152+(1-EXP(-LN(2)/2))/(LN(2)/2)*GH153*GK153*VLOOKUP('Données projet'!$B$17,Paramètres!$A$1:$I$88,3,0)*0.475*44/12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69.402372004467438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projet'!$B$18,Paramètres!$A$1:$I$88,3,0)*0.475*44/12</f>
        <v>#N/A</v>
      </c>
      <c r="HH153" s="23" t="e">
        <f>EXP(-LN(2)/25)*HH152+(1-EXP(-LN(2)/25))/(LN(2)/25)*Calculateur!HC153*Calculateur!HE153*VLOOKUP('Données projet'!$B$18,Paramètres!$A$1:$I$88,3,0)*0.475*44/12</f>
        <v>#N/A</v>
      </c>
      <c r="HI153" s="23" t="e">
        <f>EXP(-LN(2)/2)*HI152+(1-EXP(-LN(2)/2))/(LN(2)/2)*HC153*HF153*VLOOKUP('Données projet'!$B$18,Paramètres!$A$1:$I$88,3,0)*0.475*44/12</f>
        <v>#N/A</v>
      </c>
      <c r="HJ153" s="24" t="e">
        <f t="shared" si="138"/>
        <v>#N/A</v>
      </c>
    </row>
    <row r="154" spans="1:218" x14ac:dyDescent="0.2">
      <c r="A154" s="11">
        <f t="shared" ref="A154:A202" si="161">A153+1</f>
        <v>151</v>
      </c>
      <c r="B154" s="77">
        <f>'Scénario référence'!$B$16*5+'Scénario référence'!$B$17*0+'Scénario référence'!$B$18*5</f>
        <v>1.6500000000000001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6.0500000000000007</v>
      </c>
      <c r="H154" s="70">
        <f t="shared" si="110"/>
        <v>232.4666666666667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69.412739514093886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projet'!$B$9,Paramètres!$A$1:$I$88,3,0)*VLOOKUP('Données projet'!$B$9,Paramètres!$A$1:$I$88,5,0)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291.18004488501288</v>
      </c>
      <c r="S154" s="62">
        <f ca="1">AVERAGE(OFFSET($R$3,0,0,'Données projet'!$E$9+1,1))-AVERAGE(OFFSET($H$3,0,0,'Données projet'!$E$9+1,1))</f>
        <v>354.71367224254021</v>
      </c>
      <c r="T154" s="62">
        <f t="shared" si="142"/>
        <v>490.074370133397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28.574400355873045</v>
      </c>
      <c r="AA154" s="23">
        <f>EXP(-LN(2)/25)*AA153+(1-EXP(-LN(2)/25))/(LN(2)/25)*Calculateur!V154*Calculateur!X154*VLOOKUP('Données projet'!$B$9,Paramètres!$A$1:$I$88,3,0)*0.475*44/12</f>
        <v>2.971699399138573</v>
      </c>
      <c r="AB154" s="23">
        <f>EXP(-LN(2)/2)*AB153+(1-EXP(-LN(2)/2))/(LN(2)/2)*V154*Y154*VLOOKUP('Données projet'!$B$9,Paramètres!$A$1:$I$88,3,0)*0.475*44/12</f>
        <v>1.1439548852031314E-14</v>
      </c>
      <c r="AC154" s="24">
        <f t="shared" ref="AC154:AC203" si="163">SUM(Z154:AB154)</f>
        <v>31.546099755011628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69.412739514093886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2.2737367544323206E-13</v>
      </c>
      <c r="AJ154" s="14">
        <f>AI154*VLOOKUP('Données projet'!$B$10,Paramètres!$A$1:$I$88,3,0)*VLOOKUP('Données projet'!$B$10,Paramètres!$A$1:$I$88,5,0)</f>
        <v>1.3596945791505279E-13</v>
      </c>
      <c r="AK154" s="14">
        <f t="shared" ref="AK154:AK203" si="164">EXP(-1.0587+0.8836*LN(AJ154)+0.284)</f>
        <v>1.9708830566360721E-12</v>
      </c>
      <c r="AL154" s="22">
        <f t="shared" ref="AL154:AL203" si="165">(AJ154+AK154)*0.475*44/12</f>
        <v>3.669434796176543E-12</v>
      </c>
      <c r="AM154" s="62">
        <f t="shared" si="113"/>
        <v>291.18004488501458</v>
      </c>
      <c r="AN154" s="62">
        <f ca="1">AVERAGE(OFFSET($AM$3,0,0,'Données projet'!$E$10+1,1))-AVERAGE(OFFSET($H$3,0,0,'Données projet'!$E$10+1,1))</f>
        <v>264.73276096087574</v>
      </c>
      <c r="AO154" s="62">
        <f t="shared" si="144"/>
        <v>381.84464918049662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projet'!$B$10,Paramètres!$A$1:$I$88,3,0)*0.475*44/12</f>
        <v>20.039408539821821</v>
      </c>
      <c r="AV154" s="23">
        <f>EXP(-LN(2)/25)*AV153+(1-EXP(-LN(2)/25))/(LN(2)/25)*Calculateur!AQ154*Calculateur!AS154*VLOOKUP('Données projet'!$B$10,Paramètres!$A$1:$I$88,3,0)*0.475*44/12</f>
        <v>2.0877144113441548</v>
      </c>
      <c r="AW154" s="23">
        <f>EXP(-LN(2)/2)*AW153+(1-EXP(-LN(2)/2))/(LN(2)/2)*AQ154*AT154*VLOOKUP('Données projet'!$B$10,Paramètres!$A$1:$I$88,3,0)*0.475*44/12</f>
        <v>8.0100668932347898E-15</v>
      </c>
      <c r="AX154" s="23">
        <f t="shared" ref="AX154:AX203" si="166">SUM(AU154:AW154)</f>
        <v>22.127122951165983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69.412739514093886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-2.8421709430404007E-13</v>
      </c>
      <c r="BE154" s="14">
        <f>BD154*VLOOKUP('Données projet'!$B$11,Paramètres!$A$1:$I$88,3,0)*VLOOKUP('Données projet'!$B$11,Paramètres!$A$1:$I$88,5,0)</f>
        <v>-3.2366642699344083E-13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470.57532875732056</v>
      </c>
      <c r="BJ154" s="62">
        <f t="shared" si="146"/>
        <v>286.63787681165888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projet'!$B$11,Paramètres!$A$1:$I$88,3,0)*0.475*44/12</f>
        <v>87.902896701960103</v>
      </c>
      <c r="BQ154" s="23">
        <f>EXP(-LN(2)/25)*BQ153+(1-EXP(-LN(2)/25))/(LN(2)/25)*Calculateur!BL154*Calculateur!BN154*VLOOKUP('Données projet'!$B$11,Paramètres!$A$1:$I$88,3,0)*0.475*44/12</f>
        <v>0</v>
      </c>
      <c r="BR154" s="23">
        <f>EXP(-LN(2)/2)*BR153+(1-EXP(-LN(2)/2))/(LN(2)/2)*BL154*BO154*VLOOKUP('Données projet'!$B$11,Paramètres!$A$1:$I$88,3,0)*0.475*44/12</f>
        <v>0</v>
      </c>
      <c r="BS154" s="24">
        <f t="shared" ref="BS154:BS203" si="169">SUM(BP154:BR154)</f>
        <v>87.902896701960103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69.412739514093886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-2.2737367544323206E-13</v>
      </c>
      <c r="BZ154" s="14">
        <f>BY154*VLOOKUP('Données projet'!$B$12,Paramètres!$A$1:$I$88,3,0)*VLOOKUP('Données projet'!$B$12,Paramètres!$A$1:$I$88,5,0)</f>
        <v>-1.4897523215040565E-13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305.38855494899906</v>
      </c>
      <c r="CE154" s="62">
        <f t="shared" si="148"/>
        <v>298.48106301229177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projet'!$B$12,Paramètres!$A$1:$I$88,3,0)*0.475*44/12</f>
        <v>20.78160835813533</v>
      </c>
      <c r="CL154" s="23">
        <f>EXP(-LN(2)/25)*CL153+(1-EXP(-LN(2)/25))/(LN(2)/25)*Calculateur!CG154*Calculateur!CI154*VLOOKUP('Données projet'!$B$12,Paramètres!$A$1:$I$88,3,0)*0.475*44/12</f>
        <v>0</v>
      </c>
      <c r="CM154" s="23">
        <f>EXP(-LN(2)/2)*CM153+(1-EXP(-LN(2)/2))/(LN(2)/2)*CG154*CJ154*VLOOKUP('Données projet'!$B$12,Paramètres!$A$1:$I$88,3,0)*0.475*44/12</f>
        <v>0</v>
      </c>
      <c r="CN154" s="24">
        <f t="shared" ref="CN154:CN203" si="172">SUM(CK154:CM154)</f>
        <v>20.78160835813533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69.412739514093886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-2.2737367544323206E-13</v>
      </c>
      <c r="CU154" s="18">
        <f>CT154*VLOOKUP('Données projet'!$B$13,Paramètres!$A$1:$I$88,3,0)*VLOOKUP('Données projet'!$B$13,Paramètres!$A$1:$I$88,5,0)</f>
        <v>-1.8089849618263545E-13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361.30066984973894</v>
      </c>
      <c r="CZ154" s="62">
        <f t="shared" si="150"/>
        <v>351.78053157121622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projet'!$B$13,Paramètres!$A$1:$I$88,3,0)*0.475*44/12</f>
        <v>31.10337064896996</v>
      </c>
      <c r="DG154" s="23">
        <f>EXP(-LN(2)/25)*DG153+(1-EXP(-LN(2)/25))/(LN(2)/25)*Calculateur!DB154*Calculateur!DD154*VLOOKUP('Données projet'!$B$13,Paramètres!$A$1:$I$88,3,0)*0.475*44/12</f>
        <v>0</v>
      </c>
      <c r="DH154" s="23">
        <f>EXP(-LN(2)/2)*DH153+(1-EXP(-LN(2)/2))/(LN(2)/2)*DB154*DE154*VLOOKUP('Données projet'!$B$13,Paramètres!$A$1:$I$88,3,0)*0.475*44/12</f>
        <v>0</v>
      </c>
      <c r="DI154" s="24">
        <f t="shared" ref="DI154:DI203" si="175">SUM(DF154:DH154)</f>
        <v>31.10337064896996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69.412739514093886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>
        <f>DO154*VLOOKUP('Données projet'!$B$14,Paramètres!$A$1:$I$88,3,0)*VLOOKUP('Données projet'!$B$14,Paramètres!$A$1:$I$88,5,0)</f>
        <v>0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91.201152634762423</v>
      </c>
      <c r="DU154" s="62">
        <f t="shared" si="152"/>
        <v>233.36981992862445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projet'!$B$14,Paramètres!$A$1:$I$88,3,0)*0.475*44/12</f>
        <v>3.7747873922884878</v>
      </c>
      <c r="EB154" s="23">
        <f>EXP(-LN(2)/25)*EB153+(1-EXP(-LN(2)/25))/(LN(2)/25)*Calculateur!DW154*Calculateur!DY154*VLOOKUP('Données projet'!$B$14,Paramètres!$A$1:$I$88,3,0)*0.475*44/12</f>
        <v>0</v>
      </c>
      <c r="EC154" s="23">
        <f>EXP(-LN(2)/2)*EC153+(1-EXP(-LN(2)/2))/(LN(2)/2)*DW154*DZ154*VLOOKUP('Données projet'!$B$14,Paramètres!$A$1:$I$88,3,0)*0.475*44/12</f>
        <v>0</v>
      </c>
      <c r="ED154" s="24">
        <f t="shared" ref="ED154:ED203" si="178">SUM(EA154:EC154)</f>
        <v>3.7747873922884878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69.412739514093886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projet'!$B$15,Paramètres!$A$1:$I$88,3,0)*0.475*44/12</f>
        <v>#N/A</v>
      </c>
      <c r="EW154" s="23" t="e">
        <f>EXP(-LN(2)/25)*EW153+(1-EXP(-LN(2)/25))/(LN(2)/25)*Calculateur!ER154*Calculateur!ET154*VLOOKUP('Données projet'!$B$15,Paramètres!$A$1:$I$88,3,0)*0.475*44/12</f>
        <v>#N/A</v>
      </c>
      <c r="EX154" s="23" t="e">
        <f>EXP(-LN(2)/2)*EX153+(1-EXP(-LN(2)/2))/(LN(2)/2)*ER154*EU154*VLOOKUP('Données projet'!$B$15,Paramètres!$A$1:$I$88,3,0)*0.475*44/12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69.412739514093886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projet'!$B$16,Paramètres!$A$1:$I$88,3,0)*0.475*44/12</f>
        <v>#N/A</v>
      </c>
      <c r="FR154" s="23" t="e">
        <f>EXP(-LN(2)/25)*FR153+(1-EXP(-LN(2)/25))/(LN(2)/25)*Calculateur!FM154*Calculateur!FO154*VLOOKUP('Données projet'!$B$16,Paramètres!$A$1:$I$88,3,0)*0.475*44/12</f>
        <v>#N/A</v>
      </c>
      <c r="FS154" s="23" t="e">
        <f>EXP(-LN(2)/2)*FS153+(1-EXP(-LN(2)/2))/(LN(2)/2)*FM154*FP154*VLOOKUP('Données projet'!$B$16,Paramètres!$A$1:$I$88,3,0)*0.475*44/12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69.412739514093886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projet'!$B$17,Paramètres!$A$1:$I$88,3,0)*0.475*44/12</f>
        <v>#N/A</v>
      </c>
      <c r="GM154" s="23" t="e">
        <f>EXP(-LN(2)/25)*GM153+(1-EXP(-LN(2)/25))/(LN(2)/25)*Calculateur!GH154*Calculateur!GJ154*VLOOKUP('Données projet'!$B$17,Paramètres!$A$1:$I$88,3,0)*0.475*44/12</f>
        <v>#N/A</v>
      </c>
      <c r="GN154" s="23" t="e">
        <f>EXP(-LN(2)/2)*GN153+(1-EXP(-LN(2)/2))/(LN(2)/2)*GH154*GK154*VLOOKUP('Données projet'!$B$17,Paramètres!$A$1:$I$88,3,0)*0.475*44/12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69.412739514093886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projet'!$B$18,Paramètres!$A$1:$I$88,3,0)*0.475*44/12</f>
        <v>#N/A</v>
      </c>
      <c r="HH154" s="23" t="e">
        <f>EXP(-LN(2)/25)*HH153+(1-EXP(-LN(2)/25))/(LN(2)/25)*Calculateur!HC154*Calculateur!HE154*VLOOKUP('Données projet'!$B$18,Paramètres!$A$1:$I$88,3,0)*0.475*44/12</f>
        <v>#N/A</v>
      </c>
      <c r="HI154" s="23" t="e">
        <f>EXP(-LN(2)/2)*HI153+(1-EXP(-LN(2)/2))/(LN(2)/2)*HC154*HF154*VLOOKUP('Données projet'!$B$18,Paramètres!$A$1:$I$88,3,0)*0.475*44/12</f>
        <v>#N/A</v>
      </c>
      <c r="HJ154" s="24" t="e">
        <f t="shared" ref="HJ154:HJ203" si="190">SUM(HG154:HI154)</f>
        <v>#N/A</v>
      </c>
    </row>
    <row r="155" spans="1:218" x14ac:dyDescent="0.2">
      <c r="A155" s="11">
        <f t="shared" si="161"/>
        <v>152</v>
      </c>
      <c r="B155" s="77">
        <f>'Scénario référence'!$B$16*5+'Scénario référence'!$B$17*0+'Scénario référence'!$B$18*5</f>
        <v>1.6500000000000001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6.0500000000000007</v>
      </c>
      <c r="H155" s="70">
        <f t="shared" si="110"/>
        <v>232.4666666666667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69.422927170606599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projet'!$B$9,Paramètres!$A$1:$I$88,3,0)*VLOOKUP('Données projet'!$B$9,Paramètres!$A$1:$I$88,5,0)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291.21739962555955</v>
      </c>
      <c r="S155" s="62">
        <f ca="1">AVERAGE(OFFSET($R$3,0,0,'Données projet'!$E$9+1,1))-AVERAGE(OFFSET($H$3,0,0,'Données projet'!$E$9+1,1))</f>
        <v>354.71367224254021</v>
      </c>
      <c r="T155" s="62">
        <f t="shared" si="142"/>
        <v>490.074370133397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28.014073793557653</v>
      </c>
      <c r="AA155" s="23">
        <f>EXP(-LN(2)/25)*AA154+(1-EXP(-LN(2)/25))/(LN(2)/25)*Calculateur!V155*Calculateur!X155*VLOOKUP('Données projet'!$B$9,Paramètres!$A$1:$I$88,3,0)*0.475*44/12</f>
        <v>2.8904381227942491</v>
      </c>
      <c r="AB155" s="23">
        <f>EXP(-LN(2)/2)*AB154+(1-EXP(-LN(2)/2))/(LN(2)/2)*V155*Y155*VLOOKUP('Données projet'!$B$9,Paramètres!$A$1:$I$88,3,0)*0.475*44/12</f>
        <v>8.0889825669861272E-15</v>
      </c>
      <c r="AC155" s="24">
        <f t="shared" si="163"/>
        <v>30.904511916351908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69.422927170606599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2.2737367544323206E-13</v>
      </c>
      <c r="AJ155" s="14">
        <f>AI155*VLOOKUP('Données projet'!$B$10,Paramètres!$A$1:$I$88,3,0)*VLOOKUP('Données projet'!$B$10,Paramètres!$A$1:$I$88,5,0)</f>
        <v>1.3596945791505279E-13</v>
      </c>
      <c r="AK155" s="14">
        <f t="shared" si="164"/>
        <v>1.9708830566360721E-12</v>
      </c>
      <c r="AL155" s="22">
        <f t="shared" si="165"/>
        <v>3.669434796176543E-12</v>
      </c>
      <c r="AM155" s="62">
        <f t="shared" si="113"/>
        <v>291.21739962556126</v>
      </c>
      <c r="AN155" s="62">
        <f ca="1">AVERAGE(OFFSET($AM$3,0,0,'Données projet'!$E$10+1,1))-AVERAGE(OFFSET($H$3,0,0,'Données projet'!$E$10+1,1))</f>
        <v>264.73276096087574</v>
      </c>
      <c r="AO155" s="62">
        <f t="shared" si="144"/>
        <v>381.84464918049662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projet'!$B$10,Paramètres!$A$1:$I$88,3,0)*0.475*44/12</f>
        <v>19.646447961188219</v>
      </c>
      <c r="AV155" s="23">
        <f>EXP(-LN(2)/25)*AV154+(1-EXP(-LN(2)/25))/(LN(2)/25)*Calculateur!AQ155*Calculateur!AS155*VLOOKUP('Données projet'!$B$10,Paramètres!$A$1:$I$88,3,0)*0.475*44/12</f>
        <v>2.0306257509778196</v>
      </c>
      <c r="AW155" s="23">
        <f>EXP(-LN(2)/2)*AW154+(1-EXP(-LN(2)/2))/(LN(2)/2)*AQ155*AT155*VLOOKUP('Données projet'!$B$10,Paramètres!$A$1:$I$88,3,0)*0.475*44/12</f>
        <v>5.6639726179641811E-15</v>
      </c>
      <c r="AX155" s="23">
        <f t="shared" si="166"/>
        <v>21.677073712166045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69.422927170606599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-2.8421709430404007E-13</v>
      </c>
      <c r="BE155" s="14">
        <f>BD155*VLOOKUP('Données projet'!$B$11,Paramètres!$A$1:$I$88,3,0)*VLOOKUP('Données projet'!$B$11,Paramètres!$A$1:$I$88,5,0)</f>
        <v>-3.2366642699344083E-13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470.57532875732056</v>
      </c>
      <c r="BJ155" s="62">
        <f t="shared" si="146"/>
        <v>286.63787681165888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projet'!$B$11,Paramètres!$A$1:$I$88,3,0)*0.475*44/12</f>
        <v>86.179174513107569</v>
      </c>
      <c r="BQ155" s="23">
        <f>EXP(-LN(2)/25)*BQ154+(1-EXP(-LN(2)/25))/(LN(2)/25)*Calculateur!BL155*Calculateur!BN155*VLOOKUP('Données projet'!$B$11,Paramètres!$A$1:$I$88,3,0)*0.475*44/12</f>
        <v>0</v>
      </c>
      <c r="BR155" s="23">
        <f>EXP(-LN(2)/2)*BR154+(1-EXP(-LN(2)/2))/(LN(2)/2)*BL155*BO155*VLOOKUP('Données projet'!$B$11,Paramètres!$A$1:$I$88,3,0)*0.475*44/12</f>
        <v>0</v>
      </c>
      <c r="BS155" s="24">
        <f t="shared" si="169"/>
        <v>86.179174513107569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69.422927170606599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-2.2737367544323206E-13</v>
      </c>
      <c r="BZ155" s="14">
        <f>BY155*VLOOKUP('Données projet'!$B$12,Paramètres!$A$1:$I$88,3,0)*VLOOKUP('Données projet'!$B$12,Paramètres!$A$1:$I$88,5,0)</f>
        <v>-1.4897523215040565E-13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305.38855494899906</v>
      </c>
      <c r="CE155" s="62">
        <f t="shared" si="148"/>
        <v>298.48106301229177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projet'!$B$12,Paramètres!$A$1:$I$88,3,0)*0.475*44/12</f>
        <v>20.37409369376179</v>
      </c>
      <c r="CL155" s="23">
        <f>EXP(-LN(2)/25)*CL154+(1-EXP(-LN(2)/25))/(LN(2)/25)*Calculateur!CG155*Calculateur!CI155*VLOOKUP('Données projet'!$B$12,Paramètres!$A$1:$I$88,3,0)*0.475*44/12</f>
        <v>0</v>
      </c>
      <c r="CM155" s="23">
        <f>EXP(-LN(2)/2)*CM154+(1-EXP(-LN(2)/2))/(LN(2)/2)*CG155*CJ155*VLOOKUP('Données projet'!$B$12,Paramètres!$A$1:$I$88,3,0)*0.475*44/12</f>
        <v>0</v>
      </c>
      <c r="CN155" s="24">
        <f t="shared" si="172"/>
        <v>20.37409369376179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69.422927170606599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-2.2737367544323206E-13</v>
      </c>
      <c r="CU155" s="18">
        <f>CT155*VLOOKUP('Données projet'!$B$13,Paramètres!$A$1:$I$88,3,0)*VLOOKUP('Données projet'!$B$13,Paramètres!$A$1:$I$88,5,0)</f>
        <v>-1.8089849618263545E-13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361.30066984973894</v>
      </c>
      <c r="CZ155" s="62">
        <f t="shared" si="150"/>
        <v>351.78053157121622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projet'!$B$13,Paramètres!$A$1:$I$88,3,0)*0.475*44/12</f>
        <v>30.493452521726507</v>
      </c>
      <c r="DG155" s="23">
        <f>EXP(-LN(2)/25)*DG154+(1-EXP(-LN(2)/25))/(LN(2)/25)*Calculateur!DB155*Calculateur!DD155*VLOOKUP('Données projet'!$B$13,Paramètres!$A$1:$I$88,3,0)*0.475*44/12</f>
        <v>0</v>
      </c>
      <c r="DH155" s="23">
        <f>EXP(-LN(2)/2)*DH154+(1-EXP(-LN(2)/2))/(LN(2)/2)*DB155*DE155*VLOOKUP('Données projet'!$B$13,Paramètres!$A$1:$I$88,3,0)*0.475*44/12</f>
        <v>0</v>
      </c>
      <c r="DI155" s="24">
        <f t="shared" si="175"/>
        <v>30.493452521726507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69.422927170606599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>
        <f>DO155*VLOOKUP('Données projet'!$B$14,Paramètres!$A$1:$I$88,3,0)*VLOOKUP('Données projet'!$B$14,Paramètres!$A$1:$I$88,5,0)</f>
        <v>0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91.201152634762423</v>
      </c>
      <c r="DU155" s="62">
        <f t="shared" si="152"/>
        <v>233.36981992862445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projet'!$B$14,Paramètres!$A$1:$I$88,3,0)*0.475*44/12</f>
        <v>3.7007661139186774</v>
      </c>
      <c r="EB155" s="23">
        <f>EXP(-LN(2)/25)*EB154+(1-EXP(-LN(2)/25))/(LN(2)/25)*Calculateur!DW155*Calculateur!DY155*VLOOKUP('Données projet'!$B$14,Paramètres!$A$1:$I$88,3,0)*0.475*44/12</f>
        <v>0</v>
      </c>
      <c r="EC155" s="23">
        <f>EXP(-LN(2)/2)*EC154+(1-EXP(-LN(2)/2))/(LN(2)/2)*DW155*DZ155*VLOOKUP('Données projet'!$B$14,Paramètres!$A$1:$I$88,3,0)*0.475*44/12</f>
        <v>0</v>
      </c>
      <c r="ED155" s="24">
        <f t="shared" si="178"/>
        <v>3.7007661139186774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69.422927170606599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projet'!$B$15,Paramètres!$A$1:$I$88,3,0)*0.475*44/12</f>
        <v>#N/A</v>
      </c>
      <c r="EW155" s="23" t="e">
        <f>EXP(-LN(2)/25)*EW154+(1-EXP(-LN(2)/25))/(LN(2)/25)*Calculateur!ER155*Calculateur!ET155*VLOOKUP('Données projet'!$B$15,Paramètres!$A$1:$I$88,3,0)*0.475*44/12</f>
        <v>#N/A</v>
      </c>
      <c r="EX155" s="23" t="e">
        <f>EXP(-LN(2)/2)*EX154+(1-EXP(-LN(2)/2))/(LN(2)/2)*ER155*EU155*VLOOKUP('Données projet'!$B$15,Paramètres!$A$1:$I$88,3,0)*0.475*44/12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69.422927170606599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projet'!$B$16,Paramètres!$A$1:$I$88,3,0)*0.475*44/12</f>
        <v>#N/A</v>
      </c>
      <c r="FR155" s="23" t="e">
        <f>EXP(-LN(2)/25)*FR154+(1-EXP(-LN(2)/25))/(LN(2)/25)*Calculateur!FM155*Calculateur!FO155*VLOOKUP('Données projet'!$B$16,Paramètres!$A$1:$I$88,3,0)*0.475*44/12</f>
        <v>#N/A</v>
      </c>
      <c r="FS155" s="23" t="e">
        <f>EXP(-LN(2)/2)*FS154+(1-EXP(-LN(2)/2))/(LN(2)/2)*FM155*FP155*VLOOKUP('Données projet'!$B$16,Paramètres!$A$1:$I$88,3,0)*0.475*44/12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69.422927170606599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projet'!$B$17,Paramètres!$A$1:$I$88,3,0)*0.475*44/12</f>
        <v>#N/A</v>
      </c>
      <c r="GM155" s="23" t="e">
        <f>EXP(-LN(2)/25)*GM154+(1-EXP(-LN(2)/25))/(LN(2)/25)*Calculateur!GH155*Calculateur!GJ155*VLOOKUP('Données projet'!$B$17,Paramètres!$A$1:$I$88,3,0)*0.475*44/12</f>
        <v>#N/A</v>
      </c>
      <c r="GN155" s="23" t="e">
        <f>EXP(-LN(2)/2)*GN154+(1-EXP(-LN(2)/2))/(LN(2)/2)*GH155*GK155*VLOOKUP('Données projet'!$B$17,Paramètres!$A$1:$I$88,3,0)*0.475*44/12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69.422927170606599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projet'!$B$18,Paramètres!$A$1:$I$88,3,0)*0.475*44/12</f>
        <v>#N/A</v>
      </c>
      <c r="HH155" s="23" t="e">
        <f>EXP(-LN(2)/25)*HH154+(1-EXP(-LN(2)/25))/(LN(2)/25)*Calculateur!HC155*Calculateur!HE155*VLOOKUP('Données projet'!$B$18,Paramètres!$A$1:$I$88,3,0)*0.475*44/12</f>
        <v>#N/A</v>
      </c>
      <c r="HI155" s="23" t="e">
        <f>EXP(-LN(2)/2)*HI154+(1-EXP(-LN(2)/2))/(LN(2)/2)*HC155*HF155*VLOOKUP('Données projet'!$B$18,Paramètres!$A$1:$I$88,3,0)*0.475*44/12</f>
        <v>#N/A</v>
      </c>
      <c r="HJ155" s="24" t="e">
        <f t="shared" si="190"/>
        <v>#N/A</v>
      </c>
    </row>
    <row r="156" spans="1:218" x14ac:dyDescent="0.2">
      <c r="A156" s="11">
        <f t="shared" si="161"/>
        <v>153</v>
      </c>
      <c r="B156" s="77">
        <f>'Scénario référence'!$B$16*5+'Scénario référence'!$B$17*0+'Scénario référence'!$B$18*5</f>
        <v>1.6500000000000001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6.0500000000000007</v>
      </c>
      <c r="H156" s="70">
        <f t="shared" si="110"/>
        <v>232.4666666666667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69.432938094055004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projet'!$B$9,Paramètres!$A$1:$I$88,3,0)*VLOOKUP('Données projet'!$B$9,Paramètres!$A$1:$I$88,5,0)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291.25410634487037</v>
      </c>
      <c r="S156" s="62">
        <f ca="1">AVERAGE(OFFSET($R$3,0,0,'Données projet'!$E$9+1,1))-AVERAGE(OFFSET($H$3,0,0,'Données projet'!$E$9+1,1))</f>
        <v>354.71367224254021</v>
      </c>
      <c r="T156" s="62">
        <f t="shared" si="142"/>
        <v>490.074370133397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27.464734893363811</v>
      </c>
      <c r="AA156" s="23">
        <f>EXP(-LN(2)/25)*AA155+(1-EXP(-LN(2)/25))/(LN(2)/25)*Calculateur!V156*Calculateur!X156*VLOOKUP('Données projet'!$B$9,Paramètres!$A$1:$I$88,3,0)*0.475*44/12</f>
        <v>2.8113989403249056</v>
      </c>
      <c r="AB156" s="23">
        <f>EXP(-LN(2)/2)*AB155+(1-EXP(-LN(2)/2))/(LN(2)/2)*V156*Y156*VLOOKUP('Données projet'!$B$9,Paramètres!$A$1:$I$88,3,0)*0.475*44/12</f>
        <v>5.7197744260156571E-15</v>
      </c>
      <c r="AC156" s="24">
        <f t="shared" si="163"/>
        <v>30.276133833688725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69.432938094055004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2.2737367544323206E-13</v>
      </c>
      <c r="AJ156" s="14">
        <f>AI156*VLOOKUP('Données projet'!$B$10,Paramètres!$A$1:$I$88,3,0)*VLOOKUP('Données projet'!$B$10,Paramètres!$A$1:$I$88,5,0)</f>
        <v>1.3596945791505279E-13</v>
      </c>
      <c r="AK156" s="14">
        <f t="shared" si="164"/>
        <v>1.9708830566360721E-12</v>
      </c>
      <c r="AL156" s="22">
        <f t="shared" si="165"/>
        <v>3.669434796176543E-12</v>
      </c>
      <c r="AM156" s="62">
        <f t="shared" si="113"/>
        <v>291.25410634487207</v>
      </c>
      <c r="AN156" s="62">
        <f ca="1">AVERAGE(OFFSET($AM$3,0,0,'Données projet'!$E$10+1,1))-AVERAGE(OFFSET($H$3,0,0,'Données projet'!$E$10+1,1))</f>
        <v>264.73276096087574</v>
      </c>
      <c r="AO156" s="62">
        <f t="shared" si="144"/>
        <v>381.84464918049662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projet'!$B$10,Paramètres!$A$1:$I$88,3,0)*0.475*44/12</f>
        <v>19.261193099819337</v>
      </c>
      <c r="AV156" s="23">
        <f>EXP(-LN(2)/25)*AV155+(1-EXP(-LN(2)/25))/(LN(2)/25)*Calculateur!AQ156*Calculateur!AS156*VLOOKUP('Données projet'!$B$10,Paramètres!$A$1:$I$88,3,0)*0.475*44/12</f>
        <v>1.9750981830313639</v>
      </c>
      <c r="AW156" s="23">
        <f>EXP(-LN(2)/2)*AW155+(1-EXP(-LN(2)/2))/(LN(2)/2)*AQ156*AT156*VLOOKUP('Données projet'!$B$10,Paramètres!$A$1:$I$88,3,0)*0.475*44/12</f>
        <v>4.0050334466173949E-15</v>
      </c>
      <c r="AX156" s="23">
        <f t="shared" si="166"/>
        <v>21.236291282850704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69.432938094055004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-2.8421709430404007E-13</v>
      </c>
      <c r="BE156" s="14">
        <f>BD156*VLOOKUP('Données projet'!$B$11,Paramètres!$A$1:$I$88,3,0)*VLOOKUP('Données projet'!$B$11,Paramètres!$A$1:$I$88,5,0)</f>
        <v>-3.2366642699344083E-13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470.57532875732056</v>
      </c>
      <c r="BJ156" s="62">
        <f t="shared" si="146"/>
        <v>286.63787681165888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projet'!$B$11,Paramètres!$A$1:$I$88,3,0)*0.475*44/12</f>
        <v>84.489253465011714</v>
      </c>
      <c r="BQ156" s="23">
        <f>EXP(-LN(2)/25)*BQ155+(1-EXP(-LN(2)/25))/(LN(2)/25)*Calculateur!BL156*Calculateur!BN156*VLOOKUP('Données projet'!$B$11,Paramètres!$A$1:$I$88,3,0)*0.475*44/12</f>
        <v>0</v>
      </c>
      <c r="BR156" s="23">
        <f>EXP(-LN(2)/2)*BR155+(1-EXP(-LN(2)/2))/(LN(2)/2)*BL156*BO156*VLOOKUP('Données projet'!$B$11,Paramètres!$A$1:$I$88,3,0)*0.475*44/12</f>
        <v>0</v>
      </c>
      <c r="BS156" s="24">
        <f t="shared" si="169"/>
        <v>84.489253465011714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69.432938094055004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-2.2737367544323206E-13</v>
      </c>
      <c r="BZ156" s="14">
        <f>BY156*VLOOKUP('Données projet'!$B$12,Paramètres!$A$1:$I$88,3,0)*VLOOKUP('Données projet'!$B$12,Paramètres!$A$1:$I$88,5,0)</f>
        <v>-1.4897523215040565E-13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305.38855494899906</v>
      </c>
      <c r="CE156" s="62">
        <f t="shared" si="148"/>
        <v>298.48106301229177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projet'!$B$12,Paramètres!$A$1:$I$88,3,0)*0.475*44/12</f>
        <v>19.974570143397212</v>
      </c>
      <c r="CL156" s="23">
        <f>EXP(-LN(2)/25)*CL155+(1-EXP(-LN(2)/25))/(LN(2)/25)*Calculateur!CG156*Calculateur!CI156*VLOOKUP('Données projet'!$B$12,Paramètres!$A$1:$I$88,3,0)*0.475*44/12</f>
        <v>0</v>
      </c>
      <c r="CM156" s="23">
        <f>EXP(-LN(2)/2)*CM155+(1-EXP(-LN(2)/2))/(LN(2)/2)*CG156*CJ156*VLOOKUP('Données projet'!$B$12,Paramètres!$A$1:$I$88,3,0)*0.475*44/12</f>
        <v>0</v>
      </c>
      <c r="CN156" s="24">
        <f t="shared" si="172"/>
        <v>19.974570143397212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69.432938094055004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-2.2737367544323206E-13</v>
      </c>
      <c r="CU156" s="18">
        <f>CT156*VLOOKUP('Données projet'!$B$13,Paramètres!$A$1:$I$88,3,0)*VLOOKUP('Données projet'!$B$13,Paramètres!$A$1:$I$88,5,0)</f>
        <v>-1.8089849618263545E-13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361.30066984973894</v>
      </c>
      <c r="CZ156" s="62">
        <f t="shared" si="150"/>
        <v>351.78053157121622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projet'!$B$13,Paramètres!$A$1:$I$88,3,0)*0.475*44/12</f>
        <v>29.895494516944972</v>
      </c>
      <c r="DG156" s="23">
        <f>EXP(-LN(2)/25)*DG155+(1-EXP(-LN(2)/25))/(LN(2)/25)*Calculateur!DB156*Calculateur!DD156*VLOOKUP('Données projet'!$B$13,Paramètres!$A$1:$I$88,3,0)*0.475*44/12</f>
        <v>0</v>
      </c>
      <c r="DH156" s="23">
        <f>EXP(-LN(2)/2)*DH155+(1-EXP(-LN(2)/2))/(LN(2)/2)*DB156*DE156*VLOOKUP('Données projet'!$B$13,Paramètres!$A$1:$I$88,3,0)*0.475*44/12</f>
        <v>0</v>
      </c>
      <c r="DI156" s="24">
        <f t="shared" si="175"/>
        <v>29.895494516944972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69.432938094055004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>
        <f>DO156*VLOOKUP('Données projet'!$B$14,Paramètres!$A$1:$I$88,3,0)*VLOOKUP('Données projet'!$B$14,Paramètres!$A$1:$I$88,5,0)</f>
        <v>0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91.201152634762423</v>
      </c>
      <c r="DU156" s="62">
        <f t="shared" si="152"/>
        <v>233.36981992862445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projet'!$B$14,Paramètres!$A$1:$I$88,3,0)*0.475*44/12</f>
        <v>3.6281963476691774</v>
      </c>
      <c r="EB156" s="23">
        <f>EXP(-LN(2)/25)*EB155+(1-EXP(-LN(2)/25))/(LN(2)/25)*Calculateur!DW156*Calculateur!DY156*VLOOKUP('Données projet'!$B$14,Paramètres!$A$1:$I$88,3,0)*0.475*44/12</f>
        <v>0</v>
      </c>
      <c r="EC156" s="23">
        <f>EXP(-LN(2)/2)*EC155+(1-EXP(-LN(2)/2))/(LN(2)/2)*DW156*DZ156*VLOOKUP('Données projet'!$B$14,Paramètres!$A$1:$I$88,3,0)*0.475*44/12</f>
        <v>0</v>
      </c>
      <c r="ED156" s="24">
        <f t="shared" si="178"/>
        <v>3.6281963476691774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69.432938094055004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projet'!$B$15,Paramètres!$A$1:$I$88,3,0)*0.475*44/12</f>
        <v>#N/A</v>
      </c>
      <c r="EW156" s="23" t="e">
        <f>EXP(-LN(2)/25)*EW155+(1-EXP(-LN(2)/25))/(LN(2)/25)*Calculateur!ER156*Calculateur!ET156*VLOOKUP('Données projet'!$B$15,Paramètres!$A$1:$I$88,3,0)*0.475*44/12</f>
        <v>#N/A</v>
      </c>
      <c r="EX156" s="23" t="e">
        <f>EXP(-LN(2)/2)*EX155+(1-EXP(-LN(2)/2))/(LN(2)/2)*ER156*EU156*VLOOKUP('Données projet'!$B$15,Paramètres!$A$1:$I$88,3,0)*0.475*44/12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69.432938094055004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projet'!$B$16,Paramètres!$A$1:$I$88,3,0)*0.475*44/12</f>
        <v>#N/A</v>
      </c>
      <c r="FR156" s="23" t="e">
        <f>EXP(-LN(2)/25)*FR155+(1-EXP(-LN(2)/25))/(LN(2)/25)*Calculateur!FM156*Calculateur!FO156*VLOOKUP('Données projet'!$B$16,Paramètres!$A$1:$I$88,3,0)*0.475*44/12</f>
        <v>#N/A</v>
      </c>
      <c r="FS156" s="23" t="e">
        <f>EXP(-LN(2)/2)*FS155+(1-EXP(-LN(2)/2))/(LN(2)/2)*FM156*FP156*VLOOKUP('Données projet'!$B$16,Paramètres!$A$1:$I$88,3,0)*0.475*44/12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69.432938094055004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projet'!$B$17,Paramètres!$A$1:$I$88,3,0)*0.475*44/12</f>
        <v>#N/A</v>
      </c>
      <c r="GM156" s="23" t="e">
        <f>EXP(-LN(2)/25)*GM155+(1-EXP(-LN(2)/25))/(LN(2)/25)*Calculateur!GH156*Calculateur!GJ156*VLOOKUP('Données projet'!$B$17,Paramètres!$A$1:$I$88,3,0)*0.475*44/12</f>
        <v>#N/A</v>
      </c>
      <c r="GN156" s="23" t="e">
        <f>EXP(-LN(2)/2)*GN155+(1-EXP(-LN(2)/2))/(LN(2)/2)*GH156*GK156*VLOOKUP('Données projet'!$B$17,Paramètres!$A$1:$I$88,3,0)*0.475*44/12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69.432938094055004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projet'!$B$18,Paramètres!$A$1:$I$88,3,0)*0.475*44/12</f>
        <v>#N/A</v>
      </c>
      <c r="HH156" s="23" t="e">
        <f>EXP(-LN(2)/25)*HH155+(1-EXP(-LN(2)/25))/(LN(2)/25)*Calculateur!HC156*Calculateur!HE156*VLOOKUP('Données projet'!$B$18,Paramètres!$A$1:$I$88,3,0)*0.475*44/12</f>
        <v>#N/A</v>
      </c>
      <c r="HI156" s="23" t="e">
        <f>EXP(-LN(2)/2)*HI155+(1-EXP(-LN(2)/2))/(LN(2)/2)*HC156*HF156*VLOOKUP('Données projet'!$B$18,Paramètres!$A$1:$I$88,3,0)*0.475*44/12</f>
        <v>#N/A</v>
      </c>
      <c r="HJ156" s="24" t="e">
        <f t="shared" si="190"/>
        <v>#N/A</v>
      </c>
    </row>
    <row r="157" spans="1:218" x14ac:dyDescent="0.2">
      <c r="A157" s="11">
        <f t="shared" si="161"/>
        <v>154</v>
      </c>
      <c r="B157" s="77">
        <f>'Scénario référence'!$B$16*5+'Scénario référence'!$B$17*0+'Scénario référence'!$B$18*5</f>
        <v>1.6500000000000001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6.0500000000000007</v>
      </c>
      <c r="H157" s="70">
        <f t="shared" si="110"/>
        <v>232.4666666666667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69.442775350362652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projet'!$B$9,Paramètres!$A$1:$I$88,3,0)*VLOOKUP('Données projet'!$B$9,Paramètres!$A$1:$I$88,5,0)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291.29017628466505</v>
      </c>
      <c r="S157" s="62">
        <f ca="1">AVERAGE(OFFSET($R$3,0,0,'Données projet'!$E$9+1,1))-AVERAGE(OFFSET($H$3,0,0,'Données projet'!$E$9+1,1))</f>
        <v>354.71367224254021</v>
      </c>
      <c r="T157" s="62">
        <f t="shared" si="142"/>
        <v>490.074370133397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26.926168193939127</v>
      </c>
      <c r="AA157" s="23">
        <f>EXP(-LN(2)/25)*AA156+(1-EXP(-LN(2)/25))/(LN(2)/25)*Calculateur!V157*Calculateur!X157*VLOOKUP('Données projet'!$B$9,Paramètres!$A$1:$I$88,3,0)*0.475*44/12</f>
        <v>2.7345210884566762</v>
      </c>
      <c r="AB157" s="23">
        <f>EXP(-LN(2)/2)*AB156+(1-EXP(-LN(2)/2))/(LN(2)/2)*V157*Y157*VLOOKUP('Données projet'!$B$9,Paramètres!$A$1:$I$88,3,0)*0.475*44/12</f>
        <v>4.0444912834930636E-15</v>
      </c>
      <c r="AC157" s="24">
        <f t="shared" si="163"/>
        <v>29.660689282395808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69.442775350362652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2.2737367544323206E-13</v>
      </c>
      <c r="AJ157" s="14">
        <f>AI157*VLOOKUP('Données projet'!$B$10,Paramètres!$A$1:$I$88,3,0)*VLOOKUP('Données projet'!$B$10,Paramètres!$A$1:$I$88,5,0)</f>
        <v>1.3596945791505279E-13</v>
      </c>
      <c r="AK157" s="14">
        <f t="shared" si="164"/>
        <v>1.9708830566360721E-12</v>
      </c>
      <c r="AL157" s="22">
        <f t="shared" si="165"/>
        <v>3.669434796176543E-12</v>
      </c>
      <c r="AM157" s="62">
        <f t="shared" si="113"/>
        <v>291.29017628466676</v>
      </c>
      <c r="AN157" s="62">
        <f ca="1">AVERAGE(OFFSET($AM$3,0,0,'Données projet'!$E$10+1,1))-AVERAGE(OFFSET($H$3,0,0,'Données projet'!$E$10+1,1))</f>
        <v>264.73276096087574</v>
      </c>
      <c r="AO157" s="62">
        <f t="shared" si="144"/>
        <v>381.84464918049662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projet'!$B$10,Paramètres!$A$1:$I$88,3,0)*0.475*44/12</f>
        <v>18.883492851299636</v>
      </c>
      <c r="AV157" s="23">
        <f>EXP(-LN(2)/25)*AV156+(1-EXP(-LN(2)/25))/(LN(2)/25)*Calculateur!AQ157*Calculateur!AS157*VLOOKUP('Données projet'!$B$10,Paramètres!$A$1:$I$88,3,0)*0.475*44/12</f>
        <v>1.9210890193504719</v>
      </c>
      <c r="AW157" s="23">
        <f>EXP(-LN(2)/2)*AW156+(1-EXP(-LN(2)/2))/(LN(2)/2)*AQ157*AT157*VLOOKUP('Données projet'!$B$10,Paramètres!$A$1:$I$88,3,0)*0.475*44/12</f>
        <v>2.8319863089820905E-15</v>
      </c>
      <c r="AX157" s="23">
        <f t="shared" si="166"/>
        <v>20.804581870650111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69.442775350362652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-2.8421709430404007E-13</v>
      </c>
      <c r="BE157" s="14">
        <f>BD157*VLOOKUP('Données projet'!$B$11,Paramètres!$A$1:$I$88,3,0)*VLOOKUP('Données projet'!$B$11,Paramètres!$A$1:$I$88,5,0)</f>
        <v>-3.2366642699344083E-13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470.57532875732056</v>
      </c>
      <c r="BJ157" s="62">
        <f t="shared" si="146"/>
        <v>286.63787681165888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projet'!$B$11,Paramètres!$A$1:$I$88,3,0)*0.475*44/12</f>
        <v>82.832470737918953</v>
      </c>
      <c r="BQ157" s="23">
        <f>EXP(-LN(2)/25)*BQ156+(1-EXP(-LN(2)/25))/(LN(2)/25)*Calculateur!BL157*Calculateur!BN157*VLOOKUP('Données projet'!$B$11,Paramètres!$A$1:$I$88,3,0)*0.475*44/12</f>
        <v>0</v>
      </c>
      <c r="BR157" s="23">
        <f>EXP(-LN(2)/2)*BR156+(1-EXP(-LN(2)/2))/(LN(2)/2)*BL157*BO157*VLOOKUP('Données projet'!$B$11,Paramètres!$A$1:$I$88,3,0)*0.475*44/12</f>
        <v>0</v>
      </c>
      <c r="BS157" s="24">
        <f t="shared" si="169"/>
        <v>82.832470737918953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69.442775350362652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-2.2737367544323206E-13</v>
      </c>
      <c r="BZ157" s="14">
        <f>BY157*VLOOKUP('Données projet'!$B$12,Paramètres!$A$1:$I$88,3,0)*VLOOKUP('Données projet'!$B$12,Paramètres!$A$1:$I$88,5,0)</f>
        <v>-1.4897523215040565E-13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305.38855494899906</v>
      </c>
      <c r="CE157" s="62">
        <f t="shared" si="148"/>
        <v>298.48106301229177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projet'!$B$12,Paramètres!$A$1:$I$88,3,0)*0.475*44/12</f>
        <v>19.582881006169981</v>
      </c>
      <c r="CL157" s="23">
        <f>EXP(-LN(2)/25)*CL156+(1-EXP(-LN(2)/25))/(LN(2)/25)*Calculateur!CG157*Calculateur!CI157*VLOOKUP('Données projet'!$B$12,Paramètres!$A$1:$I$88,3,0)*0.475*44/12</f>
        <v>0</v>
      </c>
      <c r="CM157" s="23">
        <f>EXP(-LN(2)/2)*CM156+(1-EXP(-LN(2)/2))/(LN(2)/2)*CG157*CJ157*VLOOKUP('Données projet'!$B$12,Paramètres!$A$1:$I$88,3,0)*0.475*44/12</f>
        <v>0</v>
      </c>
      <c r="CN157" s="24">
        <f t="shared" si="172"/>
        <v>19.582881006169981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69.442775350362652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-2.2737367544323206E-13</v>
      </c>
      <c r="CU157" s="18">
        <f>CT157*VLOOKUP('Données projet'!$B$13,Paramètres!$A$1:$I$88,3,0)*VLOOKUP('Données projet'!$B$13,Paramètres!$A$1:$I$88,5,0)</f>
        <v>-1.8089849618263545E-13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361.30066984973894</v>
      </c>
      <c r="CZ157" s="62">
        <f t="shared" si="150"/>
        <v>351.78053157121622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projet'!$B$13,Paramètres!$A$1:$I$88,3,0)*0.475*44/12</f>
        <v>29.309262103918833</v>
      </c>
      <c r="DG157" s="23">
        <f>EXP(-LN(2)/25)*DG156+(1-EXP(-LN(2)/25))/(LN(2)/25)*Calculateur!DB157*Calculateur!DD157*VLOOKUP('Données projet'!$B$13,Paramètres!$A$1:$I$88,3,0)*0.475*44/12</f>
        <v>0</v>
      </c>
      <c r="DH157" s="23">
        <f>EXP(-LN(2)/2)*DH156+(1-EXP(-LN(2)/2))/(LN(2)/2)*DB157*DE157*VLOOKUP('Données projet'!$B$13,Paramètres!$A$1:$I$88,3,0)*0.475*44/12</f>
        <v>0</v>
      </c>
      <c r="DI157" s="24">
        <f t="shared" si="175"/>
        <v>29.309262103918833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69.442775350362652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>
        <f>DO157*VLOOKUP('Données projet'!$B$14,Paramètres!$A$1:$I$88,3,0)*VLOOKUP('Données projet'!$B$14,Paramètres!$A$1:$I$88,5,0)</f>
        <v>0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91.201152634762423</v>
      </c>
      <c r="DU157" s="62">
        <f t="shared" si="152"/>
        <v>233.36981992862445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projet'!$B$14,Paramètres!$A$1:$I$88,3,0)*0.475*44/12</f>
        <v>3.5570496302726431</v>
      </c>
      <c r="EB157" s="23">
        <f>EXP(-LN(2)/25)*EB156+(1-EXP(-LN(2)/25))/(LN(2)/25)*Calculateur!DW157*Calculateur!DY157*VLOOKUP('Données projet'!$B$14,Paramètres!$A$1:$I$88,3,0)*0.475*44/12</f>
        <v>0</v>
      </c>
      <c r="EC157" s="23">
        <f>EXP(-LN(2)/2)*EC156+(1-EXP(-LN(2)/2))/(LN(2)/2)*DW157*DZ157*VLOOKUP('Données projet'!$B$14,Paramètres!$A$1:$I$88,3,0)*0.475*44/12</f>
        <v>0</v>
      </c>
      <c r="ED157" s="24">
        <f t="shared" si="178"/>
        <v>3.5570496302726431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69.442775350362652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projet'!$B$15,Paramètres!$A$1:$I$88,3,0)*0.475*44/12</f>
        <v>#N/A</v>
      </c>
      <c r="EW157" s="23" t="e">
        <f>EXP(-LN(2)/25)*EW156+(1-EXP(-LN(2)/25))/(LN(2)/25)*Calculateur!ER157*Calculateur!ET157*VLOOKUP('Données projet'!$B$15,Paramètres!$A$1:$I$88,3,0)*0.475*44/12</f>
        <v>#N/A</v>
      </c>
      <c r="EX157" s="23" t="e">
        <f>EXP(-LN(2)/2)*EX156+(1-EXP(-LN(2)/2))/(LN(2)/2)*ER157*EU157*VLOOKUP('Données projet'!$B$15,Paramètres!$A$1:$I$88,3,0)*0.475*44/12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69.442775350362652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projet'!$B$16,Paramètres!$A$1:$I$88,3,0)*0.475*44/12</f>
        <v>#N/A</v>
      </c>
      <c r="FR157" s="23" t="e">
        <f>EXP(-LN(2)/25)*FR156+(1-EXP(-LN(2)/25))/(LN(2)/25)*Calculateur!FM157*Calculateur!FO157*VLOOKUP('Données projet'!$B$16,Paramètres!$A$1:$I$88,3,0)*0.475*44/12</f>
        <v>#N/A</v>
      </c>
      <c r="FS157" s="23" t="e">
        <f>EXP(-LN(2)/2)*FS156+(1-EXP(-LN(2)/2))/(LN(2)/2)*FM157*FP157*VLOOKUP('Données projet'!$B$16,Paramètres!$A$1:$I$88,3,0)*0.475*44/12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69.442775350362652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projet'!$B$17,Paramètres!$A$1:$I$88,3,0)*0.475*44/12</f>
        <v>#N/A</v>
      </c>
      <c r="GM157" s="23" t="e">
        <f>EXP(-LN(2)/25)*GM156+(1-EXP(-LN(2)/25))/(LN(2)/25)*Calculateur!GH157*Calculateur!GJ157*VLOOKUP('Données projet'!$B$17,Paramètres!$A$1:$I$88,3,0)*0.475*44/12</f>
        <v>#N/A</v>
      </c>
      <c r="GN157" s="23" t="e">
        <f>EXP(-LN(2)/2)*GN156+(1-EXP(-LN(2)/2))/(LN(2)/2)*GH157*GK157*VLOOKUP('Données projet'!$B$17,Paramètres!$A$1:$I$88,3,0)*0.475*44/12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69.442775350362652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projet'!$B$18,Paramètres!$A$1:$I$88,3,0)*0.475*44/12</f>
        <v>#N/A</v>
      </c>
      <c r="HH157" s="23" t="e">
        <f>EXP(-LN(2)/25)*HH156+(1-EXP(-LN(2)/25))/(LN(2)/25)*Calculateur!HC157*Calculateur!HE157*VLOOKUP('Données projet'!$B$18,Paramètres!$A$1:$I$88,3,0)*0.475*44/12</f>
        <v>#N/A</v>
      </c>
      <c r="HI157" s="23" t="e">
        <f>EXP(-LN(2)/2)*HI156+(1-EXP(-LN(2)/2))/(LN(2)/2)*HC157*HF157*VLOOKUP('Données projet'!$B$18,Paramètres!$A$1:$I$88,3,0)*0.475*44/12</f>
        <v>#N/A</v>
      </c>
      <c r="HJ157" s="24" t="e">
        <f t="shared" si="190"/>
        <v>#N/A</v>
      </c>
    </row>
    <row r="158" spans="1:218" x14ac:dyDescent="0.2">
      <c r="A158" s="11">
        <f t="shared" si="161"/>
        <v>155</v>
      </c>
      <c r="B158" s="77">
        <f>'Scénario référence'!$B$16*5+'Scénario référence'!$B$17*0+'Scénario référence'!$B$18*5</f>
        <v>1.6500000000000001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6.0500000000000007</v>
      </c>
      <c r="H158" s="70">
        <f t="shared" si="110"/>
        <v>232.4666666666667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69.452441952266184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projet'!$B$9,Paramètres!$A$1:$I$88,3,0)*VLOOKUP('Données projet'!$B$9,Paramètres!$A$1:$I$88,5,0)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291.32562049164466</v>
      </c>
      <c r="S158" s="62">
        <f ca="1">AVERAGE(OFFSET($R$3,0,0,'Données projet'!$E$9+1,1))-AVERAGE(OFFSET($H$3,0,0,'Données projet'!$E$9+1,1))</f>
        <v>354.71367224254021</v>
      </c>
      <c r="T158" s="62">
        <f t="shared" si="142"/>
        <v>490.074370133397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26.398162458996907</v>
      </c>
      <c r="AA158" s="23">
        <f>EXP(-LN(2)/25)*AA157+(1-EXP(-LN(2)/25))/(LN(2)/25)*Calculateur!V158*Calculateur!X158*VLOOKUP('Données projet'!$B$9,Paramètres!$A$1:$I$88,3,0)*0.475*44/12</f>
        <v>2.6597454654906141</v>
      </c>
      <c r="AB158" s="23">
        <f>EXP(-LN(2)/2)*AB157+(1-EXP(-LN(2)/2))/(LN(2)/2)*V158*Y158*VLOOKUP('Données projet'!$B$9,Paramètres!$A$1:$I$88,3,0)*0.475*44/12</f>
        <v>2.8598872130078285E-15</v>
      </c>
      <c r="AC158" s="24">
        <f t="shared" si="163"/>
        <v>29.057907924487527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69.452441952266184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2.2737367544323206E-13</v>
      </c>
      <c r="AJ158" s="14">
        <f>AI158*VLOOKUP('Données projet'!$B$10,Paramètres!$A$1:$I$88,3,0)*VLOOKUP('Données projet'!$B$10,Paramètres!$A$1:$I$88,5,0)</f>
        <v>1.3596945791505279E-13</v>
      </c>
      <c r="AK158" s="14">
        <f t="shared" si="164"/>
        <v>1.9708830566360721E-12</v>
      </c>
      <c r="AL158" s="22">
        <f t="shared" si="165"/>
        <v>3.669434796176543E-12</v>
      </c>
      <c r="AM158" s="62">
        <f t="shared" si="113"/>
        <v>291.32562049164636</v>
      </c>
      <c r="AN158" s="62">
        <f ca="1">AVERAGE(OFFSET($AM$3,0,0,'Données projet'!$E$10+1,1))-AVERAGE(OFFSET($H$3,0,0,'Données projet'!$E$10+1,1))</f>
        <v>264.73276096087574</v>
      </c>
      <c r="AO158" s="62">
        <f t="shared" si="144"/>
        <v>381.84464918049662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projet'!$B$10,Paramètres!$A$1:$I$88,3,0)*0.475*44/12</f>
        <v>18.513199074279001</v>
      </c>
      <c r="AV158" s="23">
        <f>EXP(-LN(2)/25)*AV157+(1-EXP(-LN(2)/25))/(LN(2)/25)*Calculateur!AQ158*Calculateur!AS158*VLOOKUP('Données projet'!$B$10,Paramètres!$A$1:$I$88,3,0)*0.475*44/12</f>
        <v>1.8685567390906526</v>
      </c>
      <c r="AW158" s="23">
        <f>EXP(-LN(2)/2)*AW157+(1-EXP(-LN(2)/2))/(LN(2)/2)*AQ158*AT158*VLOOKUP('Données projet'!$B$10,Paramètres!$A$1:$I$88,3,0)*0.475*44/12</f>
        <v>2.0025167233086974E-15</v>
      </c>
      <c r="AX158" s="23">
        <f t="shared" si="166"/>
        <v>20.381755813369658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69.452441952266184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-2.8421709430404007E-13</v>
      </c>
      <c r="BE158" s="14">
        <f>BD158*VLOOKUP('Données projet'!$B$11,Paramètres!$A$1:$I$88,3,0)*VLOOKUP('Données projet'!$B$11,Paramètres!$A$1:$I$88,5,0)</f>
        <v>-3.2366642699344083E-13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470.57532875732056</v>
      </c>
      <c r="BJ158" s="62">
        <f t="shared" si="146"/>
        <v>286.63787681165888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projet'!$B$11,Paramètres!$A$1:$I$88,3,0)*0.475*44/12</f>
        <v>81.208176509566798</v>
      </c>
      <c r="BQ158" s="23">
        <f>EXP(-LN(2)/25)*BQ157+(1-EXP(-LN(2)/25))/(LN(2)/25)*Calculateur!BL158*Calculateur!BN158*VLOOKUP('Données projet'!$B$11,Paramètres!$A$1:$I$88,3,0)*0.475*44/12</f>
        <v>0</v>
      </c>
      <c r="BR158" s="23">
        <f>EXP(-LN(2)/2)*BR157+(1-EXP(-LN(2)/2))/(LN(2)/2)*BL158*BO158*VLOOKUP('Données projet'!$B$11,Paramètres!$A$1:$I$88,3,0)*0.475*44/12</f>
        <v>0</v>
      </c>
      <c r="BS158" s="24">
        <f t="shared" si="169"/>
        <v>81.208176509566798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69.452441952266184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-2.2737367544323206E-13</v>
      </c>
      <c r="BZ158" s="14">
        <f>BY158*VLOOKUP('Données projet'!$B$12,Paramètres!$A$1:$I$88,3,0)*VLOOKUP('Données projet'!$B$12,Paramètres!$A$1:$I$88,5,0)</f>
        <v>-1.4897523215040565E-13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305.38855494899906</v>
      </c>
      <c r="CE158" s="62">
        <f t="shared" si="148"/>
        <v>298.48106301229177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projet'!$B$12,Paramètres!$A$1:$I$88,3,0)*0.475*44/12</f>
        <v>19.198872654016991</v>
      </c>
      <c r="CL158" s="23">
        <f>EXP(-LN(2)/25)*CL157+(1-EXP(-LN(2)/25))/(LN(2)/25)*Calculateur!CG158*Calculateur!CI158*VLOOKUP('Données projet'!$B$12,Paramètres!$A$1:$I$88,3,0)*0.475*44/12</f>
        <v>0</v>
      </c>
      <c r="CM158" s="23">
        <f>EXP(-LN(2)/2)*CM157+(1-EXP(-LN(2)/2))/(LN(2)/2)*CG158*CJ158*VLOOKUP('Données projet'!$B$12,Paramètres!$A$1:$I$88,3,0)*0.475*44/12</f>
        <v>0</v>
      </c>
      <c r="CN158" s="24">
        <f t="shared" si="172"/>
        <v>19.198872654016991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69.452441952266184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-2.2737367544323206E-13</v>
      </c>
      <c r="CU158" s="18">
        <f>CT158*VLOOKUP('Données projet'!$B$13,Paramètres!$A$1:$I$88,3,0)*VLOOKUP('Données projet'!$B$13,Paramètres!$A$1:$I$88,5,0)</f>
        <v>-1.8089849618263545E-13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361.30066984973894</v>
      </c>
      <c r="CZ158" s="62">
        <f t="shared" si="150"/>
        <v>351.78053157121622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projet'!$B$13,Paramètres!$A$1:$I$88,3,0)*0.475*44/12</f>
        <v>28.734525350945674</v>
      </c>
      <c r="DG158" s="23">
        <f>EXP(-LN(2)/25)*DG157+(1-EXP(-LN(2)/25))/(LN(2)/25)*Calculateur!DB158*Calculateur!DD158*VLOOKUP('Données projet'!$B$13,Paramètres!$A$1:$I$88,3,0)*0.475*44/12</f>
        <v>0</v>
      </c>
      <c r="DH158" s="23">
        <f>EXP(-LN(2)/2)*DH157+(1-EXP(-LN(2)/2))/(LN(2)/2)*DB158*DE158*VLOOKUP('Données projet'!$B$13,Paramètres!$A$1:$I$88,3,0)*0.475*44/12</f>
        <v>0</v>
      </c>
      <c r="DI158" s="24">
        <f t="shared" si="175"/>
        <v>28.734525350945674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69.452441952266184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>
        <f>DO158*VLOOKUP('Données projet'!$B$14,Paramètres!$A$1:$I$88,3,0)*VLOOKUP('Données projet'!$B$14,Paramètres!$A$1:$I$88,5,0)</f>
        <v>0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91.201152634762423</v>
      </c>
      <c r="DU158" s="62">
        <f t="shared" si="152"/>
        <v>233.36981992862445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projet'!$B$14,Paramètres!$A$1:$I$88,3,0)*0.475*44/12</f>
        <v>3.4872980566090424</v>
      </c>
      <c r="EB158" s="23">
        <f>EXP(-LN(2)/25)*EB157+(1-EXP(-LN(2)/25))/(LN(2)/25)*Calculateur!DW158*Calculateur!DY158*VLOOKUP('Données projet'!$B$14,Paramètres!$A$1:$I$88,3,0)*0.475*44/12</f>
        <v>0</v>
      </c>
      <c r="EC158" s="23">
        <f>EXP(-LN(2)/2)*EC157+(1-EXP(-LN(2)/2))/(LN(2)/2)*DW158*DZ158*VLOOKUP('Données projet'!$B$14,Paramètres!$A$1:$I$88,3,0)*0.475*44/12</f>
        <v>0</v>
      </c>
      <c r="ED158" s="24">
        <f t="shared" si="178"/>
        <v>3.4872980566090424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69.452441952266184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projet'!$B$15,Paramètres!$A$1:$I$88,3,0)*0.475*44/12</f>
        <v>#N/A</v>
      </c>
      <c r="EW158" s="23" t="e">
        <f>EXP(-LN(2)/25)*EW157+(1-EXP(-LN(2)/25))/(LN(2)/25)*Calculateur!ER158*Calculateur!ET158*VLOOKUP('Données projet'!$B$15,Paramètres!$A$1:$I$88,3,0)*0.475*44/12</f>
        <v>#N/A</v>
      </c>
      <c r="EX158" s="23" t="e">
        <f>EXP(-LN(2)/2)*EX157+(1-EXP(-LN(2)/2))/(LN(2)/2)*ER158*EU158*VLOOKUP('Données projet'!$B$15,Paramètres!$A$1:$I$88,3,0)*0.475*44/12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69.452441952266184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projet'!$B$16,Paramètres!$A$1:$I$88,3,0)*0.475*44/12</f>
        <v>#N/A</v>
      </c>
      <c r="FR158" s="23" t="e">
        <f>EXP(-LN(2)/25)*FR157+(1-EXP(-LN(2)/25))/(LN(2)/25)*Calculateur!FM158*Calculateur!FO158*VLOOKUP('Données projet'!$B$16,Paramètres!$A$1:$I$88,3,0)*0.475*44/12</f>
        <v>#N/A</v>
      </c>
      <c r="FS158" s="23" t="e">
        <f>EXP(-LN(2)/2)*FS157+(1-EXP(-LN(2)/2))/(LN(2)/2)*FM158*FP158*VLOOKUP('Données projet'!$B$16,Paramètres!$A$1:$I$88,3,0)*0.475*44/12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69.452441952266184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projet'!$B$17,Paramètres!$A$1:$I$88,3,0)*0.475*44/12</f>
        <v>#N/A</v>
      </c>
      <c r="GM158" s="23" t="e">
        <f>EXP(-LN(2)/25)*GM157+(1-EXP(-LN(2)/25))/(LN(2)/25)*Calculateur!GH158*Calculateur!GJ158*VLOOKUP('Données projet'!$B$17,Paramètres!$A$1:$I$88,3,0)*0.475*44/12</f>
        <v>#N/A</v>
      </c>
      <c r="GN158" s="23" t="e">
        <f>EXP(-LN(2)/2)*GN157+(1-EXP(-LN(2)/2))/(LN(2)/2)*GH158*GK158*VLOOKUP('Données projet'!$B$17,Paramètres!$A$1:$I$88,3,0)*0.475*44/12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69.452441952266184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projet'!$B$18,Paramètres!$A$1:$I$88,3,0)*0.475*44/12</f>
        <v>#N/A</v>
      </c>
      <c r="HH158" s="23" t="e">
        <f>EXP(-LN(2)/25)*HH157+(1-EXP(-LN(2)/25))/(LN(2)/25)*Calculateur!HC158*Calculateur!HE158*VLOOKUP('Données projet'!$B$18,Paramètres!$A$1:$I$88,3,0)*0.475*44/12</f>
        <v>#N/A</v>
      </c>
      <c r="HI158" s="23" t="e">
        <f>EXP(-LN(2)/2)*HI157+(1-EXP(-LN(2)/2))/(LN(2)/2)*HC158*HF158*VLOOKUP('Données projet'!$B$18,Paramètres!$A$1:$I$88,3,0)*0.475*44/12</f>
        <v>#N/A</v>
      </c>
      <c r="HJ158" s="24" t="e">
        <f t="shared" si="190"/>
        <v>#N/A</v>
      </c>
    </row>
    <row r="159" spans="1:218" x14ac:dyDescent="0.2">
      <c r="A159" s="11">
        <f t="shared" si="161"/>
        <v>156</v>
      </c>
      <c r="B159" s="77">
        <f>'Scénario référence'!$B$16*5+'Scénario référence'!$B$17*0+'Scénario référence'!$B$18*5</f>
        <v>1.6500000000000001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6.0500000000000007</v>
      </c>
      <c r="H159" s="70">
        <f t="shared" si="110"/>
        <v>232.4666666666667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69.461940860237945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projet'!$B$9,Paramètres!$A$1:$I$88,3,0)*VLOOKUP('Données projet'!$B$9,Paramètres!$A$1:$I$88,5,0)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291.36044982087446</v>
      </c>
      <c r="S159" s="62">
        <f ca="1">AVERAGE(OFFSET($R$3,0,0,'Données projet'!$E$9+1,1))-AVERAGE(OFFSET($H$3,0,0,'Données projet'!$E$9+1,1))</f>
        <v>354.71367224254021</v>
      </c>
      <c r="T159" s="62">
        <f t="shared" si="142"/>
        <v>490.074370133397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25.880510594465207</v>
      </c>
      <c r="AA159" s="23">
        <f>EXP(-LN(2)/25)*AA158+(1-EXP(-LN(2)/25))/(LN(2)/25)*Calculateur!V159*Calculateur!X159*VLOOKUP('Données projet'!$B$9,Paramètres!$A$1:$I$88,3,0)*0.475*44/12</f>
        <v>2.5870145858668381</v>
      </c>
      <c r="AB159" s="23">
        <f>EXP(-LN(2)/2)*AB158+(1-EXP(-LN(2)/2))/(LN(2)/2)*V159*Y159*VLOOKUP('Données projet'!$B$9,Paramètres!$A$1:$I$88,3,0)*0.475*44/12</f>
        <v>2.0222456417465318E-15</v>
      </c>
      <c r="AC159" s="24">
        <f t="shared" si="163"/>
        <v>28.46752518033205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69.461940860237945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2.2737367544323206E-13</v>
      </c>
      <c r="AJ159" s="14">
        <f>AI159*VLOOKUP('Données projet'!$B$10,Paramètres!$A$1:$I$88,3,0)*VLOOKUP('Données projet'!$B$10,Paramètres!$A$1:$I$88,5,0)</f>
        <v>1.3596945791505279E-13</v>
      </c>
      <c r="AK159" s="14">
        <f t="shared" si="164"/>
        <v>1.9708830566360721E-12</v>
      </c>
      <c r="AL159" s="22">
        <f t="shared" si="165"/>
        <v>3.669434796176543E-12</v>
      </c>
      <c r="AM159" s="62">
        <f t="shared" si="113"/>
        <v>291.36044982087617</v>
      </c>
      <c r="AN159" s="62">
        <f ca="1">AVERAGE(OFFSET($AM$3,0,0,'Données projet'!$E$10+1,1))-AVERAGE(OFFSET($H$3,0,0,'Données projet'!$E$10+1,1))</f>
        <v>264.73276096087574</v>
      </c>
      <c r="AO159" s="62">
        <f t="shared" si="144"/>
        <v>381.84464918049662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projet'!$B$10,Paramètres!$A$1:$I$88,3,0)*0.475*44/12</f>
        <v>18.150166532368839</v>
      </c>
      <c r="AV159" s="23">
        <f>EXP(-LN(2)/25)*AV158+(1-EXP(-LN(2)/25))/(LN(2)/25)*Calculateur!AQ159*Calculateur!AS159*VLOOKUP('Données projet'!$B$10,Paramètres!$A$1:$I$88,3,0)*0.475*44/12</f>
        <v>1.8174609567970903</v>
      </c>
      <c r="AW159" s="23">
        <f>EXP(-LN(2)/2)*AW158+(1-EXP(-LN(2)/2))/(LN(2)/2)*AQ159*AT159*VLOOKUP('Données projet'!$B$10,Paramètres!$A$1:$I$88,3,0)*0.475*44/12</f>
        <v>1.4159931544910453E-15</v>
      </c>
      <c r="AX159" s="23">
        <f t="shared" si="166"/>
        <v>19.967627489165931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69.461940860237945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-2.8421709430404007E-13</v>
      </c>
      <c r="BE159" s="14">
        <f>BD159*VLOOKUP('Données projet'!$B$11,Paramètres!$A$1:$I$88,3,0)*VLOOKUP('Données projet'!$B$11,Paramètres!$A$1:$I$88,5,0)</f>
        <v>-3.2366642699344083E-13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470.57532875732056</v>
      </c>
      <c r="BJ159" s="62">
        <f t="shared" si="146"/>
        <v>286.63787681165888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projet'!$B$11,Paramètres!$A$1:$I$88,3,0)*0.475*44/12</f>
        <v>79.615733700310969</v>
      </c>
      <c r="BQ159" s="23">
        <f>EXP(-LN(2)/25)*BQ158+(1-EXP(-LN(2)/25))/(LN(2)/25)*Calculateur!BL159*Calculateur!BN159*VLOOKUP('Données projet'!$B$11,Paramètres!$A$1:$I$88,3,0)*0.475*44/12</f>
        <v>0</v>
      </c>
      <c r="BR159" s="23">
        <f>EXP(-LN(2)/2)*BR158+(1-EXP(-LN(2)/2))/(LN(2)/2)*BL159*BO159*VLOOKUP('Données projet'!$B$11,Paramètres!$A$1:$I$88,3,0)*0.475*44/12</f>
        <v>0</v>
      </c>
      <c r="BS159" s="24">
        <f t="shared" si="169"/>
        <v>79.615733700310969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69.461940860237945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-2.2737367544323206E-13</v>
      </c>
      <c r="BZ159" s="14">
        <f>BY159*VLOOKUP('Données projet'!$B$12,Paramètres!$A$1:$I$88,3,0)*VLOOKUP('Données projet'!$B$12,Paramètres!$A$1:$I$88,5,0)</f>
        <v>-1.4897523215040565E-13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305.38855494899906</v>
      </c>
      <c r="CE159" s="62">
        <f t="shared" si="148"/>
        <v>298.48106301229177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projet'!$B$12,Paramètres!$A$1:$I$88,3,0)*0.475*44/12</f>
        <v>18.822394471427756</v>
      </c>
      <c r="CL159" s="23">
        <f>EXP(-LN(2)/25)*CL158+(1-EXP(-LN(2)/25))/(LN(2)/25)*Calculateur!CG159*Calculateur!CI159*VLOOKUP('Données projet'!$B$12,Paramètres!$A$1:$I$88,3,0)*0.475*44/12</f>
        <v>0</v>
      </c>
      <c r="CM159" s="23">
        <f>EXP(-LN(2)/2)*CM158+(1-EXP(-LN(2)/2))/(LN(2)/2)*CG159*CJ159*VLOOKUP('Données projet'!$B$12,Paramètres!$A$1:$I$88,3,0)*0.475*44/12</f>
        <v>0</v>
      </c>
      <c r="CN159" s="24">
        <f t="shared" si="172"/>
        <v>18.822394471427756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69.461940860237945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-2.2737367544323206E-13</v>
      </c>
      <c r="CU159" s="18">
        <f>CT159*VLOOKUP('Données projet'!$B$13,Paramètres!$A$1:$I$88,3,0)*VLOOKUP('Données projet'!$B$13,Paramètres!$A$1:$I$88,5,0)</f>
        <v>-1.8089849618263545E-13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361.30066984973894</v>
      </c>
      <c r="CZ159" s="62">
        <f t="shared" si="150"/>
        <v>351.78053157121622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projet'!$B$13,Paramètres!$A$1:$I$88,3,0)*0.475*44/12</f>
        <v>28.171058835143512</v>
      </c>
      <c r="DG159" s="23">
        <f>EXP(-LN(2)/25)*DG158+(1-EXP(-LN(2)/25))/(LN(2)/25)*Calculateur!DB159*Calculateur!DD159*VLOOKUP('Données projet'!$B$13,Paramètres!$A$1:$I$88,3,0)*0.475*44/12</f>
        <v>0</v>
      </c>
      <c r="DH159" s="23">
        <f>EXP(-LN(2)/2)*DH158+(1-EXP(-LN(2)/2))/(LN(2)/2)*DB159*DE159*VLOOKUP('Données projet'!$B$13,Paramètres!$A$1:$I$88,3,0)*0.475*44/12</f>
        <v>0</v>
      </c>
      <c r="DI159" s="24">
        <f t="shared" si="175"/>
        <v>28.171058835143512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69.461940860237945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>
        <f>DO159*VLOOKUP('Données projet'!$B$14,Paramètres!$A$1:$I$88,3,0)*VLOOKUP('Données projet'!$B$14,Paramètres!$A$1:$I$88,5,0)</f>
        <v>0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91.201152634762423</v>
      </c>
      <c r="DU159" s="62">
        <f t="shared" si="152"/>
        <v>233.36981992862445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projet'!$B$14,Paramètres!$A$1:$I$88,3,0)*0.475*44/12</f>
        <v>3.4189142687607257</v>
      </c>
      <c r="EB159" s="23">
        <f>EXP(-LN(2)/25)*EB158+(1-EXP(-LN(2)/25))/(LN(2)/25)*Calculateur!DW159*Calculateur!DY159*VLOOKUP('Données projet'!$B$14,Paramètres!$A$1:$I$88,3,0)*0.475*44/12</f>
        <v>0</v>
      </c>
      <c r="EC159" s="23">
        <f>EXP(-LN(2)/2)*EC158+(1-EXP(-LN(2)/2))/(LN(2)/2)*DW159*DZ159*VLOOKUP('Données projet'!$B$14,Paramètres!$A$1:$I$88,3,0)*0.475*44/12</f>
        <v>0</v>
      </c>
      <c r="ED159" s="24">
        <f t="shared" si="178"/>
        <v>3.4189142687607257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69.461940860237945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projet'!$B$15,Paramètres!$A$1:$I$88,3,0)*0.475*44/12</f>
        <v>#N/A</v>
      </c>
      <c r="EW159" s="23" t="e">
        <f>EXP(-LN(2)/25)*EW158+(1-EXP(-LN(2)/25))/(LN(2)/25)*Calculateur!ER159*Calculateur!ET159*VLOOKUP('Données projet'!$B$15,Paramètres!$A$1:$I$88,3,0)*0.475*44/12</f>
        <v>#N/A</v>
      </c>
      <c r="EX159" s="23" t="e">
        <f>EXP(-LN(2)/2)*EX158+(1-EXP(-LN(2)/2))/(LN(2)/2)*ER159*EU159*VLOOKUP('Données projet'!$B$15,Paramètres!$A$1:$I$88,3,0)*0.475*44/12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69.461940860237945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projet'!$B$16,Paramètres!$A$1:$I$88,3,0)*0.475*44/12</f>
        <v>#N/A</v>
      </c>
      <c r="FR159" s="23" t="e">
        <f>EXP(-LN(2)/25)*FR158+(1-EXP(-LN(2)/25))/(LN(2)/25)*Calculateur!FM159*Calculateur!FO159*VLOOKUP('Données projet'!$B$16,Paramètres!$A$1:$I$88,3,0)*0.475*44/12</f>
        <v>#N/A</v>
      </c>
      <c r="FS159" s="23" t="e">
        <f>EXP(-LN(2)/2)*FS158+(1-EXP(-LN(2)/2))/(LN(2)/2)*FM159*FP159*VLOOKUP('Données projet'!$B$16,Paramètres!$A$1:$I$88,3,0)*0.475*44/12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69.461940860237945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projet'!$B$17,Paramètres!$A$1:$I$88,3,0)*0.475*44/12</f>
        <v>#N/A</v>
      </c>
      <c r="GM159" s="23" t="e">
        <f>EXP(-LN(2)/25)*GM158+(1-EXP(-LN(2)/25))/(LN(2)/25)*Calculateur!GH159*Calculateur!GJ159*VLOOKUP('Données projet'!$B$17,Paramètres!$A$1:$I$88,3,0)*0.475*44/12</f>
        <v>#N/A</v>
      </c>
      <c r="GN159" s="23" t="e">
        <f>EXP(-LN(2)/2)*GN158+(1-EXP(-LN(2)/2))/(LN(2)/2)*GH159*GK159*VLOOKUP('Données projet'!$B$17,Paramètres!$A$1:$I$88,3,0)*0.475*44/12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69.461940860237945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projet'!$B$18,Paramètres!$A$1:$I$88,3,0)*0.475*44/12</f>
        <v>#N/A</v>
      </c>
      <c r="HH159" s="23" t="e">
        <f>EXP(-LN(2)/25)*HH158+(1-EXP(-LN(2)/25))/(LN(2)/25)*Calculateur!HC159*Calculateur!HE159*VLOOKUP('Données projet'!$B$18,Paramètres!$A$1:$I$88,3,0)*0.475*44/12</f>
        <v>#N/A</v>
      </c>
      <c r="HI159" s="23" t="e">
        <f>EXP(-LN(2)/2)*HI158+(1-EXP(-LN(2)/2))/(LN(2)/2)*HC159*HF159*VLOOKUP('Données projet'!$B$18,Paramètres!$A$1:$I$88,3,0)*0.475*44/12</f>
        <v>#N/A</v>
      </c>
      <c r="HJ159" s="24" t="e">
        <f t="shared" si="190"/>
        <v>#N/A</v>
      </c>
    </row>
    <row r="160" spans="1:218" x14ac:dyDescent="0.2">
      <c r="A160" s="11">
        <f t="shared" si="161"/>
        <v>157</v>
      </c>
      <c r="B160" s="77">
        <f>'Scénario référence'!$B$16*5+'Scénario référence'!$B$17*0+'Scénario référence'!$B$18*5</f>
        <v>1.6500000000000001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6.0500000000000007</v>
      </c>
      <c r="H160" s="70">
        <f t="shared" si="110"/>
        <v>232.4666666666667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69.471274983392803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projet'!$B$9,Paramètres!$A$1:$I$88,3,0)*VLOOKUP('Données projet'!$B$9,Paramètres!$A$1:$I$88,5,0)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291.39467493910894</v>
      </c>
      <c r="S160" s="62">
        <f ca="1">AVERAGE(OFFSET($R$3,0,0,'Données projet'!$E$9+1,1))-AVERAGE(OFFSET($H$3,0,0,'Données projet'!$E$9+1,1))</f>
        <v>354.71367224254021</v>
      </c>
      <c r="T160" s="62">
        <f t="shared" si="142"/>
        <v>490.074370133397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25.373009567260514</v>
      </c>
      <c r="AA160" s="23">
        <f>EXP(-LN(2)/25)*AA159+(1-EXP(-LN(2)/25))/(LN(2)/25)*Calculateur!V160*Calculateur!X160*VLOOKUP('Données projet'!$B$9,Paramètres!$A$1:$I$88,3,0)*0.475*44/12</f>
        <v>2.5162725359711251</v>
      </c>
      <c r="AB160" s="23">
        <f>EXP(-LN(2)/2)*AB159+(1-EXP(-LN(2)/2))/(LN(2)/2)*V160*Y160*VLOOKUP('Données projet'!$B$9,Paramètres!$A$1:$I$88,3,0)*0.475*44/12</f>
        <v>1.4299436065039143E-15</v>
      </c>
      <c r="AC160" s="24">
        <f t="shared" si="163"/>
        <v>27.88928210323164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69.471274983392803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2.2737367544323206E-13</v>
      </c>
      <c r="AJ160" s="14">
        <f>AI160*VLOOKUP('Données projet'!$B$10,Paramètres!$A$1:$I$88,3,0)*VLOOKUP('Données projet'!$B$10,Paramètres!$A$1:$I$88,5,0)</f>
        <v>1.3596945791505279E-13</v>
      </c>
      <c r="AK160" s="14">
        <f t="shared" si="164"/>
        <v>1.9708830566360721E-12</v>
      </c>
      <c r="AL160" s="22">
        <f t="shared" si="165"/>
        <v>3.669434796176543E-12</v>
      </c>
      <c r="AM160" s="62">
        <f t="shared" si="113"/>
        <v>291.39467493911064</v>
      </c>
      <c r="AN160" s="62">
        <f ca="1">AVERAGE(OFFSET($AM$3,0,0,'Données projet'!$E$10+1,1))-AVERAGE(OFFSET($H$3,0,0,'Données projet'!$E$10+1,1))</f>
        <v>264.73276096087574</v>
      </c>
      <c r="AO160" s="62">
        <f t="shared" si="144"/>
        <v>381.84464918049662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projet'!$B$10,Paramètres!$A$1:$I$88,3,0)*0.475*44/12</f>
        <v>17.794252837177549</v>
      </c>
      <c r="AV160" s="23">
        <f>EXP(-LN(2)/25)*AV159+(1-EXP(-LN(2)/25))/(LN(2)/25)*Calculateur!AQ160*Calculateur!AS160*VLOOKUP('Données projet'!$B$10,Paramètres!$A$1:$I$88,3,0)*0.475*44/12</f>
        <v>1.7677623913573559</v>
      </c>
      <c r="AW160" s="23">
        <f>EXP(-LN(2)/2)*AW159+(1-EXP(-LN(2)/2))/(LN(2)/2)*AQ160*AT160*VLOOKUP('Données projet'!$B$10,Paramètres!$A$1:$I$88,3,0)*0.475*44/12</f>
        <v>1.0012583616543487E-15</v>
      </c>
      <c r="AX160" s="23">
        <f t="shared" si="166"/>
        <v>19.562015228534904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69.471274983392803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-2.8421709430404007E-13</v>
      </c>
      <c r="BE160" s="14">
        <f>BD160*VLOOKUP('Données projet'!$B$11,Paramètres!$A$1:$I$88,3,0)*VLOOKUP('Données projet'!$B$11,Paramètres!$A$1:$I$88,5,0)</f>
        <v>-3.2366642699344083E-13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470.57532875732056</v>
      </c>
      <c r="BJ160" s="62">
        <f t="shared" si="146"/>
        <v>286.63787681165888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projet'!$B$11,Paramètres!$A$1:$I$88,3,0)*0.475*44/12</f>
        <v>78.054517723250441</v>
      </c>
      <c r="BQ160" s="23">
        <f>EXP(-LN(2)/25)*BQ159+(1-EXP(-LN(2)/25))/(LN(2)/25)*Calculateur!BL160*Calculateur!BN160*VLOOKUP('Données projet'!$B$11,Paramètres!$A$1:$I$88,3,0)*0.475*44/12</f>
        <v>0</v>
      </c>
      <c r="BR160" s="23">
        <f>EXP(-LN(2)/2)*BR159+(1-EXP(-LN(2)/2))/(LN(2)/2)*BL160*BO160*VLOOKUP('Données projet'!$B$11,Paramètres!$A$1:$I$88,3,0)*0.475*44/12</f>
        <v>0</v>
      </c>
      <c r="BS160" s="24">
        <f t="shared" si="169"/>
        <v>78.054517723250441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69.471274983392803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-2.2737367544323206E-13</v>
      </c>
      <c r="BZ160" s="14">
        <f>BY160*VLOOKUP('Données projet'!$B$12,Paramètres!$A$1:$I$88,3,0)*VLOOKUP('Données projet'!$B$12,Paramètres!$A$1:$I$88,5,0)</f>
        <v>-1.4897523215040565E-13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305.38855494899906</v>
      </c>
      <c r="CE160" s="62">
        <f t="shared" si="148"/>
        <v>298.48106301229177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projet'!$B$12,Paramètres!$A$1:$I$88,3,0)*0.475*44/12</f>
        <v>18.453298796370078</v>
      </c>
      <c r="CL160" s="23">
        <f>EXP(-LN(2)/25)*CL159+(1-EXP(-LN(2)/25))/(LN(2)/25)*Calculateur!CG160*Calculateur!CI160*VLOOKUP('Données projet'!$B$12,Paramètres!$A$1:$I$88,3,0)*0.475*44/12</f>
        <v>0</v>
      </c>
      <c r="CM160" s="23">
        <f>EXP(-LN(2)/2)*CM159+(1-EXP(-LN(2)/2))/(LN(2)/2)*CG160*CJ160*VLOOKUP('Données projet'!$B$12,Paramètres!$A$1:$I$88,3,0)*0.475*44/12</f>
        <v>0</v>
      </c>
      <c r="CN160" s="24">
        <f t="shared" si="172"/>
        <v>18.453298796370078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69.471274983392803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-2.2737367544323206E-13</v>
      </c>
      <c r="CU160" s="18">
        <f>CT160*VLOOKUP('Données projet'!$B$13,Paramètres!$A$1:$I$88,3,0)*VLOOKUP('Données projet'!$B$13,Paramètres!$A$1:$I$88,5,0)</f>
        <v>-1.8089849618263545E-13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361.30066984973894</v>
      </c>
      <c r="CZ160" s="62">
        <f t="shared" si="150"/>
        <v>351.78053157121622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projet'!$B$13,Paramètres!$A$1:$I$88,3,0)*0.475*44/12</f>
        <v>27.618641554035591</v>
      </c>
      <c r="DG160" s="23">
        <f>EXP(-LN(2)/25)*DG159+(1-EXP(-LN(2)/25))/(LN(2)/25)*Calculateur!DB160*Calculateur!DD160*VLOOKUP('Données projet'!$B$13,Paramètres!$A$1:$I$88,3,0)*0.475*44/12</f>
        <v>0</v>
      </c>
      <c r="DH160" s="23">
        <f>EXP(-LN(2)/2)*DH159+(1-EXP(-LN(2)/2))/(LN(2)/2)*DB160*DE160*VLOOKUP('Données projet'!$B$13,Paramètres!$A$1:$I$88,3,0)*0.475*44/12</f>
        <v>0</v>
      </c>
      <c r="DI160" s="24">
        <f t="shared" si="175"/>
        <v>27.618641554035591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69.471274983392803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>
        <f>DO160*VLOOKUP('Données projet'!$B$14,Paramètres!$A$1:$I$88,3,0)*VLOOKUP('Données projet'!$B$14,Paramètres!$A$1:$I$88,5,0)</f>
        <v>0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91.201152634762423</v>
      </c>
      <c r="DU160" s="62">
        <f t="shared" si="152"/>
        <v>233.36981992862445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projet'!$B$14,Paramètres!$A$1:$I$88,3,0)*0.475*44/12</f>
        <v>3.3518714452821223</v>
      </c>
      <c r="EB160" s="23">
        <f>EXP(-LN(2)/25)*EB159+(1-EXP(-LN(2)/25))/(LN(2)/25)*Calculateur!DW160*Calculateur!DY160*VLOOKUP('Données projet'!$B$14,Paramètres!$A$1:$I$88,3,0)*0.475*44/12</f>
        <v>0</v>
      </c>
      <c r="EC160" s="23">
        <f>EXP(-LN(2)/2)*EC159+(1-EXP(-LN(2)/2))/(LN(2)/2)*DW160*DZ160*VLOOKUP('Données projet'!$B$14,Paramètres!$A$1:$I$88,3,0)*0.475*44/12</f>
        <v>0</v>
      </c>
      <c r="ED160" s="24">
        <f t="shared" si="178"/>
        <v>3.3518714452821223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69.471274983392803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projet'!$B$15,Paramètres!$A$1:$I$88,3,0)*0.475*44/12</f>
        <v>#N/A</v>
      </c>
      <c r="EW160" s="23" t="e">
        <f>EXP(-LN(2)/25)*EW159+(1-EXP(-LN(2)/25))/(LN(2)/25)*Calculateur!ER160*Calculateur!ET160*VLOOKUP('Données projet'!$B$15,Paramètres!$A$1:$I$88,3,0)*0.475*44/12</f>
        <v>#N/A</v>
      </c>
      <c r="EX160" s="23" t="e">
        <f>EXP(-LN(2)/2)*EX159+(1-EXP(-LN(2)/2))/(LN(2)/2)*ER160*EU160*VLOOKUP('Données projet'!$B$15,Paramètres!$A$1:$I$88,3,0)*0.475*44/12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69.471274983392803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projet'!$B$16,Paramètres!$A$1:$I$88,3,0)*0.475*44/12</f>
        <v>#N/A</v>
      </c>
      <c r="FR160" s="23" t="e">
        <f>EXP(-LN(2)/25)*FR159+(1-EXP(-LN(2)/25))/(LN(2)/25)*Calculateur!FM160*Calculateur!FO160*VLOOKUP('Données projet'!$B$16,Paramètres!$A$1:$I$88,3,0)*0.475*44/12</f>
        <v>#N/A</v>
      </c>
      <c r="FS160" s="23" t="e">
        <f>EXP(-LN(2)/2)*FS159+(1-EXP(-LN(2)/2))/(LN(2)/2)*FM160*FP160*VLOOKUP('Données projet'!$B$16,Paramètres!$A$1:$I$88,3,0)*0.475*44/12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69.471274983392803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projet'!$B$17,Paramètres!$A$1:$I$88,3,0)*0.475*44/12</f>
        <v>#N/A</v>
      </c>
      <c r="GM160" s="23" t="e">
        <f>EXP(-LN(2)/25)*GM159+(1-EXP(-LN(2)/25))/(LN(2)/25)*Calculateur!GH160*Calculateur!GJ160*VLOOKUP('Données projet'!$B$17,Paramètres!$A$1:$I$88,3,0)*0.475*44/12</f>
        <v>#N/A</v>
      </c>
      <c r="GN160" s="23" t="e">
        <f>EXP(-LN(2)/2)*GN159+(1-EXP(-LN(2)/2))/(LN(2)/2)*GH160*GK160*VLOOKUP('Données projet'!$B$17,Paramètres!$A$1:$I$88,3,0)*0.475*44/12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69.471274983392803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projet'!$B$18,Paramètres!$A$1:$I$88,3,0)*0.475*44/12</f>
        <v>#N/A</v>
      </c>
      <c r="HH160" s="23" t="e">
        <f>EXP(-LN(2)/25)*HH159+(1-EXP(-LN(2)/25))/(LN(2)/25)*Calculateur!HC160*Calculateur!HE160*VLOOKUP('Données projet'!$B$18,Paramètres!$A$1:$I$88,3,0)*0.475*44/12</f>
        <v>#N/A</v>
      </c>
      <c r="HI160" s="23" t="e">
        <f>EXP(-LN(2)/2)*HI159+(1-EXP(-LN(2)/2))/(LN(2)/2)*HC160*HF160*VLOOKUP('Données projet'!$B$18,Paramètres!$A$1:$I$88,3,0)*0.475*44/12</f>
        <v>#N/A</v>
      </c>
      <c r="HJ160" s="24" t="e">
        <f t="shared" si="190"/>
        <v>#N/A</v>
      </c>
    </row>
    <row r="161" spans="1:218" x14ac:dyDescent="0.2">
      <c r="A161" s="11">
        <f t="shared" si="161"/>
        <v>158</v>
      </c>
      <c r="B161" s="77">
        <f>'Scénario référence'!$B$16*5+'Scénario référence'!$B$17*0+'Scénario référence'!$B$18*5</f>
        <v>1.6500000000000001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6.0500000000000007</v>
      </c>
      <c r="H161" s="70">
        <f t="shared" si="110"/>
        <v>232.4666666666667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69.480447180378889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projet'!$B$9,Paramètres!$A$1:$I$88,3,0)*VLOOKUP('Données projet'!$B$9,Paramètres!$A$1:$I$88,5,0)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291.42830632805794</v>
      </c>
      <c r="S161" s="62">
        <f ca="1">AVERAGE(OFFSET($R$3,0,0,'Données projet'!$E$9+1,1))-AVERAGE(OFFSET($H$3,0,0,'Données projet'!$E$9+1,1))</f>
        <v>354.71367224254021</v>
      </c>
      <c r="T161" s="62">
        <f t="shared" si="142"/>
        <v>490.074370133397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24.875460325654242</v>
      </c>
      <c r="AA161" s="23">
        <f>EXP(-LN(2)/25)*AA160+(1-EXP(-LN(2)/25))/(LN(2)/25)*Calculateur!V161*Calculateur!X161*VLOOKUP('Données projet'!$B$9,Paramètres!$A$1:$I$88,3,0)*0.475*44/12</f>
        <v>2.4474649311499732</v>
      </c>
      <c r="AB161" s="23">
        <f>EXP(-LN(2)/2)*AB160+(1-EXP(-LN(2)/2))/(LN(2)/2)*V161*Y161*VLOOKUP('Données projet'!$B$9,Paramètres!$A$1:$I$88,3,0)*0.475*44/12</f>
        <v>1.0111228208732659E-15</v>
      </c>
      <c r="AC161" s="24">
        <f t="shared" si="163"/>
        <v>27.322925256804215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69.480447180378889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2.2737367544323206E-13</v>
      </c>
      <c r="AJ161" s="14">
        <f>AI161*VLOOKUP('Données projet'!$B$10,Paramètres!$A$1:$I$88,3,0)*VLOOKUP('Données projet'!$B$10,Paramètres!$A$1:$I$88,5,0)</f>
        <v>1.3596945791505279E-13</v>
      </c>
      <c r="AK161" s="14">
        <f t="shared" si="164"/>
        <v>1.9708830566360721E-12</v>
      </c>
      <c r="AL161" s="22">
        <f t="shared" si="165"/>
        <v>3.669434796176543E-12</v>
      </c>
      <c r="AM161" s="62">
        <f t="shared" si="113"/>
        <v>291.42830632805965</v>
      </c>
      <c r="AN161" s="62">
        <f ca="1">AVERAGE(OFFSET($AM$3,0,0,'Données projet'!$E$10+1,1))-AVERAGE(OFFSET($H$3,0,0,'Données projet'!$E$10+1,1))</f>
        <v>264.73276096087574</v>
      </c>
      <c r="AO161" s="62">
        <f t="shared" si="144"/>
        <v>381.84464918049662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projet'!$B$10,Paramètres!$A$1:$I$88,3,0)*0.475*44/12</f>
        <v>17.44531839246304</v>
      </c>
      <c r="AV161" s="23">
        <f>EXP(-LN(2)/25)*AV160+(1-EXP(-LN(2)/25))/(LN(2)/25)*Calculateur!AQ161*Calculateur!AS161*VLOOKUP('Données projet'!$B$10,Paramètres!$A$1:$I$88,3,0)*0.475*44/12</f>
        <v>1.7194228358031052</v>
      </c>
      <c r="AW161" s="23">
        <f>EXP(-LN(2)/2)*AW160+(1-EXP(-LN(2)/2))/(LN(2)/2)*AQ161*AT161*VLOOKUP('Données projet'!$B$10,Paramètres!$A$1:$I$88,3,0)*0.475*44/12</f>
        <v>7.0799657724552263E-16</v>
      </c>
      <c r="AX161" s="23">
        <f t="shared" si="166"/>
        <v>19.164741228266145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69.480447180378889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-2.8421709430404007E-13</v>
      </c>
      <c r="BE161" s="14">
        <f>BD161*VLOOKUP('Données projet'!$B$11,Paramètres!$A$1:$I$88,3,0)*VLOOKUP('Données projet'!$B$11,Paramètres!$A$1:$I$88,5,0)</f>
        <v>-3.2366642699344083E-13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470.57532875732056</v>
      </c>
      <c r="BJ161" s="62">
        <f t="shared" si="146"/>
        <v>286.63787681165888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projet'!$B$11,Paramètres!$A$1:$I$88,3,0)*0.475*44/12</f>
        <v>76.523916239252358</v>
      </c>
      <c r="BQ161" s="23">
        <f>EXP(-LN(2)/25)*BQ160+(1-EXP(-LN(2)/25))/(LN(2)/25)*Calculateur!BL161*Calculateur!BN161*VLOOKUP('Données projet'!$B$11,Paramètres!$A$1:$I$88,3,0)*0.475*44/12</f>
        <v>0</v>
      </c>
      <c r="BR161" s="23">
        <f>EXP(-LN(2)/2)*BR160+(1-EXP(-LN(2)/2))/(LN(2)/2)*BL161*BO161*VLOOKUP('Données projet'!$B$11,Paramètres!$A$1:$I$88,3,0)*0.475*44/12</f>
        <v>0</v>
      </c>
      <c r="BS161" s="24">
        <f t="shared" si="169"/>
        <v>76.523916239252358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69.480447180378889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-2.2737367544323206E-13</v>
      </c>
      <c r="BZ161" s="14">
        <f>BY161*VLOOKUP('Données projet'!$B$12,Paramètres!$A$1:$I$88,3,0)*VLOOKUP('Données projet'!$B$12,Paramètres!$A$1:$I$88,5,0)</f>
        <v>-1.4897523215040565E-13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305.38855494899906</v>
      </c>
      <c r="CE161" s="62">
        <f t="shared" si="148"/>
        <v>298.48106301229177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projet'!$B$12,Paramètres!$A$1:$I$88,3,0)*0.475*44/12</f>
        <v>18.091440862374149</v>
      </c>
      <c r="CL161" s="23">
        <f>EXP(-LN(2)/25)*CL160+(1-EXP(-LN(2)/25))/(LN(2)/25)*Calculateur!CG161*Calculateur!CI161*VLOOKUP('Données projet'!$B$12,Paramètres!$A$1:$I$88,3,0)*0.475*44/12</f>
        <v>0</v>
      </c>
      <c r="CM161" s="23">
        <f>EXP(-LN(2)/2)*CM160+(1-EXP(-LN(2)/2))/(LN(2)/2)*CG161*CJ161*VLOOKUP('Données projet'!$B$12,Paramètres!$A$1:$I$88,3,0)*0.475*44/12</f>
        <v>0</v>
      </c>
      <c r="CN161" s="24">
        <f t="shared" si="172"/>
        <v>18.091440862374149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69.480447180378889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-2.2737367544323206E-13</v>
      </c>
      <c r="CU161" s="18">
        <f>CT161*VLOOKUP('Données projet'!$B$13,Paramètres!$A$1:$I$88,3,0)*VLOOKUP('Données projet'!$B$13,Paramètres!$A$1:$I$88,5,0)</f>
        <v>-1.8089849618263545E-13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361.30066984973894</v>
      </c>
      <c r="CZ161" s="62">
        <f t="shared" si="150"/>
        <v>351.78053157121622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projet'!$B$13,Paramètres!$A$1:$I$88,3,0)*0.475*44/12</f>
        <v>27.077056838868927</v>
      </c>
      <c r="DG161" s="23">
        <f>EXP(-LN(2)/25)*DG160+(1-EXP(-LN(2)/25))/(LN(2)/25)*Calculateur!DB161*Calculateur!DD161*VLOOKUP('Données projet'!$B$13,Paramètres!$A$1:$I$88,3,0)*0.475*44/12</f>
        <v>0</v>
      </c>
      <c r="DH161" s="23">
        <f>EXP(-LN(2)/2)*DH160+(1-EXP(-LN(2)/2))/(LN(2)/2)*DB161*DE161*VLOOKUP('Données projet'!$B$13,Paramètres!$A$1:$I$88,3,0)*0.475*44/12</f>
        <v>0</v>
      </c>
      <c r="DI161" s="24">
        <f t="shared" si="175"/>
        <v>27.077056838868927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69.480447180378889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>
        <f>DO161*VLOOKUP('Données projet'!$B$14,Paramètres!$A$1:$I$88,3,0)*VLOOKUP('Données projet'!$B$14,Paramètres!$A$1:$I$88,5,0)</f>
        <v>0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91.201152634762423</v>
      </c>
      <c r="DU161" s="62">
        <f t="shared" si="152"/>
        <v>233.36981992862445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projet'!$B$14,Paramètres!$A$1:$I$88,3,0)*0.475*44/12</f>
        <v>3.28614329067985</v>
      </c>
      <c r="EB161" s="23">
        <f>EXP(-LN(2)/25)*EB160+(1-EXP(-LN(2)/25))/(LN(2)/25)*Calculateur!DW161*Calculateur!DY161*VLOOKUP('Données projet'!$B$14,Paramètres!$A$1:$I$88,3,0)*0.475*44/12</f>
        <v>0</v>
      </c>
      <c r="EC161" s="23">
        <f>EXP(-LN(2)/2)*EC160+(1-EXP(-LN(2)/2))/(LN(2)/2)*DW161*DZ161*VLOOKUP('Données projet'!$B$14,Paramètres!$A$1:$I$88,3,0)*0.475*44/12</f>
        <v>0</v>
      </c>
      <c r="ED161" s="24">
        <f t="shared" si="178"/>
        <v>3.28614329067985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69.480447180378889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projet'!$B$15,Paramètres!$A$1:$I$88,3,0)*0.475*44/12</f>
        <v>#N/A</v>
      </c>
      <c r="EW161" s="23" t="e">
        <f>EXP(-LN(2)/25)*EW160+(1-EXP(-LN(2)/25))/(LN(2)/25)*Calculateur!ER161*Calculateur!ET161*VLOOKUP('Données projet'!$B$15,Paramètres!$A$1:$I$88,3,0)*0.475*44/12</f>
        <v>#N/A</v>
      </c>
      <c r="EX161" s="23" t="e">
        <f>EXP(-LN(2)/2)*EX160+(1-EXP(-LN(2)/2))/(LN(2)/2)*ER161*EU161*VLOOKUP('Données projet'!$B$15,Paramètres!$A$1:$I$88,3,0)*0.475*44/12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69.480447180378889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projet'!$B$16,Paramètres!$A$1:$I$88,3,0)*0.475*44/12</f>
        <v>#N/A</v>
      </c>
      <c r="FR161" s="23" t="e">
        <f>EXP(-LN(2)/25)*FR160+(1-EXP(-LN(2)/25))/(LN(2)/25)*Calculateur!FM161*Calculateur!FO161*VLOOKUP('Données projet'!$B$16,Paramètres!$A$1:$I$88,3,0)*0.475*44/12</f>
        <v>#N/A</v>
      </c>
      <c r="FS161" s="23" t="e">
        <f>EXP(-LN(2)/2)*FS160+(1-EXP(-LN(2)/2))/(LN(2)/2)*FM161*FP161*VLOOKUP('Données projet'!$B$16,Paramètres!$A$1:$I$88,3,0)*0.475*44/12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69.480447180378889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projet'!$B$17,Paramètres!$A$1:$I$88,3,0)*0.475*44/12</f>
        <v>#N/A</v>
      </c>
      <c r="GM161" s="23" t="e">
        <f>EXP(-LN(2)/25)*GM160+(1-EXP(-LN(2)/25))/(LN(2)/25)*Calculateur!GH161*Calculateur!GJ161*VLOOKUP('Données projet'!$B$17,Paramètres!$A$1:$I$88,3,0)*0.475*44/12</f>
        <v>#N/A</v>
      </c>
      <c r="GN161" s="23" t="e">
        <f>EXP(-LN(2)/2)*GN160+(1-EXP(-LN(2)/2))/(LN(2)/2)*GH161*GK161*VLOOKUP('Données projet'!$B$17,Paramètres!$A$1:$I$88,3,0)*0.475*44/12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69.480447180378889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projet'!$B$18,Paramètres!$A$1:$I$88,3,0)*0.475*44/12</f>
        <v>#N/A</v>
      </c>
      <c r="HH161" s="23" t="e">
        <f>EXP(-LN(2)/25)*HH160+(1-EXP(-LN(2)/25))/(LN(2)/25)*Calculateur!HC161*Calculateur!HE161*VLOOKUP('Données projet'!$B$18,Paramètres!$A$1:$I$88,3,0)*0.475*44/12</f>
        <v>#N/A</v>
      </c>
      <c r="HI161" s="23" t="e">
        <f>EXP(-LN(2)/2)*HI160+(1-EXP(-LN(2)/2))/(LN(2)/2)*HC161*HF161*VLOOKUP('Données projet'!$B$18,Paramètres!$A$1:$I$88,3,0)*0.475*44/12</f>
        <v>#N/A</v>
      </c>
      <c r="HJ161" s="24" t="e">
        <f t="shared" si="190"/>
        <v>#N/A</v>
      </c>
    </row>
    <row r="162" spans="1:218" x14ac:dyDescent="0.2">
      <c r="A162" s="11">
        <f t="shared" si="161"/>
        <v>159</v>
      </c>
      <c r="B162" s="77">
        <f>'Scénario référence'!$B$16*5+'Scénario référence'!$B$17*0+'Scénario référence'!$B$18*5</f>
        <v>1.6500000000000001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6.0500000000000007</v>
      </c>
      <c r="H162" s="70">
        <f t="shared" si="110"/>
        <v>232.4666666666667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69.489460260253225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projet'!$B$9,Paramètres!$A$1:$I$88,3,0)*VLOOKUP('Données projet'!$B$9,Paramètres!$A$1:$I$88,5,0)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291.46135428759715</v>
      </c>
      <c r="S162" s="62">
        <f ca="1">AVERAGE(OFFSET($R$3,0,0,'Données projet'!$E$9+1,1))-AVERAGE(OFFSET($H$3,0,0,'Données projet'!$E$9+1,1))</f>
        <v>354.71367224254021</v>
      </c>
      <c r="T162" s="62">
        <f t="shared" si="142"/>
        <v>490.074370133397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24.387667721200799</v>
      </c>
      <c r="AA162" s="23">
        <f>EXP(-LN(2)/25)*AA161+(1-EXP(-LN(2)/25))/(LN(2)/25)*Calculateur!V162*Calculateur!X162*VLOOKUP('Données projet'!$B$9,Paramètres!$A$1:$I$88,3,0)*0.475*44/12</f>
        <v>2.3805388739010902</v>
      </c>
      <c r="AB162" s="23">
        <f>EXP(-LN(2)/2)*AB161+(1-EXP(-LN(2)/2))/(LN(2)/2)*V162*Y162*VLOOKUP('Données projet'!$B$9,Paramètres!$A$1:$I$88,3,0)*0.475*44/12</f>
        <v>7.1497180325195713E-16</v>
      </c>
      <c r="AC162" s="24">
        <f t="shared" si="163"/>
        <v>26.768206595101891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69.489460260253225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2.2737367544323206E-13</v>
      </c>
      <c r="AJ162" s="14">
        <f>AI162*VLOOKUP('Données projet'!$B$10,Paramètres!$A$1:$I$88,3,0)*VLOOKUP('Données projet'!$B$10,Paramètres!$A$1:$I$88,5,0)</f>
        <v>1.3596945791505279E-13</v>
      </c>
      <c r="AK162" s="14">
        <f t="shared" si="164"/>
        <v>1.9708830566360721E-12</v>
      </c>
      <c r="AL162" s="22">
        <f t="shared" si="165"/>
        <v>3.669434796176543E-12</v>
      </c>
      <c r="AM162" s="62">
        <f t="shared" si="113"/>
        <v>291.46135428759885</v>
      </c>
      <c r="AN162" s="62">
        <f ca="1">AVERAGE(OFFSET($AM$3,0,0,'Données projet'!$E$10+1,1))-AVERAGE(OFFSET($H$3,0,0,'Données projet'!$E$10+1,1))</f>
        <v>264.73276096087574</v>
      </c>
      <c r="AO162" s="62">
        <f t="shared" si="144"/>
        <v>381.84464918049662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projet'!$B$10,Paramètres!$A$1:$I$88,3,0)*0.475*44/12</f>
        <v>17.103226339380388</v>
      </c>
      <c r="AV162" s="23">
        <f>EXP(-LN(2)/25)*AV161+(1-EXP(-LN(2)/25))/(LN(2)/25)*Calculateur!AQ162*Calculateur!AS162*VLOOKUP('Données projet'!$B$10,Paramètres!$A$1:$I$88,3,0)*0.475*44/12</f>
        <v>1.672405127937552</v>
      </c>
      <c r="AW162" s="23">
        <f>EXP(-LN(2)/2)*AW161+(1-EXP(-LN(2)/2))/(LN(2)/2)*AQ162*AT162*VLOOKUP('Données projet'!$B$10,Paramètres!$A$1:$I$88,3,0)*0.475*44/12</f>
        <v>5.0062918082717436E-16</v>
      </c>
      <c r="AX162" s="23">
        <f t="shared" si="166"/>
        <v>18.77563146731794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69.489460260253225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-2.8421709430404007E-13</v>
      </c>
      <c r="BE162" s="14">
        <f>BD162*VLOOKUP('Données projet'!$B$11,Paramètres!$A$1:$I$88,3,0)*VLOOKUP('Données projet'!$B$11,Paramètres!$A$1:$I$88,5,0)</f>
        <v>-3.2366642699344083E-13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470.57532875732056</v>
      </c>
      <c r="BJ162" s="62">
        <f t="shared" si="146"/>
        <v>286.63787681165888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projet'!$B$11,Paramètres!$A$1:$I$88,3,0)*0.475*44/12</f>
        <v>75.023328916780756</v>
      </c>
      <c r="BQ162" s="23">
        <f>EXP(-LN(2)/25)*BQ161+(1-EXP(-LN(2)/25))/(LN(2)/25)*Calculateur!BL162*Calculateur!BN162*VLOOKUP('Données projet'!$B$11,Paramètres!$A$1:$I$88,3,0)*0.475*44/12</f>
        <v>0</v>
      </c>
      <c r="BR162" s="23">
        <f>EXP(-LN(2)/2)*BR161+(1-EXP(-LN(2)/2))/(LN(2)/2)*BL162*BO162*VLOOKUP('Données projet'!$B$11,Paramètres!$A$1:$I$88,3,0)*0.475*44/12</f>
        <v>0</v>
      </c>
      <c r="BS162" s="24">
        <f t="shared" si="169"/>
        <v>75.023328916780756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69.489460260253225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-2.2737367544323206E-13</v>
      </c>
      <c r="BZ162" s="14">
        <f>BY162*VLOOKUP('Données projet'!$B$12,Paramètres!$A$1:$I$88,3,0)*VLOOKUP('Données projet'!$B$12,Paramètres!$A$1:$I$88,5,0)</f>
        <v>-1.4897523215040565E-13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305.38855494899906</v>
      </c>
      <c r="CE162" s="62">
        <f t="shared" si="148"/>
        <v>298.48106301229177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projet'!$B$12,Paramètres!$A$1:$I$88,3,0)*0.475*44/12</f>
        <v>17.736678741752332</v>
      </c>
      <c r="CL162" s="23">
        <f>EXP(-LN(2)/25)*CL161+(1-EXP(-LN(2)/25))/(LN(2)/25)*Calculateur!CG162*Calculateur!CI162*VLOOKUP('Données projet'!$B$12,Paramètres!$A$1:$I$88,3,0)*0.475*44/12</f>
        <v>0</v>
      </c>
      <c r="CM162" s="23">
        <f>EXP(-LN(2)/2)*CM161+(1-EXP(-LN(2)/2))/(LN(2)/2)*CG162*CJ162*VLOOKUP('Données projet'!$B$12,Paramètres!$A$1:$I$88,3,0)*0.475*44/12</f>
        <v>0</v>
      </c>
      <c r="CN162" s="24">
        <f t="shared" si="172"/>
        <v>17.736678741752332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69.489460260253225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-2.2737367544323206E-13</v>
      </c>
      <c r="CU162" s="18">
        <f>CT162*VLOOKUP('Données projet'!$B$13,Paramètres!$A$1:$I$88,3,0)*VLOOKUP('Données projet'!$B$13,Paramètres!$A$1:$I$88,5,0)</f>
        <v>-1.8089849618263545E-13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361.30066984973894</v>
      </c>
      <c r="CZ162" s="62">
        <f t="shared" si="150"/>
        <v>351.78053157121622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projet'!$B$13,Paramètres!$A$1:$I$88,3,0)*0.475*44/12</f>
        <v>26.54609226963262</v>
      </c>
      <c r="DG162" s="23">
        <f>EXP(-LN(2)/25)*DG161+(1-EXP(-LN(2)/25))/(LN(2)/25)*Calculateur!DB162*Calculateur!DD162*VLOOKUP('Données projet'!$B$13,Paramètres!$A$1:$I$88,3,0)*0.475*44/12</f>
        <v>0</v>
      </c>
      <c r="DH162" s="23">
        <f>EXP(-LN(2)/2)*DH161+(1-EXP(-LN(2)/2))/(LN(2)/2)*DB162*DE162*VLOOKUP('Données projet'!$B$13,Paramètres!$A$1:$I$88,3,0)*0.475*44/12</f>
        <v>0</v>
      </c>
      <c r="DI162" s="24">
        <f t="shared" si="175"/>
        <v>26.54609226963262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69.489460260253225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>
        <f>DO162*VLOOKUP('Données projet'!$B$14,Paramètres!$A$1:$I$88,3,0)*VLOOKUP('Données projet'!$B$14,Paramètres!$A$1:$I$88,5,0)</f>
        <v>0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91.201152634762423</v>
      </c>
      <c r="DU162" s="62">
        <f t="shared" si="152"/>
        <v>233.36981992862445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projet'!$B$14,Paramètres!$A$1:$I$88,3,0)*0.475*44/12</f>
        <v>3.2217040250991125</v>
      </c>
      <c r="EB162" s="23">
        <f>EXP(-LN(2)/25)*EB161+(1-EXP(-LN(2)/25))/(LN(2)/25)*Calculateur!DW162*Calculateur!DY162*VLOOKUP('Données projet'!$B$14,Paramètres!$A$1:$I$88,3,0)*0.475*44/12</f>
        <v>0</v>
      </c>
      <c r="EC162" s="23">
        <f>EXP(-LN(2)/2)*EC161+(1-EXP(-LN(2)/2))/(LN(2)/2)*DW162*DZ162*VLOOKUP('Données projet'!$B$14,Paramètres!$A$1:$I$88,3,0)*0.475*44/12</f>
        <v>0</v>
      </c>
      <c r="ED162" s="24">
        <f t="shared" si="178"/>
        <v>3.2217040250991125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69.489460260253225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projet'!$B$15,Paramètres!$A$1:$I$88,3,0)*0.475*44/12</f>
        <v>#N/A</v>
      </c>
      <c r="EW162" s="23" t="e">
        <f>EXP(-LN(2)/25)*EW161+(1-EXP(-LN(2)/25))/(LN(2)/25)*Calculateur!ER162*Calculateur!ET162*VLOOKUP('Données projet'!$B$15,Paramètres!$A$1:$I$88,3,0)*0.475*44/12</f>
        <v>#N/A</v>
      </c>
      <c r="EX162" s="23" t="e">
        <f>EXP(-LN(2)/2)*EX161+(1-EXP(-LN(2)/2))/(LN(2)/2)*ER162*EU162*VLOOKUP('Données projet'!$B$15,Paramètres!$A$1:$I$88,3,0)*0.475*44/12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69.489460260253225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projet'!$B$16,Paramètres!$A$1:$I$88,3,0)*0.475*44/12</f>
        <v>#N/A</v>
      </c>
      <c r="FR162" s="23" t="e">
        <f>EXP(-LN(2)/25)*FR161+(1-EXP(-LN(2)/25))/(LN(2)/25)*Calculateur!FM162*Calculateur!FO162*VLOOKUP('Données projet'!$B$16,Paramètres!$A$1:$I$88,3,0)*0.475*44/12</f>
        <v>#N/A</v>
      </c>
      <c r="FS162" s="23" t="e">
        <f>EXP(-LN(2)/2)*FS161+(1-EXP(-LN(2)/2))/(LN(2)/2)*FM162*FP162*VLOOKUP('Données projet'!$B$16,Paramètres!$A$1:$I$88,3,0)*0.475*44/12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69.489460260253225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projet'!$B$17,Paramètres!$A$1:$I$88,3,0)*0.475*44/12</f>
        <v>#N/A</v>
      </c>
      <c r="GM162" s="23" t="e">
        <f>EXP(-LN(2)/25)*GM161+(1-EXP(-LN(2)/25))/(LN(2)/25)*Calculateur!GH162*Calculateur!GJ162*VLOOKUP('Données projet'!$B$17,Paramètres!$A$1:$I$88,3,0)*0.475*44/12</f>
        <v>#N/A</v>
      </c>
      <c r="GN162" s="23" t="e">
        <f>EXP(-LN(2)/2)*GN161+(1-EXP(-LN(2)/2))/(LN(2)/2)*GH162*GK162*VLOOKUP('Données projet'!$B$17,Paramètres!$A$1:$I$88,3,0)*0.475*44/12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69.489460260253225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projet'!$B$18,Paramètres!$A$1:$I$88,3,0)*0.475*44/12</f>
        <v>#N/A</v>
      </c>
      <c r="HH162" s="23" t="e">
        <f>EXP(-LN(2)/25)*HH161+(1-EXP(-LN(2)/25))/(LN(2)/25)*Calculateur!HC162*Calculateur!HE162*VLOOKUP('Données projet'!$B$18,Paramètres!$A$1:$I$88,3,0)*0.475*44/12</f>
        <v>#N/A</v>
      </c>
      <c r="HI162" s="23" t="e">
        <f>EXP(-LN(2)/2)*HI161+(1-EXP(-LN(2)/2))/(LN(2)/2)*HC162*HF162*VLOOKUP('Données projet'!$B$18,Paramètres!$A$1:$I$88,3,0)*0.475*44/12</f>
        <v>#N/A</v>
      </c>
      <c r="HJ162" s="24" t="e">
        <f t="shared" si="190"/>
        <v>#N/A</v>
      </c>
    </row>
    <row r="163" spans="1:218" x14ac:dyDescent="0.2">
      <c r="A163" s="11">
        <f t="shared" si="161"/>
        <v>160</v>
      </c>
      <c r="B163" s="77">
        <f>'Scénario référence'!$B$16*5+'Scénario référence'!$B$17*0+'Scénario référence'!$B$18*5</f>
        <v>1.6500000000000001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6.0500000000000007</v>
      </c>
      <c r="H163" s="70">
        <f t="shared" si="110"/>
        <v>232.4666666666667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69.498316983341965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projet'!$B$9,Paramètres!$A$1:$I$88,3,0)*VLOOKUP('Données projet'!$B$9,Paramètres!$A$1:$I$88,5,0)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291.49382893892255</v>
      </c>
      <c r="S163" s="62">
        <f ca="1">AVERAGE(OFFSET($R$3,0,0,'Données projet'!$E$9+1,1))-AVERAGE(OFFSET($H$3,0,0,'Données projet'!$E$9+1,1))</f>
        <v>354.71367224254021</v>
      </c>
      <c r="T163" s="62">
        <f t="shared" si="142"/>
        <v>490.074370133397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23.909440432196575</v>
      </c>
      <c r="AA163" s="23">
        <f>EXP(-LN(2)/25)*AA162+(1-EXP(-LN(2)/25))/(LN(2)/25)*Calculateur!V163*Calculateur!X163*VLOOKUP('Données projet'!$B$9,Paramètres!$A$1:$I$88,3,0)*0.475*44/12</f>
        <v>2.3154429132071663</v>
      </c>
      <c r="AB163" s="23">
        <f>EXP(-LN(2)/2)*AB162+(1-EXP(-LN(2)/2))/(LN(2)/2)*V163*Y163*VLOOKUP('Données projet'!$B$9,Paramètres!$A$1:$I$88,3,0)*0.475*44/12</f>
        <v>5.0556141043663295E-16</v>
      </c>
      <c r="AC163" s="24">
        <f t="shared" si="163"/>
        <v>26.224883345403743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69.498316983341965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2.2737367544323206E-13</v>
      </c>
      <c r="AJ163" s="14">
        <f>AI163*VLOOKUP('Données projet'!$B$10,Paramètres!$A$1:$I$88,3,0)*VLOOKUP('Données projet'!$B$10,Paramètres!$A$1:$I$88,5,0)</f>
        <v>1.3596945791505279E-13</v>
      </c>
      <c r="AK163" s="14">
        <f t="shared" si="164"/>
        <v>1.9708830566360721E-12</v>
      </c>
      <c r="AL163" s="22">
        <f t="shared" si="165"/>
        <v>3.669434796176543E-12</v>
      </c>
      <c r="AM163" s="62">
        <f t="shared" si="113"/>
        <v>291.49382893892425</v>
      </c>
      <c r="AN163" s="62">
        <f ca="1">AVERAGE(OFFSET($AM$3,0,0,'Données projet'!$E$10+1,1))-AVERAGE(OFFSET($H$3,0,0,'Données projet'!$E$10+1,1))</f>
        <v>264.73276096087574</v>
      </c>
      <c r="AO163" s="62">
        <f t="shared" si="144"/>
        <v>381.84464918049662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projet'!$B$10,Paramètres!$A$1:$I$88,3,0)*0.475*44/12</f>
        <v>16.767842502803138</v>
      </c>
      <c r="AV163" s="23">
        <f>EXP(-LN(2)/25)*AV162+(1-EXP(-LN(2)/25))/(LN(2)/25)*Calculateur!AQ163*Calculateur!AS163*VLOOKUP('Données projet'!$B$10,Paramètres!$A$1:$I$88,3,0)*0.475*44/12</f>
        <v>1.6266731217661363</v>
      </c>
      <c r="AW163" s="23">
        <f>EXP(-LN(2)/2)*AW162+(1-EXP(-LN(2)/2))/(LN(2)/2)*AQ163*AT163*VLOOKUP('Données projet'!$B$10,Paramètres!$A$1:$I$88,3,0)*0.475*44/12</f>
        <v>3.5399828862276132E-16</v>
      </c>
      <c r="AX163" s="23">
        <f t="shared" si="166"/>
        <v>18.394515624569273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69.498316983341965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-2.8421709430404007E-13</v>
      </c>
      <c r="BE163" s="14">
        <f>BD163*VLOOKUP('Données projet'!$B$11,Paramètres!$A$1:$I$88,3,0)*VLOOKUP('Données projet'!$B$11,Paramètres!$A$1:$I$88,5,0)</f>
        <v>-3.2366642699344083E-13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470.57532875732056</v>
      </c>
      <c r="BJ163" s="62">
        <f t="shared" si="146"/>
        <v>286.63787681165888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projet'!$B$11,Paramètres!$A$1:$I$88,3,0)*0.475*44/12</f>
        <v>73.552167196434922</v>
      </c>
      <c r="BQ163" s="23">
        <f>EXP(-LN(2)/25)*BQ162+(1-EXP(-LN(2)/25))/(LN(2)/25)*Calculateur!BL163*Calculateur!BN163*VLOOKUP('Données projet'!$B$11,Paramètres!$A$1:$I$88,3,0)*0.475*44/12</f>
        <v>0</v>
      </c>
      <c r="BR163" s="23">
        <f>EXP(-LN(2)/2)*BR162+(1-EXP(-LN(2)/2))/(LN(2)/2)*BL163*BO163*VLOOKUP('Données projet'!$B$11,Paramètres!$A$1:$I$88,3,0)*0.475*44/12</f>
        <v>0</v>
      </c>
      <c r="BS163" s="24">
        <f t="shared" si="169"/>
        <v>73.552167196434922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69.498316983341965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-2.2737367544323206E-13</v>
      </c>
      <c r="BZ163" s="14">
        <f>BY163*VLOOKUP('Données projet'!$B$12,Paramètres!$A$1:$I$88,3,0)*VLOOKUP('Données projet'!$B$12,Paramètres!$A$1:$I$88,5,0)</f>
        <v>-1.4897523215040565E-13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305.38855494899906</v>
      </c>
      <c r="CE163" s="62">
        <f t="shared" si="148"/>
        <v>298.48106301229177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projet'!$B$12,Paramètres!$A$1:$I$88,3,0)*0.475*44/12</f>
        <v>17.388873289932381</v>
      </c>
      <c r="CL163" s="23">
        <f>EXP(-LN(2)/25)*CL162+(1-EXP(-LN(2)/25))/(LN(2)/25)*Calculateur!CG163*Calculateur!CI163*VLOOKUP('Données projet'!$B$12,Paramètres!$A$1:$I$88,3,0)*0.475*44/12</f>
        <v>0</v>
      </c>
      <c r="CM163" s="23">
        <f>EXP(-LN(2)/2)*CM162+(1-EXP(-LN(2)/2))/(LN(2)/2)*CG163*CJ163*VLOOKUP('Données projet'!$B$12,Paramètres!$A$1:$I$88,3,0)*0.475*44/12</f>
        <v>0</v>
      </c>
      <c r="CN163" s="24">
        <f t="shared" si="172"/>
        <v>17.388873289932381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69.498316983341965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-2.2737367544323206E-13</v>
      </c>
      <c r="CU163" s="18">
        <f>CT163*VLOOKUP('Données projet'!$B$13,Paramètres!$A$1:$I$88,3,0)*VLOOKUP('Données projet'!$B$13,Paramètres!$A$1:$I$88,5,0)</f>
        <v>-1.8089849618263545E-13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361.30066984973894</v>
      </c>
      <c r="CZ163" s="62">
        <f t="shared" si="150"/>
        <v>351.78053157121622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projet'!$B$13,Paramètres!$A$1:$I$88,3,0)*0.475*44/12</f>
        <v>26.025539591742628</v>
      </c>
      <c r="DG163" s="23">
        <f>EXP(-LN(2)/25)*DG162+(1-EXP(-LN(2)/25))/(LN(2)/25)*Calculateur!DB163*Calculateur!DD163*VLOOKUP('Données projet'!$B$13,Paramètres!$A$1:$I$88,3,0)*0.475*44/12</f>
        <v>0</v>
      </c>
      <c r="DH163" s="23">
        <f>EXP(-LN(2)/2)*DH162+(1-EXP(-LN(2)/2))/(LN(2)/2)*DB163*DE163*VLOOKUP('Données projet'!$B$13,Paramètres!$A$1:$I$88,3,0)*0.475*44/12</f>
        <v>0</v>
      </c>
      <c r="DI163" s="24">
        <f t="shared" si="175"/>
        <v>26.025539591742628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69.498316983341965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>
        <f>DO163*VLOOKUP('Données projet'!$B$14,Paramètres!$A$1:$I$88,3,0)*VLOOKUP('Données projet'!$B$14,Paramètres!$A$1:$I$88,5,0)</f>
        <v>0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91.201152634762423</v>
      </c>
      <c r="DU163" s="62">
        <f t="shared" si="152"/>
        <v>233.36981992862445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projet'!$B$14,Paramètres!$A$1:$I$88,3,0)*0.475*44/12</f>
        <v>3.158528374212342</v>
      </c>
      <c r="EB163" s="23">
        <f>EXP(-LN(2)/25)*EB162+(1-EXP(-LN(2)/25))/(LN(2)/25)*Calculateur!DW163*Calculateur!DY163*VLOOKUP('Données projet'!$B$14,Paramètres!$A$1:$I$88,3,0)*0.475*44/12</f>
        <v>0</v>
      </c>
      <c r="EC163" s="23">
        <f>EXP(-LN(2)/2)*EC162+(1-EXP(-LN(2)/2))/(LN(2)/2)*DW163*DZ163*VLOOKUP('Données projet'!$B$14,Paramètres!$A$1:$I$88,3,0)*0.475*44/12</f>
        <v>0</v>
      </c>
      <c r="ED163" s="24">
        <f t="shared" si="178"/>
        <v>3.158528374212342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69.498316983341965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projet'!$B$15,Paramètres!$A$1:$I$88,3,0)*0.475*44/12</f>
        <v>#N/A</v>
      </c>
      <c r="EW163" s="23" t="e">
        <f>EXP(-LN(2)/25)*EW162+(1-EXP(-LN(2)/25))/(LN(2)/25)*Calculateur!ER163*Calculateur!ET163*VLOOKUP('Données projet'!$B$15,Paramètres!$A$1:$I$88,3,0)*0.475*44/12</f>
        <v>#N/A</v>
      </c>
      <c r="EX163" s="23" t="e">
        <f>EXP(-LN(2)/2)*EX162+(1-EXP(-LN(2)/2))/(LN(2)/2)*ER163*EU163*VLOOKUP('Données projet'!$B$15,Paramètres!$A$1:$I$88,3,0)*0.475*44/12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69.498316983341965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projet'!$B$16,Paramètres!$A$1:$I$88,3,0)*0.475*44/12</f>
        <v>#N/A</v>
      </c>
      <c r="FR163" s="23" t="e">
        <f>EXP(-LN(2)/25)*FR162+(1-EXP(-LN(2)/25))/(LN(2)/25)*Calculateur!FM163*Calculateur!FO163*VLOOKUP('Données projet'!$B$16,Paramètres!$A$1:$I$88,3,0)*0.475*44/12</f>
        <v>#N/A</v>
      </c>
      <c r="FS163" s="23" t="e">
        <f>EXP(-LN(2)/2)*FS162+(1-EXP(-LN(2)/2))/(LN(2)/2)*FM163*FP163*VLOOKUP('Données projet'!$B$16,Paramètres!$A$1:$I$88,3,0)*0.475*44/12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69.498316983341965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projet'!$B$17,Paramètres!$A$1:$I$88,3,0)*0.475*44/12</f>
        <v>#N/A</v>
      </c>
      <c r="GM163" s="23" t="e">
        <f>EXP(-LN(2)/25)*GM162+(1-EXP(-LN(2)/25))/(LN(2)/25)*Calculateur!GH163*Calculateur!GJ163*VLOOKUP('Données projet'!$B$17,Paramètres!$A$1:$I$88,3,0)*0.475*44/12</f>
        <v>#N/A</v>
      </c>
      <c r="GN163" s="23" t="e">
        <f>EXP(-LN(2)/2)*GN162+(1-EXP(-LN(2)/2))/(LN(2)/2)*GH163*GK163*VLOOKUP('Données projet'!$B$17,Paramètres!$A$1:$I$88,3,0)*0.475*44/12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69.498316983341965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projet'!$B$18,Paramètres!$A$1:$I$88,3,0)*0.475*44/12</f>
        <v>#N/A</v>
      </c>
      <c r="HH163" s="23" t="e">
        <f>EXP(-LN(2)/25)*HH162+(1-EXP(-LN(2)/25))/(LN(2)/25)*Calculateur!HC163*Calculateur!HE163*VLOOKUP('Données projet'!$B$18,Paramètres!$A$1:$I$88,3,0)*0.475*44/12</f>
        <v>#N/A</v>
      </c>
      <c r="HI163" s="23" t="e">
        <f>EXP(-LN(2)/2)*HI162+(1-EXP(-LN(2)/2))/(LN(2)/2)*HC163*HF163*VLOOKUP('Données projet'!$B$18,Paramètres!$A$1:$I$88,3,0)*0.475*44/12</f>
        <v>#N/A</v>
      </c>
      <c r="HJ163" s="24" t="e">
        <f t="shared" si="190"/>
        <v>#N/A</v>
      </c>
    </row>
    <row r="164" spans="1:218" x14ac:dyDescent="0.2">
      <c r="A164" s="11">
        <f t="shared" si="161"/>
        <v>161</v>
      </c>
      <c r="B164" s="77">
        <f>'Scénario référence'!$B$16*5+'Scénario référence'!$B$17*0+'Scénario référence'!$B$18*5</f>
        <v>1.6500000000000001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6.0500000000000007</v>
      </c>
      <c r="H164" s="70">
        <f t="shared" si="110"/>
        <v>232.4666666666667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69.507020062085786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projet'!$B$9,Paramètres!$A$1:$I$88,3,0)*VLOOKUP('Données projet'!$B$9,Paramètres!$A$1:$I$88,5,0)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291.52574022764986</v>
      </c>
      <c r="S164" s="62">
        <f ca="1">AVERAGE(OFFSET($R$3,0,0,'Données projet'!$E$9+1,1))-AVERAGE(OFFSET($H$3,0,0,'Données projet'!$E$9+1,1))</f>
        <v>354.71367224254021</v>
      </c>
      <c r="T164" s="62">
        <f t="shared" si="142"/>
        <v>490.074370133397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23.440590888639882</v>
      </c>
      <c r="AA164" s="23">
        <f>EXP(-LN(2)/25)*AA163+(1-EXP(-LN(2)/25))/(LN(2)/25)*Calculateur!V164*Calculateur!X164*VLOOKUP('Données projet'!$B$9,Paramètres!$A$1:$I$88,3,0)*0.475*44/12</f>
        <v>2.2521270049816655</v>
      </c>
      <c r="AB164" s="23">
        <f>EXP(-LN(2)/2)*AB163+(1-EXP(-LN(2)/2))/(LN(2)/2)*V164*Y164*VLOOKUP('Données projet'!$B$9,Paramètres!$A$1:$I$88,3,0)*0.475*44/12</f>
        <v>3.5748590162597857E-16</v>
      </c>
      <c r="AC164" s="24">
        <f t="shared" si="163"/>
        <v>25.692717893621548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69.507020062085786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2.2737367544323206E-13</v>
      </c>
      <c r="AJ164" s="14">
        <f>AI164*VLOOKUP('Données projet'!$B$10,Paramètres!$A$1:$I$88,3,0)*VLOOKUP('Données projet'!$B$10,Paramètres!$A$1:$I$88,5,0)</f>
        <v>1.3596945791505279E-13</v>
      </c>
      <c r="AK164" s="14">
        <f t="shared" si="164"/>
        <v>1.9708830566360721E-12</v>
      </c>
      <c r="AL164" s="22">
        <f t="shared" si="165"/>
        <v>3.669434796176543E-12</v>
      </c>
      <c r="AM164" s="62">
        <f t="shared" si="113"/>
        <v>291.52574022765157</v>
      </c>
      <c r="AN164" s="62">
        <f ca="1">AVERAGE(OFFSET($AM$3,0,0,'Données projet'!$E$10+1,1))-AVERAGE(OFFSET($H$3,0,0,'Données projet'!$E$10+1,1))</f>
        <v>264.73276096087574</v>
      </c>
      <c r="AO164" s="62">
        <f t="shared" si="144"/>
        <v>381.84464918049662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projet'!$B$10,Paramètres!$A$1:$I$88,3,0)*0.475*44/12</f>
        <v>16.439035338697227</v>
      </c>
      <c r="AV164" s="23">
        <f>EXP(-LN(2)/25)*AV163+(1-EXP(-LN(2)/25))/(LN(2)/25)*Calculateur!AQ164*Calculateur!AS164*VLOOKUP('Données projet'!$B$10,Paramètres!$A$1:$I$88,3,0)*0.475*44/12</f>
        <v>1.5821916597084196</v>
      </c>
      <c r="AW164" s="23">
        <f>EXP(-LN(2)/2)*AW163+(1-EXP(-LN(2)/2))/(LN(2)/2)*AQ164*AT164*VLOOKUP('Données projet'!$B$10,Paramètres!$A$1:$I$88,3,0)*0.475*44/12</f>
        <v>2.5031459041358718E-16</v>
      </c>
      <c r="AX164" s="23">
        <f t="shared" si="166"/>
        <v>18.021226998405648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69.507020062085786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-2.8421709430404007E-13</v>
      </c>
      <c r="BE164" s="14">
        <f>BD164*VLOOKUP('Données projet'!$B$11,Paramètres!$A$1:$I$88,3,0)*VLOOKUP('Données projet'!$B$11,Paramètres!$A$1:$I$88,5,0)</f>
        <v>-3.2366642699344083E-13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470.57532875732056</v>
      </c>
      <c r="BJ164" s="62">
        <f t="shared" si="146"/>
        <v>286.63787681165888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projet'!$B$11,Paramètres!$A$1:$I$88,3,0)*0.475*44/12</f>
        <v>72.109854060105036</v>
      </c>
      <c r="BQ164" s="23">
        <f>EXP(-LN(2)/25)*BQ163+(1-EXP(-LN(2)/25))/(LN(2)/25)*Calculateur!BL164*Calculateur!BN164*VLOOKUP('Données projet'!$B$11,Paramètres!$A$1:$I$88,3,0)*0.475*44/12</f>
        <v>0</v>
      </c>
      <c r="BR164" s="23">
        <f>EXP(-LN(2)/2)*BR163+(1-EXP(-LN(2)/2))/(LN(2)/2)*BL164*BO164*VLOOKUP('Données projet'!$B$11,Paramètres!$A$1:$I$88,3,0)*0.475*44/12</f>
        <v>0</v>
      </c>
      <c r="BS164" s="24">
        <f t="shared" si="169"/>
        <v>72.109854060105036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69.507020062085786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-2.2737367544323206E-13</v>
      </c>
      <c r="BZ164" s="14">
        <f>BY164*VLOOKUP('Données projet'!$B$12,Paramètres!$A$1:$I$88,3,0)*VLOOKUP('Données projet'!$B$12,Paramètres!$A$1:$I$88,5,0)</f>
        <v>-1.4897523215040565E-13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305.38855494899906</v>
      </c>
      <c r="CE164" s="62">
        <f t="shared" si="148"/>
        <v>298.48106301229177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projet'!$B$12,Paramètres!$A$1:$I$88,3,0)*0.475*44/12</f>
        <v>17.047888090882243</v>
      </c>
      <c r="CL164" s="23">
        <f>EXP(-LN(2)/25)*CL163+(1-EXP(-LN(2)/25))/(LN(2)/25)*Calculateur!CG164*Calculateur!CI164*VLOOKUP('Données projet'!$B$12,Paramètres!$A$1:$I$88,3,0)*0.475*44/12</f>
        <v>0</v>
      </c>
      <c r="CM164" s="23">
        <f>EXP(-LN(2)/2)*CM163+(1-EXP(-LN(2)/2))/(LN(2)/2)*CG164*CJ164*VLOOKUP('Données projet'!$B$12,Paramètres!$A$1:$I$88,3,0)*0.475*44/12</f>
        <v>0</v>
      </c>
      <c r="CN164" s="24">
        <f t="shared" si="172"/>
        <v>17.047888090882243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69.507020062085786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-2.2737367544323206E-13</v>
      </c>
      <c r="CU164" s="18">
        <f>CT164*VLOOKUP('Données projet'!$B$13,Paramètres!$A$1:$I$88,3,0)*VLOOKUP('Données projet'!$B$13,Paramètres!$A$1:$I$88,5,0)</f>
        <v>-1.8089849618263545E-13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361.30066984973894</v>
      </c>
      <c r="CZ164" s="62">
        <f t="shared" si="150"/>
        <v>351.78053157121622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projet'!$B$13,Paramètres!$A$1:$I$88,3,0)*0.475*44/12</f>
        <v>25.515194634360277</v>
      </c>
      <c r="DG164" s="23">
        <f>EXP(-LN(2)/25)*DG163+(1-EXP(-LN(2)/25))/(LN(2)/25)*Calculateur!DB164*Calculateur!DD164*VLOOKUP('Données projet'!$B$13,Paramètres!$A$1:$I$88,3,0)*0.475*44/12</f>
        <v>0</v>
      </c>
      <c r="DH164" s="23">
        <f>EXP(-LN(2)/2)*DH163+(1-EXP(-LN(2)/2))/(LN(2)/2)*DB164*DE164*VLOOKUP('Données projet'!$B$13,Paramètres!$A$1:$I$88,3,0)*0.475*44/12</f>
        <v>0</v>
      </c>
      <c r="DI164" s="24">
        <f t="shared" si="175"/>
        <v>25.515194634360277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69.507020062085786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>
        <f>DO164*VLOOKUP('Données projet'!$B$14,Paramètres!$A$1:$I$88,3,0)*VLOOKUP('Données projet'!$B$14,Paramètres!$A$1:$I$88,5,0)</f>
        <v>0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91.201152634762423</v>
      </c>
      <c r="DU164" s="62">
        <f t="shared" si="152"/>
        <v>233.36981992862445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projet'!$B$14,Paramètres!$A$1:$I$88,3,0)*0.475*44/12</f>
        <v>3.0965915593061188</v>
      </c>
      <c r="EB164" s="23">
        <f>EXP(-LN(2)/25)*EB163+(1-EXP(-LN(2)/25))/(LN(2)/25)*Calculateur!DW164*Calculateur!DY164*VLOOKUP('Données projet'!$B$14,Paramètres!$A$1:$I$88,3,0)*0.475*44/12</f>
        <v>0</v>
      </c>
      <c r="EC164" s="23">
        <f>EXP(-LN(2)/2)*EC163+(1-EXP(-LN(2)/2))/(LN(2)/2)*DW164*DZ164*VLOOKUP('Données projet'!$B$14,Paramètres!$A$1:$I$88,3,0)*0.475*44/12</f>
        <v>0</v>
      </c>
      <c r="ED164" s="24">
        <f t="shared" si="178"/>
        <v>3.0965915593061188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69.507020062085786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projet'!$B$15,Paramètres!$A$1:$I$88,3,0)*0.475*44/12</f>
        <v>#N/A</v>
      </c>
      <c r="EW164" s="23" t="e">
        <f>EXP(-LN(2)/25)*EW163+(1-EXP(-LN(2)/25))/(LN(2)/25)*Calculateur!ER164*Calculateur!ET164*VLOOKUP('Données projet'!$B$15,Paramètres!$A$1:$I$88,3,0)*0.475*44/12</f>
        <v>#N/A</v>
      </c>
      <c r="EX164" s="23" t="e">
        <f>EXP(-LN(2)/2)*EX163+(1-EXP(-LN(2)/2))/(LN(2)/2)*ER164*EU164*VLOOKUP('Données projet'!$B$15,Paramètres!$A$1:$I$88,3,0)*0.475*44/12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69.507020062085786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projet'!$B$16,Paramètres!$A$1:$I$88,3,0)*0.475*44/12</f>
        <v>#N/A</v>
      </c>
      <c r="FR164" s="23" t="e">
        <f>EXP(-LN(2)/25)*FR163+(1-EXP(-LN(2)/25))/(LN(2)/25)*Calculateur!FM164*Calculateur!FO164*VLOOKUP('Données projet'!$B$16,Paramètres!$A$1:$I$88,3,0)*0.475*44/12</f>
        <v>#N/A</v>
      </c>
      <c r="FS164" s="23" t="e">
        <f>EXP(-LN(2)/2)*FS163+(1-EXP(-LN(2)/2))/(LN(2)/2)*FM164*FP164*VLOOKUP('Données projet'!$B$16,Paramètres!$A$1:$I$88,3,0)*0.475*44/12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69.507020062085786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projet'!$B$17,Paramètres!$A$1:$I$88,3,0)*0.475*44/12</f>
        <v>#N/A</v>
      </c>
      <c r="GM164" s="23" t="e">
        <f>EXP(-LN(2)/25)*GM163+(1-EXP(-LN(2)/25))/(LN(2)/25)*Calculateur!GH164*Calculateur!GJ164*VLOOKUP('Données projet'!$B$17,Paramètres!$A$1:$I$88,3,0)*0.475*44/12</f>
        <v>#N/A</v>
      </c>
      <c r="GN164" s="23" t="e">
        <f>EXP(-LN(2)/2)*GN163+(1-EXP(-LN(2)/2))/(LN(2)/2)*GH164*GK164*VLOOKUP('Données projet'!$B$17,Paramètres!$A$1:$I$88,3,0)*0.475*44/12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69.507020062085786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projet'!$B$18,Paramètres!$A$1:$I$88,3,0)*0.475*44/12</f>
        <v>#N/A</v>
      </c>
      <c r="HH164" s="23" t="e">
        <f>EXP(-LN(2)/25)*HH163+(1-EXP(-LN(2)/25))/(LN(2)/25)*Calculateur!HC164*Calculateur!HE164*VLOOKUP('Données projet'!$B$18,Paramètres!$A$1:$I$88,3,0)*0.475*44/12</f>
        <v>#N/A</v>
      </c>
      <c r="HI164" s="23" t="e">
        <f>EXP(-LN(2)/2)*HI163+(1-EXP(-LN(2)/2))/(LN(2)/2)*HC164*HF164*VLOOKUP('Données projet'!$B$18,Paramètres!$A$1:$I$88,3,0)*0.475*44/12</f>
        <v>#N/A</v>
      </c>
      <c r="HJ164" s="24" t="e">
        <f t="shared" si="190"/>
        <v>#N/A</v>
      </c>
    </row>
    <row r="165" spans="1:218" x14ac:dyDescent="0.2">
      <c r="A165" s="11">
        <f t="shared" si="161"/>
        <v>162</v>
      </c>
      <c r="B165" s="77">
        <f>'Scénario référence'!$B$16*5+'Scénario référence'!$B$17*0+'Scénario référence'!$B$18*5</f>
        <v>1.6500000000000001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6.0500000000000007</v>
      </c>
      <c r="H165" s="70">
        <f t="shared" si="110"/>
        <v>232.4666666666667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69.515572161870551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projet'!$B$9,Paramètres!$A$1:$I$88,3,0)*VLOOKUP('Données projet'!$B$9,Paramètres!$A$1:$I$88,5,0)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291.55709792686071</v>
      </c>
      <c r="S165" s="62">
        <f ca="1">AVERAGE(OFFSET($R$3,0,0,'Données projet'!$E$9+1,1))-AVERAGE(OFFSET($H$3,0,0,'Données projet'!$E$9+1,1))</f>
        <v>354.71367224254021</v>
      </c>
      <c r="T165" s="62">
        <f t="shared" si="142"/>
        <v>490.074370133397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22.980935198662351</v>
      </c>
      <c r="AA165" s="23">
        <f>EXP(-LN(2)/25)*AA164+(1-EXP(-LN(2)/25))/(LN(2)/25)*Calculateur!V165*Calculateur!X165*VLOOKUP('Données projet'!$B$9,Paramètres!$A$1:$I$88,3,0)*0.475*44/12</f>
        <v>2.19054247359623</v>
      </c>
      <c r="AB165" s="23">
        <f>EXP(-LN(2)/2)*AB164+(1-EXP(-LN(2)/2))/(LN(2)/2)*V165*Y165*VLOOKUP('Données projet'!$B$9,Paramètres!$A$1:$I$88,3,0)*0.475*44/12</f>
        <v>2.5278070521831648E-16</v>
      </c>
      <c r="AC165" s="24">
        <f t="shared" si="163"/>
        <v>25.171477672258582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69.515572161870551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2.2737367544323206E-13</v>
      </c>
      <c r="AJ165" s="14">
        <f>AI165*VLOOKUP('Données projet'!$B$10,Paramètres!$A$1:$I$88,3,0)*VLOOKUP('Données projet'!$B$10,Paramètres!$A$1:$I$88,5,0)</f>
        <v>1.3596945791505279E-13</v>
      </c>
      <c r="AK165" s="14">
        <f t="shared" si="164"/>
        <v>1.9708830566360721E-12</v>
      </c>
      <c r="AL165" s="22">
        <f t="shared" si="165"/>
        <v>3.669434796176543E-12</v>
      </c>
      <c r="AM165" s="62">
        <f t="shared" si="113"/>
        <v>291.55709792686241</v>
      </c>
      <c r="AN165" s="62">
        <f ca="1">AVERAGE(OFFSET($AM$3,0,0,'Données projet'!$E$10+1,1))-AVERAGE(OFFSET($H$3,0,0,'Données projet'!$E$10+1,1))</f>
        <v>264.73276096087574</v>
      </c>
      <c r="AO165" s="62">
        <f t="shared" si="144"/>
        <v>381.84464918049662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projet'!$B$10,Paramètres!$A$1:$I$88,3,0)*0.475*44/12</f>
        <v>16.116675882526867</v>
      </c>
      <c r="AV165" s="23">
        <f>EXP(-LN(2)/25)*AV164+(1-EXP(-LN(2)/25))/(LN(2)/25)*Calculateur!AQ165*Calculateur!AS165*VLOOKUP('Données projet'!$B$10,Paramètres!$A$1:$I$88,3,0)*0.475*44/12</f>
        <v>1.5389265455698495</v>
      </c>
      <c r="AW165" s="23">
        <f>EXP(-LN(2)/2)*AW164+(1-EXP(-LN(2)/2))/(LN(2)/2)*AQ165*AT165*VLOOKUP('Données projet'!$B$10,Paramètres!$A$1:$I$88,3,0)*0.475*44/12</f>
        <v>1.7699914431138066E-16</v>
      </c>
      <c r="AX165" s="23">
        <f t="shared" si="166"/>
        <v>17.655602428096717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69.515572161870551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-2.8421709430404007E-13</v>
      </c>
      <c r="BE165" s="14">
        <f>BD165*VLOOKUP('Données projet'!$B$11,Paramètres!$A$1:$I$88,3,0)*VLOOKUP('Données projet'!$B$11,Paramètres!$A$1:$I$88,5,0)</f>
        <v>-3.2366642699344083E-13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470.57532875732056</v>
      </c>
      <c r="BJ165" s="62">
        <f t="shared" si="146"/>
        <v>286.63787681165888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projet'!$B$11,Paramètres!$A$1:$I$88,3,0)*0.475*44/12</f>
        <v>70.695823804654424</v>
      </c>
      <c r="BQ165" s="23">
        <f>EXP(-LN(2)/25)*BQ164+(1-EXP(-LN(2)/25))/(LN(2)/25)*Calculateur!BL165*Calculateur!BN165*VLOOKUP('Données projet'!$B$11,Paramètres!$A$1:$I$88,3,0)*0.475*44/12</f>
        <v>0</v>
      </c>
      <c r="BR165" s="23">
        <f>EXP(-LN(2)/2)*BR164+(1-EXP(-LN(2)/2))/(LN(2)/2)*BL165*BO165*VLOOKUP('Données projet'!$B$11,Paramètres!$A$1:$I$88,3,0)*0.475*44/12</f>
        <v>0</v>
      </c>
      <c r="BS165" s="24">
        <f t="shared" si="169"/>
        <v>70.695823804654424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69.515572161870551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-2.2737367544323206E-13</v>
      </c>
      <c r="BZ165" s="14">
        <f>BY165*VLOOKUP('Données projet'!$B$12,Paramètres!$A$1:$I$88,3,0)*VLOOKUP('Données projet'!$B$12,Paramètres!$A$1:$I$88,5,0)</f>
        <v>-1.4897523215040565E-13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305.38855494899906</v>
      </c>
      <c r="CE165" s="62">
        <f t="shared" si="148"/>
        <v>298.48106301229177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projet'!$B$12,Paramètres!$A$1:$I$88,3,0)*0.475*44/12</f>
        <v>16.713589403605042</v>
      </c>
      <c r="CL165" s="23">
        <f>EXP(-LN(2)/25)*CL164+(1-EXP(-LN(2)/25))/(LN(2)/25)*Calculateur!CG165*Calculateur!CI165*VLOOKUP('Données projet'!$B$12,Paramètres!$A$1:$I$88,3,0)*0.475*44/12</f>
        <v>0</v>
      </c>
      <c r="CM165" s="23">
        <f>EXP(-LN(2)/2)*CM164+(1-EXP(-LN(2)/2))/(LN(2)/2)*CG165*CJ165*VLOOKUP('Données projet'!$B$12,Paramètres!$A$1:$I$88,3,0)*0.475*44/12</f>
        <v>0</v>
      </c>
      <c r="CN165" s="24">
        <f t="shared" si="172"/>
        <v>16.713589403605042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69.515572161870551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-2.2737367544323206E-13</v>
      </c>
      <c r="CU165" s="18">
        <f>CT165*VLOOKUP('Données projet'!$B$13,Paramètres!$A$1:$I$88,3,0)*VLOOKUP('Données projet'!$B$13,Paramètres!$A$1:$I$88,5,0)</f>
        <v>-1.8089849618263545E-13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361.30066984973894</v>
      </c>
      <c r="CZ165" s="62">
        <f t="shared" si="150"/>
        <v>351.78053157121622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projet'!$B$13,Paramètres!$A$1:$I$88,3,0)*0.475*44/12</f>
        <v>25.014857230312508</v>
      </c>
      <c r="DG165" s="23">
        <f>EXP(-LN(2)/25)*DG164+(1-EXP(-LN(2)/25))/(LN(2)/25)*Calculateur!DB165*Calculateur!DD165*VLOOKUP('Données projet'!$B$13,Paramètres!$A$1:$I$88,3,0)*0.475*44/12</f>
        <v>0</v>
      </c>
      <c r="DH165" s="23">
        <f>EXP(-LN(2)/2)*DH164+(1-EXP(-LN(2)/2))/(LN(2)/2)*DB165*DE165*VLOOKUP('Données projet'!$B$13,Paramètres!$A$1:$I$88,3,0)*0.475*44/12</f>
        <v>0</v>
      </c>
      <c r="DI165" s="24">
        <f t="shared" si="175"/>
        <v>25.014857230312508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69.515572161870551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>
        <f>DO165*VLOOKUP('Données projet'!$B$14,Paramètres!$A$1:$I$88,3,0)*VLOOKUP('Données projet'!$B$14,Paramètres!$A$1:$I$88,5,0)</f>
        <v>0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91.201152634762423</v>
      </c>
      <c r="DU165" s="62">
        <f t="shared" si="152"/>
        <v>233.36981992862445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projet'!$B$14,Paramètres!$A$1:$I$88,3,0)*0.475*44/12</f>
        <v>3.03586928756248</v>
      </c>
      <c r="EB165" s="23">
        <f>EXP(-LN(2)/25)*EB164+(1-EXP(-LN(2)/25))/(LN(2)/25)*Calculateur!DW165*Calculateur!DY165*VLOOKUP('Données projet'!$B$14,Paramètres!$A$1:$I$88,3,0)*0.475*44/12</f>
        <v>0</v>
      </c>
      <c r="EC165" s="23">
        <f>EXP(-LN(2)/2)*EC164+(1-EXP(-LN(2)/2))/(LN(2)/2)*DW165*DZ165*VLOOKUP('Données projet'!$B$14,Paramètres!$A$1:$I$88,3,0)*0.475*44/12</f>
        <v>0</v>
      </c>
      <c r="ED165" s="24">
        <f t="shared" si="178"/>
        <v>3.03586928756248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69.515572161870551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projet'!$B$15,Paramètres!$A$1:$I$88,3,0)*0.475*44/12</f>
        <v>#N/A</v>
      </c>
      <c r="EW165" s="23" t="e">
        <f>EXP(-LN(2)/25)*EW164+(1-EXP(-LN(2)/25))/(LN(2)/25)*Calculateur!ER165*Calculateur!ET165*VLOOKUP('Données projet'!$B$15,Paramètres!$A$1:$I$88,3,0)*0.475*44/12</f>
        <v>#N/A</v>
      </c>
      <c r="EX165" s="23" t="e">
        <f>EXP(-LN(2)/2)*EX164+(1-EXP(-LN(2)/2))/(LN(2)/2)*ER165*EU165*VLOOKUP('Données projet'!$B$15,Paramètres!$A$1:$I$88,3,0)*0.475*44/12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69.515572161870551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projet'!$B$16,Paramètres!$A$1:$I$88,3,0)*0.475*44/12</f>
        <v>#N/A</v>
      </c>
      <c r="FR165" s="23" t="e">
        <f>EXP(-LN(2)/25)*FR164+(1-EXP(-LN(2)/25))/(LN(2)/25)*Calculateur!FM165*Calculateur!FO165*VLOOKUP('Données projet'!$B$16,Paramètres!$A$1:$I$88,3,0)*0.475*44/12</f>
        <v>#N/A</v>
      </c>
      <c r="FS165" s="23" t="e">
        <f>EXP(-LN(2)/2)*FS164+(1-EXP(-LN(2)/2))/(LN(2)/2)*FM165*FP165*VLOOKUP('Données projet'!$B$16,Paramètres!$A$1:$I$88,3,0)*0.475*44/12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69.515572161870551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projet'!$B$17,Paramètres!$A$1:$I$88,3,0)*0.475*44/12</f>
        <v>#N/A</v>
      </c>
      <c r="GM165" s="23" t="e">
        <f>EXP(-LN(2)/25)*GM164+(1-EXP(-LN(2)/25))/(LN(2)/25)*Calculateur!GH165*Calculateur!GJ165*VLOOKUP('Données projet'!$B$17,Paramètres!$A$1:$I$88,3,0)*0.475*44/12</f>
        <v>#N/A</v>
      </c>
      <c r="GN165" s="23" t="e">
        <f>EXP(-LN(2)/2)*GN164+(1-EXP(-LN(2)/2))/(LN(2)/2)*GH165*GK165*VLOOKUP('Données projet'!$B$17,Paramètres!$A$1:$I$88,3,0)*0.475*44/12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69.515572161870551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projet'!$B$18,Paramètres!$A$1:$I$88,3,0)*0.475*44/12</f>
        <v>#N/A</v>
      </c>
      <c r="HH165" s="23" t="e">
        <f>EXP(-LN(2)/25)*HH164+(1-EXP(-LN(2)/25))/(LN(2)/25)*Calculateur!HC165*Calculateur!HE165*VLOOKUP('Données projet'!$B$18,Paramètres!$A$1:$I$88,3,0)*0.475*44/12</f>
        <v>#N/A</v>
      </c>
      <c r="HI165" s="23" t="e">
        <f>EXP(-LN(2)/2)*HI164+(1-EXP(-LN(2)/2))/(LN(2)/2)*HC165*HF165*VLOOKUP('Données projet'!$B$18,Paramètres!$A$1:$I$88,3,0)*0.475*44/12</f>
        <v>#N/A</v>
      </c>
      <c r="HJ165" s="24" t="e">
        <f t="shared" si="190"/>
        <v>#N/A</v>
      </c>
    </row>
    <row r="166" spans="1:218" x14ac:dyDescent="0.2">
      <c r="A166" s="11">
        <f t="shared" si="161"/>
        <v>163</v>
      </c>
      <c r="B166" s="77">
        <f>'Scénario référence'!$B$16*5+'Scénario référence'!$B$17*0+'Scénario référence'!$B$18*5</f>
        <v>1.6500000000000001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6.0500000000000007</v>
      </c>
      <c r="H166" s="70">
        <f t="shared" si="110"/>
        <v>232.4666666666667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69.523975901843713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projet'!$B$9,Paramètres!$A$1:$I$88,3,0)*VLOOKUP('Données projet'!$B$9,Paramètres!$A$1:$I$88,5,0)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291.58791164009563</v>
      </c>
      <c r="S166" s="62">
        <f ca="1">AVERAGE(OFFSET($R$3,0,0,'Données projet'!$E$9+1,1))-AVERAGE(OFFSET($H$3,0,0,'Données projet'!$E$9+1,1))</f>
        <v>354.71367224254021</v>
      </c>
      <c r="T166" s="62">
        <f t="shared" si="142"/>
        <v>490.074370133397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22.530293076402991</v>
      </c>
      <c r="AA166" s="23">
        <f>EXP(-LN(2)/25)*AA165+(1-EXP(-LN(2)/25))/(LN(2)/25)*Calculateur!V166*Calculateur!X166*VLOOKUP('Données projet'!$B$9,Paramètres!$A$1:$I$88,3,0)*0.475*44/12</f>
        <v>2.130641974460119</v>
      </c>
      <c r="AB166" s="23">
        <f>EXP(-LN(2)/2)*AB165+(1-EXP(-LN(2)/2))/(LN(2)/2)*V166*Y166*VLOOKUP('Données projet'!$B$9,Paramètres!$A$1:$I$88,3,0)*0.475*44/12</f>
        <v>1.7874295081298928E-16</v>
      </c>
      <c r="AC166" s="24">
        <f t="shared" si="163"/>
        <v>24.66093505086311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69.523975901843713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2.2737367544323206E-13</v>
      </c>
      <c r="AJ166" s="14">
        <f>AI166*VLOOKUP('Données projet'!$B$10,Paramètres!$A$1:$I$88,3,0)*VLOOKUP('Données projet'!$B$10,Paramètres!$A$1:$I$88,5,0)</f>
        <v>1.3596945791505279E-13</v>
      </c>
      <c r="AK166" s="14">
        <f t="shared" si="164"/>
        <v>1.9708830566360721E-12</v>
      </c>
      <c r="AL166" s="22">
        <f t="shared" si="165"/>
        <v>3.669434796176543E-12</v>
      </c>
      <c r="AM166" s="62">
        <f t="shared" si="113"/>
        <v>291.58791164009733</v>
      </c>
      <c r="AN166" s="62">
        <f ca="1">AVERAGE(OFFSET($AM$3,0,0,'Données projet'!$E$10+1,1))-AVERAGE(OFFSET($H$3,0,0,'Données projet'!$E$10+1,1))</f>
        <v>264.73276096087574</v>
      </c>
      <c r="AO166" s="62">
        <f t="shared" si="144"/>
        <v>381.84464918049662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projet'!$B$10,Paramètres!$A$1:$I$88,3,0)*0.475*44/12</f>
        <v>15.800637698672151</v>
      </c>
      <c r="AV166" s="23">
        <f>EXP(-LN(2)/25)*AV165+(1-EXP(-LN(2)/25))/(LN(2)/25)*Calculateur!AQ166*Calculateur!AS166*VLOOKUP('Données projet'!$B$10,Paramètres!$A$1:$I$88,3,0)*0.475*44/12</f>
        <v>1.4968445182526122</v>
      </c>
      <c r="AW166" s="23">
        <f>EXP(-LN(2)/2)*AW165+(1-EXP(-LN(2)/2))/(LN(2)/2)*AQ166*AT166*VLOOKUP('Données projet'!$B$10,Paramètres!$A$1:$I$88,3,0)*0.475*44/12</f>
        <v>1.2515729520679359E-16</v>
      </c>
      <c r="AX166" s="23">
        <f t="shared" si="166"/>
        <v>17.297482216924763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69.523975901843713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-2.8421709430404007E-13</v>
      </c>
      <c r="BE166" s="14">
        <f>BD166*VLOOKUP('Données projet'!$B$11,Paramètres!$A$1:$I$88,3,0)*VLOOKUP('Données projet'!$B$11,Paramètres!$A$1:$I$88,5,0)</f>
        <v>-3.2366642699344083E-13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470.57532875732056</v>
      </c>
      <c r="BJ166" s="62">
        <f t="shared" si="146"/>
        <v>286.63787681165888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projet'!$B$11,Paramètres!$A$1:$I$88,3,0)*0.475*44/12</f>
        <v>69.309521820039905</v>
      </c>
      <c r="BQ166" s="23">
        <f>EXP(-LN(2)/25)*BQ165+(1-EXP(-LN(2)/25))/(LN(2)/25)*Calculateur!BL166*Calculateur!BN166*VLOOKUP('Données projet'!$B$11,Paramètres!$A$1:$I$88,3,0)*0.475*44/12</f>
        <v>0</v>
      </c>
      <c r="BR166" s="23">
        <f>EXP(-LN(2)/2)*BR165+(1-EXP(-LN(2)/2))/(LN(2)/2)*BL166*BO166*VLOOKUP('Données projet'!$B$11,Paramètres!$A$1:$I$88,3,0)*0.475*44/12</f>
        <v>0</v>
      </c>
      <c r="BS166" s="24">
        <f t="shared" si="169"/>
        <v>69.309521820039905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69.523975901843713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-2.2737367544323206E-13</v>
      </c>
      <c r="BZ166" s="14">
        <f>BY166*VLOOKUP('Données projet'!$B$12,Paramètres!$A$1:$I$88,3,0)*VLOOKUP('Données projet'!$B$12,Paramètres!$A$1:$I$88,5,0)</f>
        <v>-1.4897523215040565E-13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305.38855494899906</v>
      </c>
      <c r="CE166" s="62">
        <f t="shared" si="148"/>
        <v>298.48106301229177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projet'!$B$12,Paramètres!$A$1:$I$88,3,0)*0.475*44/12</f>
        <v>16.385846109683282</v>
      </c>
      <c r="CL166" s="23">
        <f>EXP(-LN(2)/25)*CL165+(1-EXP(-LN(2)/25))/(LN(2)/25)*Calculateur!CG166*Calculateur!CI166*VLOOKUP('Données projet'!$B$12,Paramètres!$A$1:$I$88,3,0)*0.475*44/12</f>
        <v>0</v>
      </c>
      <c r="CM166" s="23">
        <f>EXP(-LN(2)/2)*CM165+(1-EXP(-LN(2)/2))/(LN(2)/2)*CG166*CJ166*VLOOKUP('Données projet'!$B$12,Paramètres!$A$1:$I$88,3,0)*0.475*44/12</f>
        <v>0</v>
      </c>
      <c r="CN166" s="24">
        <f t="shared" si="172"/>
        <v>16.385846109683282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69.523975901843713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-2.2737367544323206E-13</v>
      </c>
      <c r="CU166" s="18">
        <f>CT166*VLOOKUP('Données projet'!$B$13,Paramètres!$A$1:$I$88,3,0)*VLOOKUP('Données projet'!$B$13,Paramètres!$A$1:$I$88,5,0)</f>
        <v>-1.8089849618263545E-13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361.30066984973894</v>
      </c>
      <c r="CZ166" s="62">
        <f t="shared" si="150"/>
        <v>351.78053157121622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projet'!$B$13,Paramètres!$A$1:$I$88,3,0)*0.475*44/12</f>
        <v>24.524331137582433</v>
      </c>
      <c r="DG166" s="23">
        <f>EXP(-LN(2)/25)*DG165+(1-EXP(-LN(2)/25))/(LN(2)/25)*Calculateur!DB166*Calculateur!DD166*VLOOKUP('Données projet'!$B$13,Paramètres!$A$1:$I$88,3,0)*0.475*44/12</f>
        <v>0</v>
      </c>
      <c r="DH166" s="23">
        <f>EXP(-LN(2)/2)*DH165+(1-EXP(-LN(2)/2))/(LN(2)/2)*DB166*DE166*VLOOKUP('Données projet'!$B$13,Paramètres!$A$1:$I$88,3,0)*0.475*44/12</f>
        <v>0</v>
      </c>
      <c r="DI166" s="24">
        <f t="shared" si="175"/>
        <v>24.524331137582433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69.523975901843713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>
        <f>DO166*VLOOKUP('Données projet'!$B$14,Paramètres!$A$1:$I$88,3,0)*VLOOKUP('Données projet'!$B$14,Paramètres!$A$1:$I$88,5,0)</f>
        <v>0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91.201152634762423</v>
      </c>
      <c r="DU166" s="62">
        <f t="shared" si="152"/>
        <v>233.36981992862445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projet'!$B$14,Paramètres!$A$1:$I$88,3,0)*0.475*44/12</f>
        <v>2.9763377425308053</v>
      </c>
      <c r="EB166" s="23">
        <f>EXP(-LN(2)/25)*EB165+(1-EXP(-LN(2)/25))/(LN(2)/25)*Calculateur!DW166*Calculateur!DY166*VLOOKUP('Données projet'!$B$14,Paramètres!$A$1:$I$88,3,0)*0.475*44/12</f>
        <v>0</v>
      </c>
      <c r="EC166" s="23">
        <f>EXP(-LN(2)/2)*EC165+(1-EXP(-LN(2)/2))/(LN(2)/2)*DW166*DZ166*VLOOKUP('Données projet'!$B$14,Paramètres!$A$1:$I$88,3,0)*0.475*44/12</f>
        <v>0</v>
      </c>
      <c r="ED166" s="24">
        <f t="shared" si="178"/>
        <v>2.9763377425308053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69.523975901843713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projet'!$B$15,Paramètres!$A$1:$I$88,3,0)*0.475*44/12</f>
        <v>#N/A</v>
      </c>
      <c r="EW166" s="23" t="e">
        <f>EXP(-LN(2)/25)*EW165+(1-EXP(-LN(2)/25))/(LN(2)/25)*Calculateur!ER166*Calculateur!ET166*VLOOKUP('Données projet'!$B$15,Paramètres!$A$1:$I$88,3,0)*0.475*44/12</f>
        <v>#N/A</v>
      </c>
      <c r="EX166" s="23" t="e">
        <f>EXP(-LN(2)/2)*EX165+(1-EXP(-LN(2)/2))/(LN(2)/2)*ER166*EU166*VLOOKUP('Données projet'!$B$15,Paramètres!$A$1:$I$88,3,0)*0.475*44/12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69.523975901843713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projet'!$B$16,Paramètres!$A$1:$I$88,3,0)*0.475*44/12</f>
        <v>#N/A</v>
      </c>
      <c r="FR166" s="23" t="e">
        <f>EXP(-LN(2)/25)*FR165+(1-EXP(-LN(2)/25))/(LN(2)/25)*Calculateur!FM166*Calculateur!FO166*VLOOKUP('Données projet'!$B$16,Paramètres!$A$1:$I$88,3,0)*0.475*44/12</f>
        <v>#N/A</v>
      </c>
      <c r="FS166" s="23" t="e">
        <f>EXP(-LN(2)/2)*FS165+(1-EXP(-LN(2)/2))/(LN(2)/2)*FM166*FP166*VLOOKUP('Données projet'!$B$16,Paramètres!$A$1:$I$88,3,0)*0.475*44/12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69.523975901843713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projet'!$B$17,Paramètres!$A$1:$I$88,3,0)*0.475*44/12</f>
        <v>#N/A</v>
      </c>
      <c r="GM166" s="23" t="e">
        <f>EXP(-LN(2)/25)*GM165+(1-EXP(-LN(2)/25))/(LN(2)/25)*Calculateur!GH166*Calculateur!GJ166*VLOOKUP('Données projet'!$B$17,Paramètres!$A$1:$I$88,3,0)*0.475*44/12</f>
        <v>#N/A</v>
      </c>
      <c r="GN166" s="23" t="e">
        <f>EXP(-LN(2)/2)*GN165+(1-EXP(-LN(2)/2))/(LN(2)/2)*GH166*GK166*VLOOKUP('Données projet'!$B$17,Paramètres!$A$1:$I$88,3,0)*0.475*44/12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69.523975901843713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projet'!$B$18,Paramètres!$A$1:$I$88,3,0)*0.475*44/12</f>
        <v>#N/A</v>
      </c>
      <c r="HH166" s="23" t="e">
        <f>EXP(-LN(2)/25)*HH165+(1-EXP(-LN(2)/25))/(LN(2)/25)*Calculateur!HC166*Calculateur!HE166*VLOOKUP('Données projet'!$B$18,Paramètres!$A$1:$I$88,3,0)*0.475*44/12</f>
        <v>#N/A</v>
      </c>
      <c r="HI166" s="23" t="e">
        <f>EXP(-LN(2)/2)*HI165+(1-EXP(-LN(2)/2))/(LN(2)/2)*HC166*HF166*VLOOKUP('Données projet'!$B$18,Paramètres!$A$1:$I$88,3,0)*0.475*44/12</f>
        <v>#N/A</v>
      </c>
      <c r="HJ166" s="24" t="e">
        <f t="shared" si="190"/>
        <v>#N/A</v>
      </c>
    </row>
    <row r="167" spans="1:218" x14ac:dyDescent="0.2">
      <c r="A167" s="11">
        <f t="shared" si="161"/>
        <v>164</v>
      </c>
      <c r="B167" s="77">
        <f>'Scénario référence'!$B$16*5+'Scénario référence'!$B$17*0+'Scénario référence'!$B$18*5</f>
        <v>1.6500000000000001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6.0500000000000007</v>
      </c>
      <c r="H167" s="70">
        <f t="shared" si="110"/>
        <v>232.4666666666667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69.532233855716271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projet'!$B$9,Paramètres!$A$1:$I$88,3,0)*VLOOKUP('Données projet'!$B$9,Paramètres!$A$1:$I$88,5,0)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291.61819080429495</v>
      </c>
      <c r="S167" s="62">
        <f ca="1">AVERAGE(OFFSET($R$3,0,0,'Données projet'!$E$9+1,1))-AVERAGE(OFFSET($H$3,0,0,'Données projet'!$E$9+1,1))</f>
        <v>354.71367224254021</v>
      </c>
      <c r="T167" s="62">
        <f t="shared" si="142"/>
        <v>490.074370133397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22.088487771296585</v>
      </c>
      <c r="AA167" s="23">
        <f>EXP(-LN(2)/25)*AA166+(1-EXP(-LN(2)/25))/(LN(2)/25)*Calculateur!V167*Calculateur!X167*VLOOKUP('Données projet'!$B$9,Paramètres!$A$1:$I$88,3,0)*0.475*44/12</f>
        <v>2.0723794576229153</v>
      </c>
      <c r="AB167" s="23">
        <f>EXP(-LN(2)/2)*AB166+(1-EXP(-LN(2)/2))/(LN(2)/2)*V167*Y167*VLOOKUP('Données projet'!$B$9,Paramètres!$A$1:$I$88,3,0)*0.475*44/12</f>
        <v>1.2639035260915824E-16</v>
      </c>
      <c r="AC167" s="24">
        <f t="shared" si="163"/>
        <v>24.1608672289195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69.532233855716271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2.2737367544323206E-13</v>
      </c>
      <c r="AJ167" s="14">
        <f>AI167*VLOOKUP('Données projet'!$B$10,Paramètres!$A$1:$I$88,3,0)*VLOOKUP('Données projet'!$B$10,Paramètres!$A$1:$I$88,5,0)</f>
        <v>1.3596945791505279E-13</v>
      </c>
      <c r="AK167" s="14">
        <f t="shared" si="164"/>
        <v>1.9708830566360721E-12</v>
      </c>
      <c r="AL167" s="22">
        <f t="shared" si="165"/>
        <v>3.669434796176543E-12</v>
      </c>
      <c r="AM167" s="62">
        <f t="shared" si="113"/>
        <v>291.61819080429666</v>
      </c>
      <c r="AN167" s="62">
        <f ca="1">AVERAGE(OFFSET($AM$3,0,0,'Données projet'!$E$10+1,1))-AVERAGE(OFFSET($H$3,0,0,'Données projet'!$E$10+1,1))</f>
        <v>264.73276096087574</v>
      </c>
      <c r="AO167" s="62">
        <f t="shared" si="144"/>
        <v>381.84464918049662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projet'!$B$10,Paramètres!$A$1:$I$88,3,0)*0.475*44/12</f>
        <v>15.490796830838569</v>
      </c>
      <c r="AV167" s="23">
        <f>EXP(-LN(2)/25)*AV166+(1-EXP(-LN(2)/25))/(LN(2)/25)*Calculateur!AQ167*Calculateur!AS167*VLOOKUP('Données projet'!$B$10,Paramètres!$A$1:$I$88,3,0)*0.475*44/12</f>
        <v>1.4559132261853625</v>
      </c>
      <c r="AW167" s="23">
        <f>EXP(-LN(2)/2)*AW166+(1-EXP(-LN(2)/2))/(LN(2)/2)*AQ167*AT167*VLOOKUP('Données projet'!$B$10,Paramètres!$A$1:$I$88,3,0)*0.475*44/12</f>
        <v>8.8499572155690329E-17</v>
      </c>
      <c r="AX167" s="23">
        <f t="shared" si="166"/>
        <v>16.946710057023932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69.532233855716271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-2.8421709430404007E-13</v>
      </c>
      <c r="BE167" s="14">
        <f>BD167*VLOOKUP('Données projet'!$B$11,Paramètres!$A$1:$I$88,3,0)*VLOOKUP('Données projet'!$B$11,Paramètres!$A$1:$I$88,5,0)</f>
        <v>-3.2366642699344083E-13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470.57532875732056</v>
      </c>
      <c r="BJ167" s="62">
        <f t="shared" si="146"/>
        <v>286.63787681165888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projet'!$B$11,Paramètres!$A$1:$I$88,3,0)*0.475*44/12</f>
        <v>67.950404371782952</v>
      </c>
      <c r="BQ167" s="23">
        <f>EXP(-LN(2)/25)*BQ166+(1-EXP(-LN(2)/25))/(LN(2)/25)*Calculateur!BL167*Calculateur!BN167*VLOOKUP('Données projet'!$B$11,Paramètres!$A$1:$I$88,3,0)*0.475*44/12</f>
        <v>0</v>
      </c>
      <c r="BR167" s="23">
        <f>EXP(-LN(2)/2)*BR166+(1-EXP(-LN(2)/2))/(LN(2)/2)*BL167*BO167*VLOOKUP('Données projet'!$B$11,Paramètres!$A$1:$I$88,3,0)*0.475*44/12</f>
        <v>0</v>
      </c>
      <c r="BS167" s="24">
        <f t="shared" si="169"/>
        <v>67.950404371782952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69.532233855716271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-2.2737367544323206E-13</v>
      </c>
      <c r="BZ167" s="14">
        <f>BY167*VLOOKUP('Données projet'!$B$12,Paramètres!$A$1:$I$88,3,0)*VLOOKUP('Données projet'!$B$12,Paramètres!$A$1:$I$88,5,0)</f>
        <v>-1.4897523215040565E-13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305.38855494899906</v>
      </c>
      <c r="CE167" s="62">
        <f t="shared" si="148"/>
        <v>298.48106301229177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projet'!$B$12,Paramètres!$A$1:$I$88,3,0)*0.475*44/12</f>
        <v>16.064529661851658</v>
      </c>
      <c r="CL167" s="23">
        <f>EXP(-LN(2)/25)*CL166+(1-EXP(-LN(2)/25))/(LN(2)/25)*Calculateur!CG167*Calculateur!CI167*VLOOKUP('Données projet'!$B$12,Paramètres!$A$1:$I$88,3,0)*0.475*44/12</f>
        <v>0</v>
      </c>
      <c r="CM167" s="23">
        <f>EXP(-LN(2)/2)*CM166+(1-EXP(-LN(2)/2))/(LN(2)/2)*CG167*CJ167*VLOOKUP('Données projet'!$B$12,Paramètres!$A$1:$I$88,3,0)*0.475*44/12</f>
        <v>0</v>
      </c>
      <c r="CN167" s="24">
        <f t="shared" si="172"/>
        <v>16.064529661851658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69.532233855716271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-2.2737367544323206E-13</v>
      </c>
      <c r="CU167" s="18">
        <f>CT167*VLOOKUP('Données projet'!$B$13,Paramètres!$A$1:$I$88,3,0)*VLOOKUP('Données projet'!$B$13,Paramètres!$A$1:$I$88,5,0)</f>
        <v>-1.8089849618263545E-13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361.30066984973894</v>
      </c>
      <c r="CZ167" s="62">
        <f t="shared" si="150"/>
        <v>351.78053157121622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projet'!$B$13,Paramètres!$A$1:$I$88,3,0)*0.475*44/12</f>
        <v>24.043423962339418</v>
      </c>
      <c r="DG167" s="23">
        <f>EXP(-LN(2)/25)*DG166+(1-EXP(-LN(2)/25))/(LN(2)/25)*Calculateur!DB167*Calculateur!DD167*VLOOKUP('Données projet'!$B$13,Paramètres!$A$1:$I$88,3,0)*0.475*44/12</f>
        <v>0</v>
      </c>
      <c r="DH167" s="23">
        <f>EXP(-LN(2)/2)*DH166+(1-EXP(-LN(2)/2))/(LN(2)/2)*DB167*DE167*VLOOKUP('Données projet'!$B$13,Paramètres!$A$1:$I$88,3,0)*0.475*44/12</f>
        <v>0</v>
      </c>
      <c r="DI167" s="24">
        <f t="shared" si="175"/>
        <v>24.043423962339418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69.532233855716271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>
        <f>DO167*VLOOKUP('Données projet'!$B$14,Paramètres!$A$1:$I$88,3,0)*VLOOKUP('Données projet'!$B$14,Paramètres!$A$1:$I$88,5,0)</f>
        <v>0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91.201152634762423</v>
      </c>
      <c r="DU167" s="62">
        <f t="shared" si="152"/>
        <v>233.36981992862445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projet'!$B$14,Paramètres!$A$1:$I$88,3,0)*0.475*44/12</f>
        <v>2.9179735747865445</v>
      </c>
      <c r="EB167" s="23">
        <f>EXP(-LN(2)/25)*EB166+(1-EXP(-LN(2)/25))/(LN(2)/25)*Calculateur!DW167*Calculateur!DY167*VLOOKUP('Données projet'!$B$14,Paramètres!$A$1:$I$88,3,0)*0.475*44/12</f>
        <v>0</v>
      </c>
      <c r="EC167" s="23">
        <f>EXP(-LN(2)/2)*EC166+(1-EXP(-LN(2)/2))/(LN(2)/2)*DW167*DZ167*VLOOKUP('Données projet'!$B$14,Paramètres!$A$1:$I$88,3,0)*0.475*44/12</f>
        <v>0</v>
      </c>
      <c r="ED167" s="24">
        <f t="shared" si="178"/>
        <v>2.9179735747865445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69.532233855716271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projet'!$B$15,Paramètres!$A$1:$I$88,3,0)*0.475*44/12</f>
        <v>#N/A</v>
      </c>
      <c r="EW167" s="23" t="e">
        <f>EXP(-LN(2)/25)*EW166+(1-EXP(-LN(2)/25))/(LN(2)/25)*Calculateur!ER167*Calculateur!ET167*VLOOKUP('Données projet'!$B$15,Paramètres!$A$1:$I$88,3,0)*0.475*44/12</f>
        <v>#N/A</v>
      </c>
      <c r="EX167" s="23" t="e">
        <f>EXP(-LN(2)/2)*EX166+(1-EXP(-LN(2)/2))/(LN(2)/2)*ER167*EU167*VLOOKUP('Données projet'!$B$15,Paramètres!$A$1:$I$88,3,0)*0.475*44/12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69.532233855716271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projet'!$B$16,Paramètres!$A$1:$I$88,3,0)*0.475*44/12</f>
        <v>#N/A</v>
      </c>
      <c r="FR167" s="23" t="e">
        <f>EXP(-LN(2)/25)*FR166+(1-EXP(-LN(2)/25))/(LN(2)/25)*Calculateur!FM167*Calculateur!FO167*VLOOKUP('Données projet'!$B$16,Paramètres!$A$1:$I$88,3,0)*0.475*44/12</f>
        <v>#N/A</v>
      </c>
      <c r="FS167" s="23" t="e">
        <f>EXP(-LN(2)/2)*FS166+(1-EXP(-LN(2)/2))/(LN(2)/2)*FM167*FP167*VLOOKUP('Données projet'!$B$16,Paramètres!$A$1:$I$88,3,0)*0.475*44/12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69.532233855716271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projet'!$B$17,Paramètres!$A$1:$I$88,3,0)*0.475*44/12</f>
        <v>#N/A</v>
      </c>
      <c r="GM167" s="23" t="e">
        <f>EXP(-LN(2)/25)*GM166+(1-EXP(-LN(2)/25))/(LN(2)/25)*Calculateur!GH167*Calculateur!GJ167*VLOOKUP('Données projet'!$B$17,Paramètres!$A$1:$I$88,3,0)*0.475*44/12</f>
        <v>#N/A</v>
      </c>
      <c r="GN167" s="23" t="e">
        <f>EXP(-LN(2)/2)*GN166+(1-EXP(-LN(2)/2))/(LN(2)/2)*GH167*GK167*VLOOKUP('Données projet'!$B$17,Paramètres!$A$1:$I$88,3,0)*0.475*44/12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69.532233855716271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projet'!$B$18,Paramètres!$A$1:$I$88,3,0)*0.475*44/12</f>
        <v>#N/A</v>
      </c>
      <c r="HH167" s="23" t="e">
        <f>EXP(-LN(2)/25)*HH166+(1-EXP(-LN(2)/25))/(LN(2)/25)*Calculateur!HC167*Calculateur!HE167*VLOOKUP('Données projet'!$B$18,Paramètres!$A$1:$I$88,3,0)*0.475*44/12</f>
        <v>#N/A</v>
      </c>
      <c r="HI167" s="23" t="e">
        <f>EXP(-LN(2)/2)*HI166+(1-EXP(-LN(2)/2))/(LN(2)/2)*HC167*HF167*VLOOKUP('Données projet'!$B$18,Paramètres!$A$1:$I$88,3,0)*0.475*44/12</f>
        <v>#N/A</v>
      </c>
      <c r="HJ167" s="24" t="e">
        <f t="shared" si="190"/>
        <v>#N/A</v>
      </c>
    </row>
    <row r="168" spans="1:218" x14ac:dyDescent="0.2">
      <c r="A168" s="11">
        <f t="shared" si="161"/>
        <v>165</v>
      </c>
      <c r="B168" s="77">
        <f>'Scénario référence'!$B$16*5+'Scénario référence'!$B$17*0+'Scénario référence'!$B$18*5</f>
        <v>1.6500000000000001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6.0500000000000007</v>
      </c>
      <c r="H168" s="70">
        <f t="shared" si="110"/>
        <v>232.4666666666667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69.540348552551166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projet'!$B$9,Paramètres!$A$1:$I$88,3,0)*VLOOKUP('Données projet'!$B$9,Paramètres!$A$1:$I$88,5,0)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291.64794469268958</v>
      </c>
      <c r="S168" s="62">
        <f ca="1">AVERAGE(OFFSET($R$3,0,0,'Données projet'!$E$9+1,1))-AVERAGE(OFFSET($H$3,0,0,'Données projet'!$E$9+1,1))</f>
        <v>354.71367224254021</v>
      </c>
      <c r="T168" s="62">
        <f t="shared" si="142"/>
        <v>490.074370133397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21.655345998748686</v>
      </c>
      <c r="AA168" s="23">
        <f>EXP(-LN(2)/25)*AA167+(1-EXP(-LN(2)/25))/(LN(2)/25)*Calculateur!V168*Calculateur!X168*VLOOKUP('Données projet'!$B$9,Paramètres!$A$1:$I$88,3,0)*0.475*44/12</f>
        <v>2.0157101323725173</v>
      </c>
      <c r="AB168" s="23">
        <f>EXP(-LN(2)/2)*AB167+(1-EXP(-LN(2)/2))/(LN(2)/2)*V168*Y168*VLOOKUP('Données projet'!$B$9,Paramètres!$A$1:$I$88,3,0)*0.475*44/12</f>
        <v>8.9371475406494642E-17</v>
      </c>
      <c r="AC168" s="24">
        <f t="shared" si="163"/>
        <v>23.671056131121205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69.540348552551166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2.2737367544323206E-13</v>
      </c>
      <c r="AJ168" s="14">
        <f>AI168*VLOOKUP('Données projet'!$B$10,Paramètres!$A$1:$I$88,3,0)*VLOOKUP('Données projet'!$B$10,Paramètres!$A$1:$I$88,5,0)</f>
        <v>1.3596945791505279E-13</v>
      </c>
      <c r="AK168" s="14">
        <f t="shared" si="164"/>
        <v>1.9708830566360721E-12</v>
      </c>
      <c r="AL168" s="22">
        <f t="shared" si="165"/>
        <v>3.669434796176543E-12</v>
      </c>
      <c r="AM168" s="62">
        <f t="shared" si="113"/>
        <v>291.64794469269128</v>
      </c>
      <c r="AN168" s="62">
        <f ca="1">AVERAGE(OFFSET($AM$3,0,0,'Données projet'!$E$10+1,1))-AVERAGE(OFFSET($H$3,0,0,'Données projet'!$E$10+1,1))</f>
        <v>264.73276096087574</v>
      </c>
      <c r="AO168" s="62">
        <f t="shared" si="144"/>
        <v>381.84464918049662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projet'!$B$10,Paramètres!$A$1:$I$88,3,0)*0.475*44/12</f>
        <v>15.187031753438934</v>
      </c>
      <c r="AV168" s="23">
        <f>EXP(-LN(2)/25)*AV167+(1-EXP(-LN(2)/25))/(LN(2)/25)*Calculateur!AQ168*Calculateur!AS168*VLOOKUP('Données projet'!$B$10,Paramètres!$A$1:$I$88,3,0)*0.475*44/12</f>
        <v>1.4161012024521746</v>
      </c>
      <c r="AW168" s="23">
        <f>EXP(-LN(2)/2)*AW167+(1-EXP(-LN(2)/2))/(LN(2)/2)*AQ168*AT168*VLOOKUP('Données projet'!$B$10,Paramètres!$A$1:$I$88,3,0)*0.475*44/12</f>
        <v>6.2578647603396795E-17</v>
      </c>
      <c r="AX168" s="23">
        <f t="shared" si="166"/>
        <v>16.603132955891109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69.540348552551166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-2.8421709430404007E-13</v>
      </c>
      <c r="BE168" s="14">
        <f>BD168*VLOOKUP('Données projet'!$B$11,Paramètres!$A$1:$I$88,3,0)*VLOOKUP('Données projet'!$B$11,Paramètres!$A$1:$I$88,5,0)</f>
        <v>-3.2366642699344083E-13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470.57532875732056</v>
      </c>
      <c r="BJ168" s="62">
        <f t="shared" si="146"/>
        <v>286.63787681165888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projet'!$B$11,Paramètres!$A$1:$I$88,3,0)*0.475*44/12</f>
        <v>66.617938387706531</v>
      </c>
      <c r="BQ168" s="23">
        <f>EXP(-LN(2)/25)*BQ167+(1-EXP(-LN(2)/25))/(LN(2)/25)*Calculateur!BL168*Calculateur!BN168*VLOOKUP('Données projet'!$B$11,Paramètres!$A$1:$I$88,3,0)*0.475*44/12</f>
        <v>0</v>
      </c>
      <c r="BR168" s="23">
        <f>EXP(-LN(2)/2)*BR167+(1-EXP(-LN(2)/2))/(LN(2)/2)*BL168*BO168*VLOOKUP('Données projet'!$B$11,Paramètres!$A$1:$I$88,3,0)*0.475*44/12</f>
        <v>0</v>
      </c>
      <c r="BS168" s="24">
        <f t="shared" si="169"/>
        <v>66.617938387706531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69.540348552551166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-2.2737367544323206E-13</v>
      </c>
      <c r="BZ168" s="14">
        <f>BY168*VLOOKUP('Données projet'!$B$12,Paramètres!$A$1:$I$88,3,0)*VLOOKUP('Données projet'!$B$12,Paramètres!$A$1:$I$88,5,0)</f>
        <v>-1.4897523215040565E-13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305.38855494899906</v>
      </c>
      <c r="CE168" s="62">
        <f t="shared" si="148"/>
        <v>298.48106301229177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projet'!$B$12,Paramètres!$A$1:$I$88,3,0)*0.475*44/12</f>
        <v>15.749514033578329</v>
      </c>
      <c r="CL168" s="23">
        <f>EXP(-LN(2)/25)*CL167+(1-EXP(-LN(2)/25))/(LN(2)/25)*Calculateur!CG168*Calculateur!CI168*VLOOKUP('Données projet'!$B$12,Paramètres!$A$1:$I$88,3,0)*0.475*44/12</f>
        <v>0</v>
      </c>
      <c r="CM168" s="23">
        <f>EXP(-LN(2)/2)*CM167+(1-EXP(-LN(2)/2))/(LN(2)/2)*CG168*CJ168*VLOOKUP('Données projet'!$B$12,Paramètres!$A$1:$I$88,3,0)*0.475*44/12</f>
        <v>0</v>
      </c>
      <c r="CN168" s="24">
        <f t="shared" si="172"/>
        <v>15.749514033578329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69.540348552551166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-2.2737367544323206E-13</v>
      </c>
      <c r="CU168" s="18">
        <f>CT168*VLOOKUP('Données projet'!$B$13,Paramètres!$A$1:$I$88,3,0)*VLOOKUP('Données projet'!$B$13,Paramètres!$A$1:$I$88,5,0)</f>
        <v>-1.8089849618263545E-13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361.30066984973894</v>
      </c>
      <c r="CZ168" s="62">
        <f t="shared" si="150"/>
        <v>351.78053157121622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projet'!$B$13,Paramètres!$A$1:$I$88,3,0)*0.475*44/12</f>
        <v>23.571947083478506</v>
      </c>
      <c r="DG168" s="23">
        <f>EXP(-LN(2)/25)*DG167+(1-EXP(-LN(2)/25))/(LN(2)/25)*Calculateur!DB168*Calculateur!DD168*VLOOKUP('Données projet'!$B$13,Paramètres!$A$1:$I$88,3,0)*0.475*44/12</f>
        <v>0</v>
      </c>
      <c r="DH168" s="23">
        <f>EXP(-LN(2)/2)*DH167+(1-EXP(-LN(2)/2))/(LN(2)/2)*DB168*DE168*VLOOKUP('Données projet'!$B$13,Paramètres!$A$1:$I$88,3,0)*0.475*44/12</f>
        <v>0</v>
      </c>
      <c r="DI168" s="24">
        <f t="shared" si="175"/>
        <v>23.571947083478506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69.540348552551166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>
        <f>DO168*VLOOKUP('Données projet'!$B$14,Paramètres!$A$1:$I$88,3,0)*VLOOKUP('Données projet'!$B$14,Paramètres!$A$1:$I$88,5,0)</f>
        <v>0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91.201152634762423</v>
      </c>
      <c r="DU168" s="62">
        <f t="shared" si="152"/>
        <v>233.36981992862445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projet'!$B$14,Paramètres!$A$1:$I$88,3,0)*0.475*44/12</f>
        <v>2.8607538927731215</v>
      </c>
      <c r="EB168" s="23">
        <f>EXP(-LN(2)/25)*EB167+(1-EXP(-LN(2)/25))/(LN(2)/25)*Calculateur!DW168*Calculateur!DY168*VLOOKUP('Données projet'!$B$14,Paramètres!$A$1:$I$88,3,0)*0.475*44/12</f>
        <v>0</v>
      </c>
      <c r="EC168" s="23">
        <f>EXP(-LN(2)/2)*EC167+(1-EXP(-LN(2)/2))/(LN(2)/2)*DW168*DZ168*VLOOKUP('Données projet'!$B$14,Paramètres!$A$1:$I$88,3,0)*0.475*44/12</f>
        <v>0</v>
      </c>
      <c r="ED168" s="24">
        <f t="shared" si="178"/>
        <v>2.8607538927731215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69.540348552551166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projet'!$B$15,Paramètres!$A$1:$I$88,3,0)*0.475*44/12</f>
        <v>#N/A</v>
      </c>
      <c r="EW168" s="23" t="e">
        <f>EXP(-LN(2)/25)*EW167+(1-EXP(-LN(2)/25))/(LN(2)/25)*Calculateur!ER168*Calculateur!ET168*VLOOKUP('Données projet'!$B$15,Paramètres!$A$1:$I$88,3,0)*0.475*44/12</f>
        <v>#N/A</v>
      </c>
      <c r="EX168" s="23" t="e">
        <f>EXP(-LN(2)/2)*EX167+(1-EXP(-LN(2)/2))/(LN(2)/2)*ER168*EU168*VLOOKUP('Données projet'!$B$15,Paramètres!$A$1:$I$88,3,0)*0.475*44/12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69.540348552551166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projet'!$B$16,Paramètres!$A$1:$I$88,3,0)*0.475*44/12</f>
        <v>#N/A</v>
      </c>
      <c r="FR168" s="23" t="e">
        <f>EXP(-LN(2)/25)*FR167+(1-EXP(-LN(2)/25))/(LN(2)/25)*Calculateur!FM168*Calculateur!FO168*VLOOKUP('Données projet'!$B$16,Paramètres!$A$1:$I$88,3,0)*0.475*44/12</f>
        <v>#N/A</v>
      </c>
      <c r="FS168" s="23" t="e">
        <f>EXP(-LN(2)/2)*FS167+(1-EXP(-LN(2)/2))/(LN(2)/2)*FM168*FP168*VLOOKUP('Données projet'!$B$16,Paramètres!$A$1:$I$88,3,0)*0.475*44/12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69.540348552551166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projet'!$B$17,Paramètres!$A$1:$I$88,3,0)*0.475*44/12</f>
        <v>#N/A</v>
      </c>
      <c r="GM168" s="23" t="e">
        <f>EXP(-LN(2)/25)*GM167+(1-EXP(-LN(2)/25))/(LN(2)/25)*Calculateur!GH168*Calculateur!GJ168*VLOOKUP('Données projet'!$B$17,Paramètres!$A$1:$I$88,3,0)*0.475*44/12</f>
        <v>#N/A</v>
      </c>
      <c r="GN168" s="23" t="e">
        <f>EXP(-LN(2)/2)*GN167+(1-EXP(-LN(2)/2))/(LN(2)/2)*GH168*GK168*VLOOKUP('Données projet'!$B$17,Paramètres!$A$1:$I$88,3,0)*0.475*44/12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69.540348552551166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projet'!$B$18,Paramètres!$A$1:$I$88,3,0)*0.475*44/12</f>
        <v>#N/A</v>
      </c>
      <c r="HH168" s="23" t="e">
        <f>EXP(-LN(2)/25)*HH167+(1-EXP(-LN(2)/25))/(LN(2)/25)*Calculateur!HC168*Calculateur!HE168*VLOOKUP('Données projet'!$B$18,Paramètres!$A$1:$I$88,3,0)*0.475*44/12</f>
        <v>#N/A</v>
      </c>
      <c r="HI168" s="23" t="e">
        <f>EXP(-LN(2)/2)*HI167+(1-EXP(-LN(2)/2))/(LN(2)/2)*HC168*HF168*VLOOKUP('Données projet'!$B$18,Paramètres!$A$1:$I$88,3,0)*0.475*44/12</f>
        <v>#N/A</v>
      </c>
      <c r="HJ168" s="24" t="e">
        <f t="shared" si="190"/>
        <v>#N/A</v>
      </c>
    </row>
    <row r="169" spans="1:218" x14ac:dyDescent="0.2">
      <c r="A169" s="11">
        <f t="shared" si="161"/>
        <v>166</v>
      </c>
      <c r="B169" s="77">
        <f>'Scénario référence'!$B$16*5+'Scénario référence'!$B$17*0+'Scénario référence'!$B$18*5</f>
        <v>1.6500000000000001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6.0500000000000007</v>
      </c>
      <c r="H169" s="70">
        <f t="shared" si="110"/>
        <v>232.4666666666667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69.54832247753771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projet'!$B$9,Paramètres!$A$1:$I$88,3,0)*VLOOKUP('Données projet'!$B$9,Paramètres!$A$1:$I$88,5,0)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291.67718241764027</v>
      </c>
      <c r="S169" s="62">
        <f ca="1">AVERAGE(OFFSET($R$3,0,0,'Données projet'!$E$9+1,1))-AVERAGE(OFFSET($H$3,0,0,'Données projet'!$E$9+1,1))</f>
        <v>354.71367224254021</v>
      </c>
      <c r="T169" s="62">
        <f t="shared" si="142"/>
        <v>490.074370133397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21.230697872170058</v>
      </c>
      <c r="AA169" s="23">
        <f>EXP(-LN(2)/25)*AA168+(1-EXP(-LN(2)/25))/(LN(2)/25)*Calculateur!V169*Calculateur!X169*VLOOKUP('Données projet'!$B$9,Paramètres!$A$1:$I$88,3,0)*0.475*44/12</f>
        <v>1.9605904328012018</v>
      </c>
      <c r="AB169" s="23">
        <f>EXP(-LN(2)/2)*AB168+(1-EXP(-LN(2)/2))/(LN(2)/2)*V169*Y169*VLOOKUP('Données projet'!$B$9,Paramètres!$A$1:$I$88,3,0)*0.475*44/12</f>
        <v>6.3195176304579119E-17</v>
      </c>
      <c r="AC169" s="24">
        <f t="shared" si="163"/>
        <v>23.191288304971259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69.54832247753771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2.2737367544323206E-13</v>
      </c>
      <c r="AJ169" s="14">
        <f>AI169*VLOOKUP('Données projet'!$B$10,Paramètres!$A$1:$I$88,3,0)*VLOOKUP('Données projet'!$B$10,Paramètres!$A$1:$I$88,5,0)</f>
        <v>1.3596945791505279E-13</v>
      </c>
      <c r="AK169" s="14">
        <f t="shared" si="164"/>
        <v>1.9708830566360721E-12</v>
      </c>
      <c r="AL169" s="22">
        <f t="shared" si="165"/>
        <v>3.669434796176543E-12</v>
      </c>
      <c r="AM169" s="62">
        <f t="shared" si="113"/>
        <v>291.67718241764197</v>
      </c>
      <c r="AN169" s="62">
        <f ca="1">AVERAGE(OFFSET($AM$3,0,0,'Données projet'!$E$10+1,1))-AVERAGE(OFFSET($H$3,0,0,'Données projet'!$E$10+1,1))</f>
        <v>264.73276096087574</v>
      </c>
      <c r="AO169" s="62">
        <f t="shared" si="144"/>
        <v>381.84464918049662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projet'!$B$10,Paramètres!$A$1:$I$88,3,0)*0.475*44/12</f>
        <v>14.889223323928704</v>
      </c>
      <c r="AV169" s="23">
        <f>EXP(-LN(2)/25)*AV168+(1-EXP(-LN(2)/25))/(LN(2)/25)*Calculateur!AQ169*Calculateur!AS169*VLOOKUP('Données projet'!$B$10,Paramètres!$A$1:$I$88,3,0)*0.475*44/12</f>
        <v>1.3773778406015942</v>
      </c>
      <c r="AW169" s="23">
        <f>EXP(-LN(2)/2)*AW168+(1-EXP(-LN(2)/2))/(LN(2)/2)*AQ169*AT169*VLOOKUP('Données projet'!$B$10,Paramètres!$A$1:$I$88,3,0)*0.475*44/12</f>
        <v>4.4249786077845165E-17</v>
      </c>
      <c r="AX169" s="23">
        <f t="shared" si="166"/>
        <v>16.266601164530297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69.54832247753771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-2.8421709430404007E-13</v>
      </c>
      <c r="BE169" s="14">
        <f>BD169*VLOOKUP('Données projet'!$B$11,Paramètres!$A$1:$I$88,3,0)*VLOOKUP('Données projet'!$B$11,Paramètres!$A$1:$I$88,5,0)</f>
        <v>-3.2366642699344083E-13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470.57532875732056</v>
      </c>
      <c r="BJ169" s="62">
        <f t="shared" si="146"/>
        <v>286.63787681165888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projet'!$B$11,Paramètres!$A$1:$I$88,3,0)*0.475*44/12</f>
        <v>65.311601248853847</v>
      </c>
      <c r="BQ169" s="23">
        <f>EXP(-LN(2)/25)*BQ168+(1-EXP(-LN(2)/25))/(LN(2)/25)*Calculateur!BL169*Calculateur!BN169*VLOOKUP('Données projet'!$B$11,Paramètres!$A$1:$I$88,3,0)*0.475*44/12</f>
        <v>0</v>
      </c>
      <c r="BR169" s="23">
        <f>EXP(-LN(2)/2)*BR168+(1-EXP(-LN(2)/2))/(LN(2)/2)*BL169*BO169*VLOOKUP('Données projet'!$B$11,Paramètres!$A$1:$I$88,3,0)*0.475*44/12</f>
        <v>0</v>
      </c>
      <c r="BS169" s="24">
        <f t="shared" si="169"/>
        <v>65.311601248853847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69.54832247753771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-2.2737367544323206E-13</v>
      </c>
      <c r="BZ169" s="14">
        <f>BY169*VLOOKUP('Données projet'!$B$12,Paramètres!$A$1:$I$88,3,0)*VLOOKUP('Données projet'!$B$12,Paramètres!$A$1:$I$88,5,0)</f>
        <v>-1.4897523215040565E-13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305.38855494899906</v>
      </c>
      <c r="CE169" s="62">
        <f t="shared" si="148"/>
        <v>298.48106301229177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projet'!$B$12,Paramètres!$A$1:$I$88,3,0)*0.475*44/12</f>
        <v>15.44067566963488</v>
      </c>
      <c r="CL169" s="23">
        <f>EXP(-LN(2)/25)*CL168+(1-EXP(-LN(2)/25))/(LN(2)/25)*Calculateur!CG169*Calculateur!CI169*VLOOKUP('Données projet'!$B$12,Paramètres!$A$1:$I$88,3,0)*0.475*44/12</f>
        <v>0</v>
      </c>
      <c r="CM169" s="23">
        <f>EXP(-LN(2)/2)*CM168+(1-EXP(-LN(2)/2))/(LN(2)/2)*CG169*CJ169*VLOOKUP('Données projet'!$B$12,Paramètres!$A$1:$I$88,3,0)*0.475*44/12</f>
        <v>0</v>
      </c>
      <c r="CN169" s="24">
        <f t="shared" si="172"/>
        <v>15.44067566963488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69.54832247753771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-2.2737367544323206E-13</v>
      </c>
      <c r="CU169" s="18">
        <f>CT169*VLOOKUP('Données projet'!$B$13,Paramètres!$A$1:$I$88,3,0)*VLOOKUP('Données projet'!$B$13,Paramètres!$A$1:$I$88,5,0)</f>
        <v>-1.8089849618263545E-13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361.30066984973894</v>
      </c>
      <c r="CZ169" s="62">
        <f t="shared" si="150"/>
        <v>351.78053157121622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projet'!$B$13,Paramètres!$A$1:$I$88,3,0)*0.475*44/12</f>
        <v>23.109715578639555</v>
      </c>
      <c r="DG169" s="23">
        <f>EXP(-LN(2)/25)*DG168+(1-EXP(-LN(2)/25))/(LN(2)/25)*Calculateur!DB169*Calculateur!DD169*VLOOKUP('Données projet'!$B$13,Paramètres!$A$1:$I$88,3,0)*0.475*44/12</f>
        <v>0</v>
      </c>
      <c r="DH169" s="23">
        <f>EXP(-LN(2)/2)*DH168+(1-EXP(-LN(2)/2))/(LN(2)/2)*DB169*DE169*VLOOKUP('Données projet'!$B$13,Paramètres!$A$1:$I$88,3,0)*0.475*44/12</f>
        <v>0</v>
      </c>
      <c r="DI169" s="24">
        <f t="shared" si="175"/>
        <v>23.109715578639555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69.54832247753771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>
        <f>DO169*VLOOKUP('Données projet'!$B$14,Paramètres!$A$1:$I$88,3,0)*VLOOKUP('Données projet'!$B$14,Paramètres!$A$1:$I$88,5,0)</f>
        <v>0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91.201152634762423</v>
      </c>
      <c r="DU169" s="62">
        <f t="shared" si="152"/>
        <v>233.36981992862445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projet'!$B$14,Paramètres!$A$1:$I$88,3,0)*0.475*44/12</f>
        <v>2.8046562538234219</v>
      </c>
      <c r="EB169" s="23">
        <f>EXP(-LN(2)/25)*EB168+(1-EXP(-LN(2)/25))/(LN(2)/25)*Calculateur!DW169*Calculateur!DY169*VLOOKUP('Données projet'!$B$14,Paramètres!$A$1:$I$88,3,0)*0.475*44/12</f>
        <v>0</v>
      </c>
      <c r="EC169" s="23">
        <f>EXP(-LN(2)/2)*EC168+(1-EXP(-LN(2)/2))/(LN(2)/2)*DW169*DZ169*VLOOKUP('Données projet'!$B$14,Paramètres!$A$1:$I$88,3,0)*0.475*44/12</f>
        <v>0</v>
      </c>
      <c r="ED169" s="24">
        <f t="shared" si="178"/>
        <v>2.8046562538234219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69.54832247753771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projet'!$B$15,Paramètres!$A$1:$I$88,3,0)*0.475*44/12</f>
        <v>#N/A</v>
      </c>
      <c r="EW169" s="23" t="e">
        <f>EXP(-LN(2)/25)*EW168+(1-EXP(-LN(2)/25))/(LN(2)/25)*Calculateur!ER169*Calculateur!ET169*VLOOKUP('Données projet'!$B$15,Paramètres!$A$1:$I$88,3,0)*0.475*44/12</f>
        <v>#N/A</v>
      </c>
      <c r="EX169" s="23" t="e">
        <f>EXP(-LN(2)/2)*EX168+(1-EXP(-LN(2)/2))/(LN(2)/2)*ER169*EU169*VLOOKUP('Données projet'!$B$15,Paramètres!$A$1:$I$88,3,0)*0.475*44/12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69.54832247753771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projet'!$B$16,Paramètres!$A$1:$I$88,3,0)*0.475*44/12</f>
        <v>#N/A</v>
      </c>
      <c r="FR169" s="23" t="e">
        <f>EXP(-LN(2)/25)*FR168+(1-EXP(-LN(2)/25))/(LN(2)/25)*Calculateur!FM169*Calculateur!FO169*VLOOKUP('Données projet'!$B$16,Paramètres!$A$1:$I$88,3,0)*0.475*44/12</f>
        <v>#N/A</v>
      </c>
      <c r="FS169" s="23" t="e">
        <f>EXP(-LN(2)/2)*FS168+(1-EXP(-LN(2)/2))/(LN(2)/2)*FM169*FP169*VLOOKUP('Données projet'!$B$16,Paramètres!$A$1:$I$88,3,0)*0.475*44/12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69.54832247753771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projet'!$B$17,Paramètres!$A$1:$I$88,3,0)*0.475*44/12</f>
        <v>#N/A</v>
      </c>
      <c r="GM169" s="23" t="e">
        <f>EXP(-LN(2)/25)*GM168+(1-EXP(-LN(2)/25))/(LN(2)/25)*Calculateur!GH169*Calculateur!GJ169*VLOOKUP('Données projet'!$B$17,Paramètres!$A$1:$I$88,3,0)*0.475*44/12</f>
        <v>#N/A</v>
      </c>
      <c r="GN169" s="23" t="e">
        <f>EXP(-LN(2)/2)*GN168+(1-EXP(-LN(2)/2))/(LN(2)/2)*GH169*GK169*VLOOKUP('Données projet'!$B$17,Paramètres!$A$1:$I$88,3,0)*0.475*44/12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69.54832247753771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projet'!$B$18,Paramètres!$A$1:$I$88,3,0)*0.475*44/12</f>
        <v>#N/A</v>
      </c>
      <c r="HH169" s="23" t="e">
        <f>EXP(-LN(2)/25)*HH168+(1-EXP(-LN(2)/25))/(LN(2)/25)*Calculateur!HC169*Calculateur!HE169*VLOOKUP('Données projet'!$B$18,Paramètres!$A$1:$I$88,3,0)*0.475*44/12</f>
        <v>#N/A</v>
      </c>
      <c r="HI169" s="23" t="e">
        <f>EXP(-LN(2)/2)*HI168+(1-EXP(-LN(2)/2))/(LN(2)/2)*HC169*HF169*VLOOKUP('Données projet'!$B$18,Paramètres!$A$1:$I$88,3,0)*0.475*44/12</f>
        <v>#N/A</v>
      </c>
      <c r="HJ169" s="24" t="e">
        <f t="shared" si="190"/>
        <v>#N/A</v>
      </c>
    </row>
    <row r="170" spans="1:218" x14ac:dyDescent="0.2">
      <c r="A170" s="11">
        <f t="shared" si="161"/>
        <v>167</v>
      </c>
      <c r="B170" s="77">
        <f>'Scénario référence'!$B$16*5+'Scénario référence'!$B$17*0+'Scénario référence'!$B$18*5</f>
        <v>1.6500000000000001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6.0500000000000007</v>
      </c>
      <c r="H170" s="70">
        <f t="shared" si="110"/>
        <v>232.4666666666667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69.556158072752766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projet'!$B$9,Paramètres!$A$1:$I$88,3,0)*VLOOKUP('Données projet'!$B$9,Paramètres!$A$1:$I$88,5,0)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291.70591293342881</v>
      </c>
      <c r="S170" s="62">
        <f ca="1">AVERAGE(OFFSET($R$3,0,0,'Données projet'!$E$9+1,1))-AVERAGE(OFFSET($H$3,0,0,'Données projet'!$E$9+1,1))</f>
        <v>354.71367224254021</v>
      </c>
      <c r="T170" s="62">
        <f t="shared" si="142"/>
        <v>490.074370133397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20.814376836343854</v>
      </c>
      <c r="AA170" s="23">
        <f>EXP(-LN(2)/25)*AA169+(1-EXP(-LN(2)/25))/(LN(2)/25)*Calculateur!V170*Calculateur!X170*VLOOKUP('Données projet'!$B$9,Paramètres!$A$1:$I$88,3,0)*0.475*44/12</f>
        <v>1.906977984313283</v>
      </c>
      <c r="AB170" s="23">
        <f>EXP(-LN(2)/2)*AB169+(1-EXP(-LN(2)/2))/(LN(2)/2)*V170*Y170*VLOOKUP('Données projet'!$B$9,Paramètres!$A$1:$I$88,3,0)*0.475*44/12</f>
        <v>4.4685737703247321E-17</v>
      </c>
      <c r="AC170" s="24">
        <f t="shared" si="163"/>
        <v>22.721354820657137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69.556158072752766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2.2737367544323206E-13</v>
      </c>
      <c r="AJ170" s="14">
        <f>AI170*VLOOKUP('Données projet'!$B$10,Paramètres!$A$1:$I$88,3,0)*VLOOKUP('Données projet'!$B$10,Paramètres!$A$1:$I$88,5,0)</f>
        <v>1.3596945791505279E-13</v>
      </c>
      <c r="AK170" s="14">
        <f t="shared" si="164"/>
        <v>1.9708830566360721E-12</v>
      </c>
      <c r="AL170" s="22">
        <f t="shared" si="165"/>
        <v>3.669434796176543E-12</v>
      </c>
      <c r="AM170" s="62">
        <f t="shared" si="113"/>
        <v>291.70591293343051</v>
      </c>
      <c r="AN170" s="62">
        <f ca="1">AVERAGE(OFFSET($AM$3,0,0,'Données projet'!$E$10+1,1))-AVERAGE(OFFSET($H$3,0,0,'Données projet'!$E$10+1,1))</f>
        <v>264.73276096087574</v>
      </c>
      <c r="AO170" s="62">
        <f t="shared" si="144"/>
        <v>381.84464918049662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projet'!$B$10,Paramètres!$A$1:$I$88,3,0)*0.475*44/12</f>
        <v>14.597254736075962</v>
      </c>
      <c r="AV170" s="23">
        <f>EXP(-LN(2)/25)*AV169+(1-EXP(-LN(2)/25))/(LN(2)/25)*Calculateur!AQ170*Calculateur!AS170*VLOOKUP('Données projet'!$B$10,Paramètres!$A$1:$I$88,3,0)*0.475*44/12</f>
        <v>1.3397133711171909</v>
      </c>
      <c r="AW170" s="23">
        <f>EXP(-LN(2)/2)*AW169+(1-EXP(-LN(2)/2))/(LN(2)/2)*AQ170*AT170*VLOOKUP('Données projet'!$B$10,Paramètres!$A$1:$I$88,3,0)*0.475*44/12</f>
        <v>3.1289323801698398E-17</v>
      </c>
      <c r="AX170" s="23">
        <f t="shared" si="166"/>
        <v>15.936968107193152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69.556158072752766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-2.8421709430404007E-13</v>
      </c>
      <c r="BE170" s="14">
        <f>BD170*VLOOKUP('Données projet'!$B$11,Paramètres!$A$1:$I$88,3,0)*VLOOKUP('Données projet'!$B$11,Paramètres!$A$1:$I$88,5,0)</f>
        <v>-3.2366642699344083E-13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470.57532875732056</v>
      </c>
      <c r="BJ170" s="62">
        <f t="shared" si="146"/>
        <v>286.63787681165888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projet'!$B$11,Paramètres!$A$1:$I$88,3,0)*0.475*44/12</f>
        <v>64.030880584507088</v>
      </c>
      <c r="BQ170" s="23">
        <f>EXP(-LN(2)/25)*BQ169+(1-EXP(-LN(2)/25))/(LN(2)/25)*Calculateur!BL170*Calculateur!BN170*VLOOKUP('Données projet'!$B$11,Paramètres!$A$1:$I$88,3,0)*0.475*44/12</f>
        <v>0</v>
      </c>
      <c r="BR170" s="23">
        <f>EXP(-LN(2)/2)*BR169+(1-EXP(-LN(2)/2))/(LN(2)/2)*BL170*BO170*VLOOKUP('Données projet'!$B$11,Paramètres!$A$1:$I$88,3,0)*0.475*44/12</f>
        <v>0</v>
      </c>
      <c r="BS170" s="24">
        <f t="shared" si="169"/>
        <v>64.030880584507088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69.556158072752766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-2.2737367544323206E-13</v>
      </c>
      <c r="BZ170" s="14">
        <f>BY170*VLOOKUP('Données projet'!$B$12,Paramètres!$A$1:$I$88,3,0)*VLOOKUP('Données projet'!$B$12,Paramètres!$A$1:$I$88,5,0)</f>
        <v>-1.4897523215040565E-13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305.38855494899906</v>
      </c>
      <c r="CE170" s="62">
        <f t="shared" si="148"/>
        <v>298.48106301229177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projet'!$B$12,Paramètres!$A$1:$I$88,3,0)*0.475*44/12</f>
        <v>15.13789343763556</v>
      </c>
      <c r="CL170" s="23">
        <f>EXP(-LN(2)/25)*CL169+(1-EXP(-LN(2)/25))/(LN(2)/25)*Calculateur!CG170*Calculateur!CI170*VLOOKUP('Données projet'!$B$12,Paramètres!$A$1:$I$88,3,0)*0.475*44/12</f>
        <v>0</v>
      </c>
      <c r="CM170" s="23">
        <f>EXP(-LN(2)/2)*CM169+(1-EXP(-LN(2)/2))/(LN(2)/2)*CG170*CJ170*VLOOKUP('Données projet'!$B$12,Paramètres!$A$1:$I$88,3,0)*0.475*44/12</f>
        <v>0</v>
      </c>
      <c r="CN170" s="24">
        <f t="shared" si="172"/>
        <v>15.13789343763556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69.556158072752766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-2.2737367544323206E-13</v>
      </c>
      <c r="CU170" s="18">
        <f>CT170*VLOOKUP('Données projet'!$B$13,Paramètres!$A$1:$I$88,3,0)*VLOOKUP('Données projet'!$B$13,Paramètres!$A$1:$I$88,5,0)</f>
        <v>-1.8089849618263545E-13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361.30066984973894</v>
      </c>
      <c r="CZ170" s="62">
        <f t="shared" si="150"/>
        <v>351.78053157121622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projet'!$B$13,Paramètres!$A$1:$I$88,3,0)*0.475*44/12</f>
        <v>22.656548151677118</v>
      </c>
      <c r="DG170" s="23">
        <f>EXP(-LN(2)/25)*DG169+(1-EXP(-LN(2)/25))/(LN(2)/25)*Calculateur!DB170*Calculateur!DD170*VLOOKUP('Données projet'!$B$13,Paramètres!$A$1:$I$88,3,0)*0.475*44/12</f>
        <v>0</v>
      </c>
      <c r="DH170" s="23">
        <f>EXP(-LN(2)/2)*DH169+(1-EXP(-LN(2)/2))/(LN(2)/2)*DB170*DE170*VLOOKUP('Données projet'!$B$13,Paramètres!$A$1:$I$88,3,0)*0.475*44/12</f>
        <v>0</v>
      </c>
      <c r="DI170" s="24">
        <f t="shared" si="175"/>
        <v>22.656548151677118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69.556158072752766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>
        <f>DO170*VLOOKUP('Données projet'!$B$14,Paramètres!$A$1:$I$88,3,0)*VLOOKUP('Données projet'!$B$14,Paramètres!$A$1:$I$88,5,0)</f>
        <v>0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91.201152634762423</v>
      </c>
      <c r="DU170" s="62">
        <f t="shared" si="152"/>
        <v>233.36981992862445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projet'!$B$14,Paramètres!$A$1:$I$88,3,0)*0.475*44/12</f>
        <v>2.7496586553573445</v>
      </c>
      <c r="EB170" s="23">
        <f>EXP(-LN(2)/25)*EB169+(1-EXP(-LN(2)/25))/(LN(2)/25)*Calculateur!DW170*Calculateur!DY170*VLOOKUP('Données projet'!$B$14,Paramètres!$A$1:$I$88,3,0)*0.475*44/12</f>
        <v>0</v>
      </c>
      <c r="EC170" s="23">
        <f>EXP(-LN(2)/2)*EC169+(1-EXP(-LN(2)/2))/(LN(2)/2)*DW170*DZ170*VLOOKUP('Données projet'!$B$14,Paramètres!$A$1:$I$88,3,0)*0.475*44/12</f>
        <v>0</v>
      </c>
      <c r="ED170" s="24">
        <f t="shared" si="178"/>
        <v>2.7496586553573445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69.556158072752766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projet'!$B$15,Paramètres!$A$1:$I$88,3,0)*0.475*44/12</f>
        <v>#N/A</v>
      </c>
      <c r="EW170" s="23" t="e">
        <f>EXP(-LN(2)/25)*EW169+(1-EXP(-LN(2)/25))/(LN(2)/25)*Calculateur!ER170*Calculateur!ET170*VLOOKUP('Données projet'!$B$15,Paramètres!$A$1:$I$88,3,0)*0.475*44/12</f>
        <v>#N/A</v>
      </c>
      <c r="EX170" s="23" t="e">
        <f>EXP(-LN(2)/2)*EX169+(1-EXP(-LN(2)/2))/(LN(2)/2)*ER170*EU170*VLOOKUP('Données projet'!$B$15,Paramètres!$A$1:$I$88,3,0)*0.475*44/12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69.556158072752766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projet'!$B$16,Paramètres!$A$1:$I$88,3,0)*0.475*44/12</f>
        <v>#N/A</v>
      </c>
      <c r="FR170" s="23" t="e">
        <f>EXP(-LN(2)/25)*FR169+(1-EXP(-LN(2)/25))/(LN(2)/25)*Calculateur!FM170*Calculateur!FO170*VLOOKUP('Données projet'!$B$16,Paramètres!$A$1:$I$88,3,0)*0.475*44/12</f>
        <v>#N/A</v>
      </c>
      <c r="FS170" s="23" t="e">
        <f>EXP(-LN(2)/2)*FS169+(1-EXP(-LN(2)/2))/(LN(2)/2)*FM170*FP170*VLOOKUP('Données projet'!$B$16,Paramètres!$A$1:$I$88,3,0)*0.475*44/12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69.556158072752766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projet'!$B$17,Paramètres!$A$1:$I$88,3,0)*0.475*44/12</f>
        <v>#N/A</v>
      </c>
      <c r="GM170" s="23" t="e">
        <f>EXP(-LN(2)/25)*GM169+(1-EXP(-LN(2)/25))/(LN(2)/25)*Calculateur!GH170*Calculateur!GJ170*VLOOKUP('Données projet'!$B$17,Paramètres!$A$1:$I$88,3,0)*0.475*44/12</f>
        <v>#N/A</v>
      </c>
      <c r="GN170" s="23" t="e">
        <f>EXP(-LN(2)/2)*GN169+(1-EXP(-LN(2)/2))/(LN(2)/2)*GH170*GK170*VLOOKUP('Données projet'!$B$17,Paramètres!$A$1:$I$88,3,0)*0.475*44/12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69.556158072752766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projet'!$B$18,Paramètres!$A$1:$I$88,3,0)*0.475*44/12</f>
        <v>#N/A</v>
      </c>
      <c r="HH170" s="23" t="e">
        <f>EXP(-LN(2)/25)*HH169+(1-EXP(-LN(2)/25))/(LN(2)/25)*Calculateur!HC170*Calculateur!HE170*VLOOKUP('Données projet'!$B$18,Paramètres!$A$1:$I$88,3,0)*0.475*44/12</f>
        <v>#N/A</v>
      </c>
      <c r="HI170" s="23" t="e">
        <f>EXP(-LN(2)/2)*HI169+(1-EXP(-LN(2)/2))/(LN(2)/2)*HC170*HF170*VLOOKUP('Données projet'!$B$18,Paramètres!$A$1:$I$88,3,0)*0.475*44/12</f>
        <v>#N/A</v>
      </c>
      <c r="HJ170" s="24" t="e">
        <f t="shared" si="190"/>
        <v>#N/A</v>
      </c>
    </row>
    <row r="171" spans="1:218" x14ac:dyDescent="0.2">
      <c r="A171" s="11">
        <f t="shared" si="161"/>
        <v>168</v>
      </c>
      <c r="B171" s="77">
        <f>'Scénario référence'!$B$16*5+'Scénario référence'!$B$17*0+'Scénario référence'!$B$18*5</f>
        <v>1.6500000000000001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6.0500000000000007</v>
      </c>
      <c r="H171" s="70">
        <f t="shared" si="110"/>
        <v>232.4666666666667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69.56385773790862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projet'!$B$9,Paramètres!$A$1:$I$88,3,0)*VLOOKUP('Données projet'!$B$9,Paramètres!$A$1:$I$88,5,0)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291.73414503900028</v>
      </c>
      <c r="S171" s="62">
        <f ca="1">AVERAGE(OFFSET($R$3,0,0,'Données projet'!$E$9+1,1))-AVERAGE(OFFSET($H$3,0,0,'Données projet'!$E$9+1,1))</f>
        <v>354.71367224254021</v>
      </c>
      <c r="T171" s="62">
        <f t="shared" si="142"/>
        <v>490.074370133397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20.406219602099444</v>
      </c>
      <c r="AA171" s="23">
        <f>EXP(-LN(2)/25)*AA170+(1-EXP(-LN(2)/25))/(LN(2)/25)*Calculateur!V171*Calculateur!X171*VLOOKUP('Données projet'!$B$9,Paramètres!$A$1:$I$88,3,0)*0.475*44/12</f>
        <v>1.8548315710486225</v>
      </c>
      <c r="AB171" s="23">
        <f>EXP(-LN(2)/2)*AB170+(1-EXP(-LN(2)/2))/(LN(2)/2)*V171*Y171*VLOOKUP('Données projet'!$B$9,Paramètres!$A$1:$I$88,3,0)*0.475*44/12</f>
        <v>3.1597588152289559E-17</v>
      </c>
      <c r="AC171" s="24">
        <f t="shared" si="163"/>
        <v>22.261051173148068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69.56385773790862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2.2737367544323206E-13</v>
      </c>
      <c r="AJ171" s="14">
        <f>AI171*VLOOKUP('Données projet'!$B$10,Paramètres!$A$1:$I$88,3,0)*VLOOKUP('Données projet'!$B$10,Paramètres!$A$1:$I$88,5,0)</f>
        <v>1.3596945791505279E-13</v>
      </c>
      <c r="AK171" s="14">
        <f t="shared" si="164"/>
        <v>1.9708830566360721E-12</v>
      </c>
      <c r="AL171" s="22">
        <f t="shared" si="165"/>
        <v>3.669434796176543E-12</v>
      </c>
      <c r="AM171" s="62">
        <f t="shared" si="113"/>
        <v>291.73414503900199</v>
      </c>
      <c r="AN171" s="62">
        <f ca="1">AVERAGE(OFFSET($AM$3,0,0,'Données projet'!$E$10+1,1))-AVERAGE(OFFSET($H$3,0,0,'Données projet'!$E$10+1,1))</f>
        <v>264.73276096087574</v>
      </c>
      <c r="AO171" s="62">
        <f t="shared" si="144"/>
        <v>381.84464918049662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projet'!$B$10,Paramètres!$A$1:$I$88,3,0)*0.475*44/12</f>
        <v>14.31101147414776</v>
      </c>
      <c r="AV171" s="23">
        <f>EXP(-LN(2)/25)*AV170+(1-EXP(-LN(2)/25))/(LN(2)/25)*Calculateur!AQ171*Calculateur!AS171*VLOOKUP('Données projet'!$B$10,Paramètres!$A$1:$I$88,3,0)*0.475*44/12</f>
        <v>1.3030788385315271</v>
      </c>
      <c r="AW171" s="23">
        <f>EXP(-LN(2)/2)*AW170+(1-EXP(-LN(2)/2))/(LN(2)/2)*AQ171*AT171*VLOOKUP('Données projet'!$B$10,Paramètres!$A$1:$I$88,3,0)*0.475*44/12</f>
        <v>2.2124893038922582E-17</v>
      </c>
      <c r="AX171" s="23">
        <f t="shared" si="166"/>
        <v>15.614090312679288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69.56385773790862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-2.8421709430404007E-13</v>
      </c>
      <c r="BE171" s="14">
        <f>BD171*VLOOKUP('Données projet'!$B$11,Paramètres!$A$1:$I$88,3,0)*VLOOKUP('Données projet'!$B$11,Paramètres!$A$1:$I$88,5,0)</f>
        <v>-3.2366642699344083E-13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470.57532875732056</v>
      </c>
      <c r="BJ171" s="62">
        <f t="shared" si="146"/>
        <v>286.63787681165888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projet'!$B$11,Paramètres!$A$1:$I$88,3,0)*0.475*44/12</f>
        <v>62.775274071225702</v>
      </c>
      <c r="BQ171" s="23">
        <f>EXP(-LN(2)/25)*BQ170+(1-EXP(-LN(2)/25))/(LN(2)/25)*Calculateur!BL171*Calculateur!BN171*VLOOKUP('Données projet'!$B$11,Paramètres!$A$1:$I$88,3,0)*0.475*44/12</f>
        <v>0</v>
      </c>
      <c r="BR171" s="23">
        <f>EXP(-LN(2)/2)*BR170+(1-EXP(-LN(2)/2))/(LN(2)/2)*BL171*BO171*VLOOKUP('Données projet'!$B$11,Paramètres!$A$1:$I$88,3,0)*0.475*44/12</f>
        <v>0</v>
      </c>
      <c r="BS171" s="24">
        <f t="shared" si="169"/>
        <v>62.775274071225702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69.56385773790862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-2.2737367544323206E-13</v>
      </c>
      <c r="BZ171" s="14">
        <f>BY171*VLOOKUP('Données projet'!$B$12,Paramètres!$A$1:$I$88,3,0)*VLOOKUP('Données projet'!$B$12,Paramètres!$A$1:$I$88,5,0)</f>
        <v>-1.4897523215040565E-13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305.38855494899906</v>
      </c>
      <c r="CE171" s="62">
        <f t="shared" si="148"/>
        <v>298.48106301229177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projet'!$B$12,Paramètres!$A$1:$I$88,3,0)*0.475*44/12</f>
        <v>14.84104858052682</v>
      </c>
      <c r="CL171" s="23">
        <f>EXP(-LN(2)/25)*CL170+(1-EXP(-LN(2)/25))/(LN(2)/25)*Calculateur!CG171*Calculateur!CI171*VLOOKUP('Données projet'!$B$12,Paramètres!$A$1:$I$88,3,0)*0.475*44/12</f>
        <v>0</v>
      </c>
      <c r="CM171" s="23">
        <f>EXP(-LN(2)/2)*CM170+(1-EXP(-LN(2)/2))/(LN(2)/2)*CG171*CJ171*VLOOKUP('Données projet'!$B$12,Paramètres!$A$1:$I$88,3,0)*0.475*44/12</f>
        <v>0</v>
      </c>
      <c r="CN171" s="24">
        <f t="shared" si="172"/>
        <v>14.84104858052682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69.56385773790862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-2.2737367544323206E-13</v>
      </c>
      <c r="CU171" s="18">
        <f>CT171*VLOOKUP('Données projet'!$B$13,Paramètres!$A$1:$I$88,3,0)*VLOOKUP('Données projet'!$B$13,Paramètres!$A$1:$I$88,5,0)</f>
        <v>-1.8089849618263545E-13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361.30066984973894</v>
      </c>
      <c r="CZ171" s="62">
        <f t="shared" si="150"/>
        <v>351.78053157121622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projet'!$B$13,Paramètres!$A$1:$I$88,3,0)*0.475*44/12</f>
        <v>22.212267061552577</v>
      </c>
      <c r="DG171" s="23">
        <f>EXP(-LN(2)/25)*DG170+(1-EXP(-LN(2)/25))/(LN(2)/25)*Calculateur!DB171*Calculateur!DD171*VLOOKUP('Données projet'!$B$13,Paramètres!$A$1:$I$88,3,0)*0.475*44/12</f>
        <v>0</v>
      </c>
      <c r="DH171" s="23">
        <f>EXP(-LN(2)/2)*DH170+(1-EXP(-LN(2)/2))/(LN(2)/2)*DB171*DE171*VLOOKUP('Données projet'!$B$13,Paramètres!$A$1:$I$88,3,0)*0.475*44/12</f>
        <v>0</v>
      </c>
      <c r="DI171" s="24">
        <f t="shared" si="175"/>
        <v>22.212267061552577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69.56385773790862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>
        <f>DO171*VLOOKUP('Données projet'!$B$14,Paramètres!$A$1:$I$88,3,0)*VLOOKUP('Données projet'!$B$14,Paramètres!$A$1:$I$88,5,0)</f>
        <v>0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91.201152634762423</v>
      </c>
      <c r="DU171" s="62">
        <f t="shared" si="152"/>
        <v>233.36981992862445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projet'!$B$14,Paramètres!$A$1:$I$88,3,0)*0.475*44/12</f>
        <v>2.6957395262519643</v>
      </c>
      <c r="EB171" s="23">
        <f>EXP(-LN(2)/25)*EB170+(1-EXP(-LN(2)/25))/(LN(2)/25)*Calculateur!DW171*Calculateur!DY171*VLOOKUP('Données projet'!$B$14,Paramètres!$A$1:$I$88,3,0)*0.475*44/12</f>
        <v>0</v>
      </c>
      <c r="EC171" s="23">
        <f>EXP(-LN(2)/2)*EC170+(1-EXP(-LN(2)/2))/(LN(2)/2)*DW171*DZ171*VLOOKUP('Données projet'!$B$14,Paramètres!$A$1:$I$88,3,0)*0.475*44/12</f>
        <v>0</v>
      </c>
      <c r="ED171" s="24">
        <f t="shared" si="178"/>
        <v>2.6957395262519643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69.56385773790862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projet'!$B$15,Paramètres!$A$1:$I$88,3,0)*0.475*44/12</f>
        <v>#N/A</v>
      </c>
      <c r="EW171" s="23" t="e">
        <f>EXP(-LN(2)/25)*EW170+(1-EXP(-LN(2)/25))/(LN(2)/25)*Calculateur!ER171*Calculateur!ET171*VLOOKUP('Données projet'!$B$15,Paramètres!$A$1:$I$88,3,0)*0.475*44/12</f>
        <v>#N/A</v>
      </c>
      <c r="EX171" s="23" t="e">
        <f>EXP(-LN(2)/2)*EX170+(1-EXP(-LN(2)/2))/(LN(2)/2)*ER171*EU171*VLOOKUP('Données projet'!$B$15,Paramètres!$A$1:$I$88,3,0)*0.475*44/12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69.56385773790862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projet'!$B$16,Paramètres!$A$1:$I$88,3,0)*0.475*44/12</f>
        <v>#N/A</v>
      </c>
      <c r="FR171" s="23" t="e">
        <f>EXP(-LN(2)/25)*FR170+(1-EXP(-LN(2)/25))/(LN(2)/25)*Calculateur!FM171*Calculateur!FO171*VLOOKUP('Données projet'!$B$16,Paramètres!$A$1:$I$88,3,0)*0.475*44/12</f>
        <v>#N/A</v>
      </c>
      <c r="FS171" s="23" t="e">
        <f>EXP(-LN(2)/2)*FS170+(1-EXP(-LN(2)/2))/(LN(2)/2)*FM171*FP171*VLOOKUP('Données projet'!$B$16,Paramètres!$A$1:$I$88,3,0)*0.475*44/12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69.56385773790862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projet'!$B$17,Paramètres!$A$1:$I$88,3,0)*0.475*44/12</f>
        <v>#N/A</v>
      </c>
      <c r="GM171" s="23" t="e">
        <f>EXP(-LN(2)/25)*GM170+(1-EXP(-LN(2)/25))/(LN(2)/25)*Calculateur!GH171*Calculateur!GJ171*VLOOKUP('Données projet'!$B$17,Paramètres!$A$1:$I$88,3,0)*0.475*44/12</f>
        <v>#N/A</v>
      </c>
      <c r="GN171" s="23" t="e">
        <f>EXP(-LN(2)/2)*GN170+(1-EXP(-LN(2)/2))/(LN(2)/2)*GH171*GK171*VLOOKUP('Données projet'!$B$17,Paramètres!$A$1:$I$88,3,0)*0.475*44/12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69.56385773790862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projet'!$B$18,Paramètres!$A$1:$I$88,3,0)*0.475*44/12</f>
        <v>#N/A</v>
      </c>
      <c r="HH171" s="23" t="e">
        <f>EXP(-LN(2)/25)*HH170+(1-EXP(-LN(2)/25))/(LN(2)/25)*Calculateur!HC171*Calculateur!HE171*VLOOKUP('Données projet'!$B$18,Paramètres!$A$1:$I$88,3,0)*0.475*44/12</f>
        <v>#N/A</v>
      </c>
      <c r="HI171" s="23" t="e">
        <f>EXP(-LN(2)/2)*HI170+(1-EXP(-LN(2)/2))/(LN(2)/2)*HC171*HF171*VLOOKUP('Données projet'!$B$18,Paramètres!$A$1:$I$88,3,0)*0.475*44/12</f>
        <v>#N/A</v>
      </c>
      <c r="HJ171" s="24" t="e">
        <f t="shared" si="190"/>
        <v>#N/A</v>
      </c>
    </row>
    <row r="172" spans="1:218" x14ac:dyDescent="0.2">
      <c r="A172" s="11">
        <f t="shared" si="161"/>
        <v>169</v>
      </c>
      <c r="B172" s="77">
        <f>'Scénario référence'!$B$16*5+'Scénario référence'!$B$17*0+'Scénario référence'!$B$18*5</f>
        <v>1.6500000000000001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6.0500000000000007</v>
      </c>
      <c r="H172" s="70">
        <f t="shared" si="110"/>
        <v>232.4666666666667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69.571423831087884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projet'!$B$9,Paramètres!$A$1:$I$88,3,0)*VLOOKUP('Données projet'!$B$9,Paramètres!$A$1:$I$88,5,0)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291.76188738065753</v>
      </c>
      <c r="S172" s="62">
        <f ca="1">AVERAGE(OFFSET($R$3,0,0,'Données projet'!$E$9+1,1))-AVERAGE(OFFSET($H$3,0,0,'Données projet'!$E$9+1,1))</f>
        <v>354.71367224254021</v>
      </c>
      <c r="T172" s="62">
        <f t="shared" si="142"/>
        <v>490.074370133397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20.006066082267235</v>
      </c>
      <c r="AA172" s="23">
        <f>EXP(-LN(2)/25)*AA171+(1-EXP(-LN(2)/25))/(LN(2)/25)*Calculateur!V172*Calculateur!X172*VLOOKUP('Données projet'!$B$9,Paramètres!$A$1:$I$88,3,0)*0.475*44/12</f>
        <v>1.8041111041969449</v>
      </c>
      <c r="AB172" s="23">
        <f>EXP(-LN(2)/2)*AB171+(1-EXP(-LN(2)/2))/(LN(2)/2)*V172*Y172*VLOOKUP('Données projet'!$B$9,Paramètres!$A$1:$I$88,3,0)*0.475*44/12</f>
        <v>2.234286885162366E-17</v>
      </c>
      <c r="AC172" s="24">
        <f t="shared" si="163"/>
        <v>21.81017718646418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69.571423831087884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2.2737367544323206E-13</v>
      </c>
      <c r="AJ172" s="14">
        <f>AI172*VLOOKUP('Données projet'!$B$10,Paramètres!$A$1:$I$88,3,0)*VLOOKUP('Données projet'!$B$10,Paramètres!$A$1:$I$88,5,0)</f>
        <v>1.3596945791505279E-13</v>
      </c>
      <c r="AK172" s="14">
        <f t="shared" si="164"/>
        <v>1.9708830566360721E-12</v>
      </c>
      <c r="AL172" s="22">
        <f t="shared" si="165"/>
        <v>3.669434796176543E-12</v>
      </c>
      <c r="AM172" s="62">
        <f t="shared" si="113"/>
        <v>291.76188738065923</v>
      </c>
      <c r="AN172" s="62">
        <f ca="1">AVERAGE(OFFSET($AM$3,0,0,'Données projet'!$E$10+1,1))-AVERAGE(OFFSET($H$3,0,0,'Données projet'!$E$10+1,1))</f>
        <v>264.73276096087574</v>
      </c>
      <c r="AO172" s="62">
        <f t="shared" si="144"/>
        <v>381.84464918049662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projet'!$B$10,Paramètres!$A$1:$I$88,3,0)*0.475*44/12</f>
        <v>14.030381267994819</v>
      </c>
      <c r="AV172" s="23">
        <f>EXP(-LN(2)/25)*AV171+(1-EXP(-LN(2)/25))/(LN(2)/25)*Calculateur!AQ172*Calculateur!AS172*VLOOKUP('Données projet'!$B$10,Paramètres!$A$1:$I$88,3,0)*0.475*44/12</f>
        <v>1.2674460791659445</v>
      </c>
      <c r="AW172" s="23">
        <f>EXP(-LN(2)/2)*AW171+(1-EXP(-LN(2)/2))/(LN(2)/2)*AQ172*AT172*VLOOKUP('Données projet'!$B$10,Paramètres!$A$1:$I$88,3,0)*0.475*44/12</f>
        <v>1.5644661900849199E-17</v>
      </c>
      <c r="AX172" s="23">
        <f t="shared" si="166"/>
        <v>15.297827347160764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69.571423831087884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-2.8421709430404007E-13</v>
      </c>
      <c r="BE172" s="14">
        <f>BD172*VLOOKUP('Données projet'!$B$11,Paramètres!$A$1:$I$88,3,0)*VLOOKUP('Données projet'!$B$11,Paramètres!$A$1:$I$88,5,0)</f>
        <v>-3.2366642699344083E-13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470.57532875732056</v>
      </c>
      <c r="BJ172" s="62">
        <f t="shared" si="146"/>
        <v>286.63787681165888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projet'!$B$11,Paramètres!$A$1:$I$88,3,0)*0.475*44/12</f>
        <v>61.54428923582541</v>
      </c>
      <c r="BQ172" s="23">
        <f>EXP(-LN(2)/25)*BQ171+(1-EXP(-LN(2)/25))/(LN(2)/25)*Calculateur!BL172*Calculateur!BN172*VLOOKUP('Données projet'!$B$11,Paramètres!$A$1:$I$88,3,0)*0.475*44/12</f>
        <v>0</v>
      </c>
      <c r="BR172" s="23">
        <f>EXP(-LN(2)/2)*BR171+(1-EXP(-LN(2)/2))/(LN(2)/2)*BL172*BO172*VLOOKUP('Données projet'!$B$11,Paramètres!$A$1:$I$88,3,0)*0.475*44/12</f>
        <v>0</v>
      </c>
      <c r="BS172" s="24">
        <f t="shared" si="169"/>
        <v>61.54428923582541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69.571423831087884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-2.2737367544323206E-13</v>
      </c>
      <c r="BZ172" s="14">
        <f>BY172*VLOOKUP('Données projet'!$B$12,Paramètres!$A$1:$I$88,3,0)*VLOOKUP('Données projet'!$B$12,Paramètres!$A$1:$I$88,5,0)</f>
        <v>-1.4897523215040565E-13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305.38855494899906</v>
      </c>
      <c r="CE172" s="62">
        <f t="shared" si="148"/>
        <v>298.48106301229177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projet'!$B$12,Paramètres!$A$1:$I$88,3,0)*0.475*44/12</f>
        <v>14.550024670008499</v>
      </c>
      <c r="CL172" s="23">
        <f>EXP(-LN(2)/25)*CL171+(1-EXP(-LN(2)/25))/(LN(2)/25)*Calculateur!CG172*Calculateur!CI172*VLOOKUP('Données projet'!$B$12,Paramètres!$A$1:$I$88,3,0)*0.475*44/12</f>
        <v>0</v>
      </c>
      <c r="CM172" s="23">
        <f>EXP(-LN(2)/2)*CM171+(1-EXP(-LN(2)/2))/(LN(2)/2)*CG172*CJ172*VLOOKUP('Données projet'!$B$12,Paramètres!$A$1:$I$88,3,0)*0.475*44/12</f>
        <v>0</v>
      </c>
      <c r="CN172" s="24">
        <f t="shared" si="172"/>
        <v>14.550024670008499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69.571423831087884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-2.2737367544323206E-13</v>
      </c>
      <c r="CU172" s="18">
        <f>CT172*VLOOKUP('Données projet'!$B$13,Paramètres!$A$1:$I$88,3,0)*VLOOKUP('Données projet'!$B$13,Paramètres!$A$1:$I$88,5,0)</f>
        <v>-1.8089849618263545E-13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361.30066984973894</v>
      </c>
      <c r="CZ172" s="62">
        <f t="shared" si="150"/>
        <v>351.78053157121622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projet'!$B$13,Paramètres!$A$1:$I$88,3,0)*0.475*44/12</f>
        <v>21.77669805262067</v>
      </c>
      <c r="DG172" s="23">
        <f>EXP(-LN(2)/25)*DG171+(1-EXP(-LN(2)/25))/(LN(2)/25)*Calculateur!DB172*Calculateur!DD172*VLOOKUP('Données projet'!$B$13,Paramètres!$A$1:$I$88,3,0)*0.475*44/12</f>
        <v>0</v>
      </c>
      <c r="DH172" s="23">
        <f>EXP(-LN(2)/2)*DH171+(1-EXP(-LN(2)/2))/(LN(2)/2)*DB172*DE172*VLOOKUP('Données projet'!$B$13,Paramètres!$A$1:$I$88,3,0)*0.475*44/12</f>
        <v>0</v>
      </c>
      <c r="DI172" s="24">
        <f t="shared" si="175"/>
        <v>21.77669805262067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69.571423831087884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>
        <f>DO172*VLOOKUP('Données projet'!$B$14,Paramètres!$A$1:$I$88,3,0)*VLOOKUP('Données projet'!$B$14,Paramètres!$A$1:$I$88,5,0)</f>
        <v>0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91.201152634762423</v>
      </c>
      <c r="DU172" s="62">
        <f t="shared" si="152"/>
        <v>233.36981992862445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projet'!$B$14,Paramètres!$A$1:$I$88,3,0)*0.475*44/12</f>
        <v>2.6428777183809191</v>
      </c>
      <c r="EB172" s="23">
        <f>EXP(-LN(2)/25)*EB171+(1-EXP(-LN(2)/25))/(LN(2)/25)*Calculateur!DW172*Calculateur!DY172*VLOOKUP('Données projet'!$B$14,Paramètres!$A$1:$I$88,3,0)*0.475*44/12</f>
        <v>0</v>
      </c>
      <c r="EC172" s="23">
        <f>EXP(-LN(2)/2)*EC171+(1-EXP(-LN(2)/2))/(LN(2)/2)*DW172*DZ172*VLOOKUP('Données projet'!$B$14,Paramètres!$A$1:$I$88,3,0)*0.475*44/12</f>
        <v>0</v>
      </c>
      <c r="ED172" s="24">
        <f t="shared" si="178"/>
        <v>2.6428777183809191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69.571423831087884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projet'!$B$15,Paramètres!$A$1:$I$88,3,0)*0.475*44/12</f>
        <v>#N/A</v>
      </c>
      <c r="EW172" s="23" t="e">
        <f>EXP(-LN(2)/25)*EW171+(1-EXP(-LN(2)/25))/(LN(2)/25)*Calculateur!ER172*Calculateur!ET172*VLOOKUP('Données projet'!$B$15,Paramètres!$A$1:$I$88,3,0)*0.475*44/12</f>
        <v>#N/A</v>
      </c>
      <c r="EX172" s="23" t="e">
        <f>EXP(-LN(2)/2)*EX171+(1-EXP(-LN(2)/2))/(LN(2)/2)*ER172*EU172*VLOOKUP('Données projet'!$B$15,Paramètres!$A$1:$I$88,3,0)*0.475*44/12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69.571423831087884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projet'!$B$16,Paramètres!$A$1:$I$88,3,0)*0.475*44/12</f>
        <v>#N/A</v>
      </c>
      <c r="FR172" s="23" t="e">
        <f>EXP(-LN(2)/25)*FR171+(1-EXP(-LN(2)/25))/(LN(2)/25)*Calculateur!FM172*Calculateur!FO172*VLOOKUP('Données projet'!$B$16,Paramètres!$A$1:$I$88,3,0)*0.475*44/12</f>
        <v>#N/A</v>
      </c>
      <c r="FS172" s="23" t="e">
        <f>EXP(-LN(2)/2)*FS171+(1-EXP(-LN(2)/2))/(LN(2)/2)*FM172*FP172*VLOOKUP('Données projet'!$B$16,Paramètres!$A$1:$I$88,3,0)*0.475*44/12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69.571423831087884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projet'!$B$17,Paramètres!$A$1:$I$88,3,0)*0.475*44/12</f>
        <v>#N/A</v>
      </c>
      <c r="GM172" s="23" t="e">
        <f>EXP(-LN(2)/25)*GM171+(1-EXP(-LN(2)/25))/(LN(2)/25)*Calculateur!GH172*Calculateur!GJ172*VLOOKUP('Données projet'!$B$17,Paramètres!$A$1:$I$88,3,0)*0.475*44/12</f>
        <v>#N/A</v>
      </c>
      <c r="GN172" s="23" t="e">
        <f>EXP(-LN(2)/2)*GN171+(1-EXP(-LN(2)/2))/(LN(2)/2)*GH172*GK172*VLOOKUP('Données projet'!$B$17,Paramètres!$A$1:$I$88,3,0)*0.475*44/12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69.571423831087884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projet'!$B$18,Paramètres!$A$1:$I$88,3,0)*0.475*44/12</f>
        <v>#N/A</v>
      </c>
      <c r="HH172" s="23" t="e">
        <f>EXP(-LN(2)/25)*HH171+(1-EXP(-LN(2)/25))/(LN(2)/25)*Calculateur!HC172*Calculateur!HE172*VLOOKUP('Données projet'!$B$18,Paramètres!$A$1:$I$88,3,0)*0.475*44/12</f>
        <v>#N/A</v>
      </c>
      <c r="HI172" s="23" t="e">
        <f>EXP(-LN(2)/2)*HI171+(1-EXP(-LN(2)/2))/(LN(2)/2)*HC172*HF172*VLOOKUP('Données projet'!$B$18,Paramètres!$A$1:$I$88,3,0)*0.475*44/12</f>
        <v>#N/A</v>
      </c>
      <c r="HJ172" s="24" t="e">
        <f t="shared" si="190"/>
        <v>#N/A</v>
      </c>
    </row>
    <row r="173" spans="1:218" x14ac:dyDescent="0.2">
      <c r="A173" s="11">
        <f t="shared" si="161"/>
        <v>170</v>
      </c>
      <c r="B173" s="77">
        <f>'Scénario référence'!$B$16*5+'Scénario référence'!$B$17*0+'Scénario référence'!$B$18*5</f>
        <v>1.6500000000000001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6.0500000000000007</v>
      </c>
      <c r="H173" s="70">
        <f t="shared" si="110"/>
        <v>232.4666666666667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69.578858669465731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projet'!$B$9,Paramètres!$A$1:$I$88,3,0)*VLOOKUP('Données projet'!$B$9,Paramètres!$A$1:$I$88,5,0)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291.78914845470968</v>
      </c>
      <c r="S173" s="62">
        <f ca="1">AVERAGE(OFFSET($R$3,0,0,'Données projet'!$E$9+1,1))-AVERAGE(OFFSET($H$3,0,0,'Données projet'!$E$9+1,1))</f>
        <v>354.71367224254021</v>
      </c>
      <c r="T173" s="62">
        <f t="shared" si="142"/>
        <v>490.074370133397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19.61375932888939</v>
      </c>
      <c r="AA173" s="23">
        <f>EXP(-LN(2)/25)*AA172+(1-EXP(-LN(2)/25))/(LN(2)/25)*Calculateur!V173*Calculateur!X173*VLOOKUP('Données projet'!$B$9,Paramètres!$A$1:$I$88,3,0)*0.475*44/12</f>
        <v>1.7547775911785999</v>
      </c>
      <c r="AB173" s="23">
        <f>EXP(-LN(2)/2)*AB172+(1-EXP(-LN(2)/2))/(LN(2)/2)*V173*Y173*VLOOKUP('Données projet'!$B$9,Paramètres!$A$1:$I$88,3,0)*0.475*44/12</f>
        <v>1.579879407614478E-17</v>
      </c>
      <c r="AC173" s="24">
        <f t="shared" si="163"/>
        <v>21.368536920067989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69.578858669465731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2.2737367544323206E-13</v>
      </c>
      <c r="AJ173" s="14">
        <f>AI173*VLOOKUP('Données projet'!$B$10,Paramètres!$A$1:$I$88,3,0)*VLOOKUP('Données projet'!$B$10,Paramètres!$A$1:$I$88,5,0)</f>
        <v>1.3596945791505279E-13</v>
      </c>
      <c r="AK173" s="14">
        <f t="shared" si="164"/>
        <v>1.9708830566360721E-12</v>
      </c>
      <c r="AL173" s="22">
        <f t="shared" si="165"/>
        <v>3.669434796176543E-12</v>
      </c>
      <c r="AM173" s="62">
        <f t="shared" si="113"/>
        <v>291.78914845471138</v>
      </c>
      <c r="AN173" s="62">
        <f ca="1">AVERAGE(OFFSET($AM$3,0,0,'Données projet'!$E$10+1,1))-AVERAGE(OFFSET($H$3,0,0,'Données projet'!$E$10+1,1))</f>
        <v>264.73276096087574</v>
      </c>
      <c r="AO173" s="62">
        <f t="shared" si="144"/>
        <v>381.84464918049662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projet'!$B$10,Paramètres!$A$1:$I$88,3,0)*0.475*44/12</f>
        <v>13.755254049017013</v>
      </c>
      <c r="AV173" s="23">
        <f>EXP(-LN(2)/25)*AV172+(1-EXP(-LN(2)/25))/(LN(2)/25)*Calculateur!AQ173*Calculateur!AS173*VLOOKUP('Données projet'!$B$10,Paramètres!$A$1:$I$88,3,0)*0.475*44/12</f>
        <v>1.2327876994790592</v>
      </c>
      <c r="AW173" s="23">
        <f>EXP(-LN(2)/2)*AW172+(1-EXP(-LN(2)/2))/(LN(2)/2)*AQ173*AT173*VLOOKUP('Données projet'!$B$10,Paramètres!$A$1:$I$88,3,0)*0.475*44/12</f>
        <v>1.1062446519461291E-17</v>
      </c>
      <c r="AX173" s="23">
        <f t="shared" si="166"/>
        <v>14.988041748496073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69.578858669465731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-2.8421709430404007E-13</v>
      </c>
      <c r="BE173" s="14">
        <f>BD173*VLOOKUP('Données projet'!$B$11,Paramètres!$A$1:$I$88,3,0)*VLOOKUP('Données projet'!$B$11,Paramètres!$A$1:$I$88,5,0)</f>
        <v>-3.2366642699344083E-13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470.57532875732056</v>
      </c>
      <c r="BJ173" s="62">
        <f t="shared" si="146"/>
        <v>286.63787681165888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projet'!$B$11,Paramètres!$A$1:$I$88,3,0)*0.475*44/12</f>
        <v>60.33744326222071</v>
      </c>
      <c r="BQ173" s="23">
        <f>EXP(-LN(2)/25)*BQ172+(1-EXP(-LN(2)/25))/(LN(2)/25)*Calculateur!BL173*Calculateur!BN173*VLOOKUP('Données projet'!$B$11,Paramètres!$A$1:$I$88,3,0)*0.475*44/12</f>
        <v>0</v>
      </c>
      <c r="BR173" s="23">
        <f>EXP(-LN(2)/2)*BR172+(1-EXP(-LN(2)/2))/(LN(2)/2)*BL173*BO173*VLOOKUP('Données projet'!$B$11,Paramètres!$A$1:$I$88,3,0)*0.475*44/12</f>
        <v>0</v>
      </c>
      <c r="BS173" s="24">
        <f t="shared" si="169"/>
        <v>60.33744326222071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69.578858669465731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-2.2737367544323206E-13</v>
      </c>
      <c r="BZ173" s="14">
        <f>BY173*VLOOKUP('Données projet'!$B$12,Paramètres!$A$1:$I$88,3,0)*VLOOKUP('Données projet'!$B$12,Paramètres!$A$1:$I$88,5,0)</f>
        <v>-1.4897523215040565E-13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305.38855494899906</v>
      </c>
      <c r="CE173" s="62">
        <f t="shared" si="148"/>
        <v>298.48106301229177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projet'!$B$12,Paramètres!$A$1:$I$88,3,0)*0.475*44/12</f>
        <v>14.264707560868382</v>
      </c>
      <c r="CL173" s="23">
        <f>EXP(-LN(2)/25)*CL172+(1-EXP(-LN(2)/25))/(LN(2)/25)*Calculateur!CG173*Calculateur!CI173*VLOOKUP('Données projet'!$B$12,Paramètres!$A$1:$I$88,3,0)*0.475*44/12</f>
        <v>0</v>
      </c>
      <c r="CM173" s="23">
        <f>EXP(-LN(2)/2)*CM172+(1-EXP(-LN(2)/2))/(LN(2)/2)*CG173*CJ173*VLOOKUP('Données projet'!$B$12,Paramètres!$A$1:$I$88,3,0)*0.475*44/12</f>
        <v>0</v>
      </c>
      <c r="CN173" s="24">
        <f t="shared" si="172"/>
        <v>14.264707560868382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69.578858669465731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-2.2737367544323206E-13</v>
      </c>
      <c r="CU173" s="18">
        <f>CT173*VLOOKUP('Données projet'!$B$13,Paramètres!$A$1:$I$88,3,0)*VLOOKUP('Données projet'!$B$13,Paramètres!$A$1:$I$88,5,0)</f>
        <v>-1.8089849618263545E-13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361.30066984973894</v>
      </c>
      <c r="CZ173" s="62">
        <f t="shared" si="150"/>
        <v>351.78053157121622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projet'!$B$13,Paramètres!$A$1:$I$88,3,0)*0.475*44/12</f>
        <v>21.349670286283054</v>
      </c>
      <c r="DG173" s="23">
        <f>EXP(-LN(2)/25)*DG172+(1-EXP(-LN(2)/25))/(LN(2)/25)*Calculateur!DB173*Calculateur!DD173*VLOOKUP('Données projet'!$B$13,Paramètres!$A$1:$I$88,3,0)*0.475*44/12</f>
        <v>0</v>
      </c>
      <c r="DH173" s="23">
        <f>EXP(-LN(2)/2)*DH172+(1-EXP(-LN(2)/2))/(LN(2)/2)*DB173*DE173*VLOOKUP('Données projet'!$B$13,Paramètres!$A$1:$I$88,3,0)*0.475*44/12</f>
        <v>0</v>
      </c>
      <c r="DI173" s="24">
        <f t="shared" si="175"/>
        <v>21.349670286283054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69.578858669465731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>
        <f>DO173*VLOOKUP('Données projet'!$B$14,Paramètres!$A$1:$I$88,3,0)*VLOOKUP('Données projet'!$B$14,Paramètres!$A$1:$I$88,5,0)</f>
        <v>0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91.201152634762423</v>
      </c>
      <c r="DU173" s="62">
        <f t="shared" si="152"/>
        <v>233.36981992862445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projet'!$B$14,Paramètres!$A$1:$I$88,3,0)*0.475*44/12</f>
        <v>2.5910524983197063</v>
      </c>
      <c r="EB173" s="23">
        <f>EXP(-LN(2)/25)*EB172+(1-EXP(-LN(2)/25))/(LN(2)/25)*Calculateur!DW173*Calculateur!DY173*VLOOKUP('Données projet'!$B$14,Paramètres!$A$1:$I$88,3,0)*0.475*44/12</f>
        <v>0</v>
      </c>
      <c r="EC173" s="23">
        <f>EXP(-LN(2)/2)*EC172+(1-EXP(-LN(2)/2))/(LN(2)/2)*DW173*DZ173*VLOOKUP('Données projet'!$B$14,Paramètres!$A$1:$I$88,3,0)*0.475*44/12</f>
        <v>0</v>
      </c>
      <c r="ED173" s="24">
        <f t="shared" si="178"/>
        <v>2.5910524983197063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69.578858669465731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projet'!$B$15,Paramètres!$A$1:$I$88,3,0)*0.475*44/12</f>
        <v>#N/A</v>
      </c>
      <c r="EW173" s="23" t="e">
        <f>EXP(-LN(2)/25)*EW172+(1-EXP(-LN(2)/25))/(LN(2)/25)*Calculateur!ER173*Calculateur!ET173*VLOOKUP('Données projet'!$B$15,Paramètres!$A$1:$I$88,3,0)*0.475*44/12</f>
        <v>#N/A</v>
      </c>
      <c r="EX173" s="23" t="e">
        <f>EXP(-LN(2)/2)*EX172+(1-EXP(-LN(2)/2))/(LN(2)/2)*ER173*EU173*VLOOKUP('Données projet'!$B$15,Paramètres!$A$1:$I$88,3,0)*0.475*44/12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69.578858669465731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projet'!$B$16,Paramètres!$A$1:$I$88,3,0)*0.475*44/12</f>
        <v>#N/A</v>
      </c>
      <c r="FR173" s="23" t="e">
        <f>EXP(-LN(2)/25)*FR172+(1-EXP(-LN(2)/25))/(LN(2)/25)*Calculateur!FM173*Calculateur!FO173*VLOOKUP('Données projet'!$B$16,Paramètres!$A$1:$I$88,3,0)*0.475*44/12</f>
        <v>#N/A</v>
      </c>
      <c r="FS173" s="23" t="e">
        <f>EXP(-LN(2)/2)*FS172+(1-EXP(-LN(2)/2))/(LN(2)/2)*FM173*FP173*VLOOKUP('Données projet'!$B$16,Paramètres!$A$1:$I$88,3,0)*0.475*44/12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69.578858669465731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projet'!$B$17,Paramètres!$A$1:$I$88,3,0)*0.475*44/12</f>
        <v>#N/A</v>
      </c>
      <c r="GM173" s="23" t="e">
        <f>EXP(-LN(2)/25)*GM172+(1-EXP(-LN(2)/25))/(LN(2)/25)*Calculateur!GH173*Calculateur!GJ173*VLOOKUP('Données projet'!$B$17,Paramètres!$A$1:$I$88,3,0)*0.475*44/12</f>
        <v>#N/A</v>
      </c>
      <c r="GN173" s="23" t="e">
        <f>EXP(-LN(2)/2)*GN172+(1-EXP(-LN(2)/2))/(LN(2)/2)*GH173*GK173*VLOOKUP('Données projet'!$B$17,Paramètres!$A$1:$I$88,3,0)*0.475*44/12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69.578858669465731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projet'!$B$18,Paramètres!$A$1:$I$88,3,0)*0.475*44/12</f>
        <v>#N/A</v>
      </c>
      <c r="HH173" s="23" t="e">
        <f>EXP(-LN(2)/25)*HH172+(1-EXP(-LN(2)/25))/(LN(2)/25)*Calculateur!HC173*Calculateur!HE173*VLOOKUP('Données projet'!$B$18,Paramètres!$A$1:$I$88,3,0)*0.475*44/12</f>
        <v>#N/A</v>
      </c>
      <c r="HI173" s="23" t="e">
        <f>EXP(-LN(2)/2)*HI172+(1-EXP(-LN(2)/2))/(LN(2)/2)*HC173*HF173*VLOOKUP('Données projet'!$B$18,Paramètres!$A$1:$I$88,3,0)*0.475*44/12</f>
        <v>#N/A</v>
      </c>
      <c r="HJ173" s="24" t="e">
        <f t="shared" si="190"/>
        <v>#N/A</v>
      </c>
    </row>
    <row r="174" spans="1:218" x14ac:dyDescent="0.2">
      <c r="A174" s="11">
        <f t="shared" si="161"/>
        <v>171</v>
      </c>
      <c r="B174" s="77">
        <f>'Scénario référence'!$B$16*5+'Scénario référence'!$B$17*0+'Scénario référence'!$B$18*5</f>
        <v>1.6500000000000001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6.0500000000000007</v>
      </c>
      <c r="H174" s="70">
        <f t="shared" si="110"/>
        <v>232.4666666666667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69.586164530019545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projet'!$B$9,Paramètres!$A$1:$I$88,3,0)*VLOOKUP('Données projet'!$B$9,Paramètres!$A$1:$I$88,5,0)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291.81593661007366</v>
      </c>
      <c r="S174" s="62">
        <f ca="1">AVERAGE(OFFSET($R$3,0,0,'Données projet'!$E$9+1,1))-AVERAGE(OFFSET($H$3,0,0,'Données projet'!$E$9+1,1))</f>
        <v>354.71367224254021</v>
      </c>
      <c r="T174" s="62">
        <f t="shared" si="142"/>
        <v>490.074370133397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19.229145471661791</v>
      </c>
      <c r="AA174" s="23">
        <f>EXP(-LN(2)/25)*AA173+(1-EXP(-LN(2)/25))/(LN(2)/25)*Calculateur!V174*Calculateur!X174*VLOOKUP('Données projet'!$B$9,Paramètres!$A$1:$I$88,3,0)*0.475*44/12</f>
        <v>1.7067931056680781</v>
      </c>
      <c r="AB174" s="23">
        <f>EXP(-LN(2)/2)*AB173+(1-EXP(-LN(2)/2))/(LN(2)/2)*V174*Y174*VLOOKUP('Données projet'!$B$9,Paramètres!$A$1:$I$88,3,0)*0.475*44/12</f>
        <v>1.117143442581183E-17</v>
      </c>
      <c r="AC174" s="24">
        <f t="shared" si="163"/>
        <v>20.935938577329871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69.586164530019545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2.2737367544323206E-13</v>
      </c>
      <c r="AJ174" s="14">
        <f>AI174*VLOOKUP('Données projet'!$B$10,Paramètres!$A$1:$I$88,3,0)*VLOOKUP('Données projet'!$B$10,Paramètres!$A$1:$I$88,5,0)</f>
        <v>1.3596945791505279E-13</v>
      </c>
      <c r="AK174" s="14">
        <f t="shared" si="164"/>
        <v>1.9708830566360721E-12</v>
      </c>
      <c r="AL174" s="22">
        <f t="shared" si="165"/>
        <v>3.669434796176543E-12</v>
      </c>
      <c r="AM174" s="62">
        <f t="shared" si="113"/>
        <v>291.81593661007537</v>
      </c>
      <c r="AN174" s="62">
        <f ca="1">AVERAGE(OFFSET($AM$3,0,0,'Données projet'!$E$10+1,1))-AVERAGE(OFFSET($H$3,0,0,'Données projet'!$E$10+1,1))</f>
        <v>264.73276096087574</v>
      </c>
      <c r="AO174" s="62">
        <f t="shared" si="144"/>
        <v>381.84464918049662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projet'!$B$10,Paramètres!$A$1:$I$88,3,0)*0.475*44/12</f>
        <v>13.485521906992329</v>
      </c>
      <c r="AV174" s="23">
        <f>EXP(-LN(2)/25)*AV173+(1-EXP(-LN(2)/25))/(LN(2)/25)*Calculateur!AQ174*Calculateur!AS174*VLOOKUP('Données projet'!$B$10,Paramètres!$A$1:$I$88,3,0)*0.475*44/12</f>
        <v>1.1990770550073169</v>
      </c>
      <c r="AW174" s="23">
        <f>EXP(-LN(2)/2)*AW173+(1-EXP(-LN(2)/2))/(LN(2)/2)*AQ174*AT174*VLOOKUP('Données projet'!$B$10,Paramètres!$A$1:$I$88,3,0)*0.475*44/12</f>
        <v>7.8223309504245994E-18</v>
      </c>
      <c r="AX174" s="23">
        <f t="shared" si="166"/>
        <v>14.684598961999646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69.586164530019545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-2.8421709430404007E-13</v>
      </c>
      <c r="BE174" s="14">
        <f>BD174*VLOOKUP('Données projet'!$B$11,Paramètres!$A$1:$I$88,3,0)*VLOOKUP('Données projet'!$B$11,Paramètres!$A$1:$I$88,5,0)</f>
        <v>-3.2366642699344083E-13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470.57532875732056</v>
      </c>
      <c r="BJ174" s="62">
        <f t="shared" si="146"/>
        <v>286.63787681165888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projet'!$B$11,Paramètres!$A$1:$I$88,3,0)*0.475*44/12</f>
        <v>59.154262802055037</v>
      </c>
      <c r="BQ174" s="23">
        <f>EXP(-LN(2)/25)*BQ173+(1-EXP(-LN(2)/25))/(LN(2)/25)*Calculateur!BL174*Calculateur!BN174*VLOOKUP('Données projet'!$B$11,Paramètres!$A$1:$I$88,3,0)*0.475*44/12</f>
        <v>0</v>
      </c>
      <c r="BR174" s="23">
        <f>EXP(-LN(2)/2)*BR173+(1-EXP(-LN(2)/2))/(LN(2)/2)*BL174*BO174*VLOOKUP('Données projet'!$B$11,Paramètres!$A$1:$I$88,3,0)*0.475*44/12</f>
        <v>0</v>
      </c>
      <c r="BS174" s="24">
        <f t="shared" si="169"/>
        <v>59.154262802055037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69.586164530019545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-2.2737367544323206E-13</v>
      </c>
      <c r="BZ174" s="14">
        <f>BY174*VLOOKUP('Données projet'!$B$12,Paramètres!$A$1:$I$88,3,0)*VLOOKUP('Données projet'!$B$12,Paramètres!$A$1:$I$88,5,0)</f>
        <v>-1.4897523215040565E-13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305.38855494899906</v>
      </c>
      <c r="CE174" s="62">
        <f t="shared" si="148"/>
        <v>298.48106301229177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projet'!$B$12,Paramètres!$A$1:$I$88,3,0)*0.475*44/12</f>
        <v>13.984985346212252</v>
      </c>
      <c r="CL174" s="23">
        <f>EXP(-LN(2)/25)*CL173+(1-EXP(-LN(2)/25))/(LN(2)/25)*Calculateur!CG174*Calculateur!CI174*VLOOKUP('Données projet'!$B$12,Paramètres!$A$1:$I$88,3,0)*0.475*44/12</f>
        <v>0</v>
      </c>
      <c r="CM174" s="23">
        <f>EXP(-LN(2)/2)*CM173+(1-EXP(-LN(2)/2))/(LN(2)/2)*CG174*CJ174*VLOOKUP('Données projet'!$B$12,Paramètres!$A$1:$I$88,3,0)*0.475*44/12</f>
        <v>0</v>
      </c>
      <c r="CN174" s="24">
        <f t="shared" si="172"/>
        <v>13.984985346212252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69.586164530019545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-2.2737367544323206E-13</v>
      </c>
      <c r="CU174" s="18">
        <f>CT174*VLOOKUP('Données projet'!$B$13,Paramètres!$A$1:$I$88,3,0)*VLOOKUP('Données projet'!$B$13,Paramètres!$A$1:$I$88,5,0)</f>
        <v>-1.8089849618263545E-13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361.30066984973894</v>
      </c>
      <c r="CZ174" s="62">
        <f t="shared" si="150"/>
        <v>351.78053157121622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projet'!$B$13,Paramètres!$A$1:$I$88,3,0)*0.475*44/12</f>
        <v>20.931016273982102</v>
      </c>
      <c r="DG174" s="23">
        <f>EXP(-LN(2)/25)*DG173+(1-EXP(-LN(2)/25))/(LN(2)/25)*Calculateur!DB174*Calculateur!DD174*VLOOKUP('Données projet'!$B$13,Paramètres!$A$1:$I$88,3,0)*0.475*44/12</f>
        <v>0</v>
      </c>
      <c r="DH174" s="23">
        <f>EXP(-LN(2)/2)*DH173+(1-EXP(-LN(2)/2))/(LN(2)/2)*DB174*DE174*VLOOKUP('Données projet'!$B$13,Paramètres!$A$1:$I$88,3,0)*0.475*44/12</f>
        <v>0</v>
      </c>
      <c r="DI174" s="24">
        <f t="shared" si="175"/>
        <v>20.931016273982102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69.586164530019545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>
        <f>DO174*VLOOKUP('Données projet'!$B$14,Paramètres!$A$1:$I$88,3,0)*VLOOKUP('Données projet'!$B$14,Paramètres!$A$1:$I$88,5,0)</f>
        <v>0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91.201152634762423</v>
      </c>
      <c r="DU174" s="62">
        <f t="shared" si="152"/>
        <v>233.36981992862445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projet'!$B$14,Paramètres!$A$1:$I$88,3,0)*0.475*44/12</f>
        <v>2.5402435392136309</v>
      </c>
      <c r="EB174" s="23">
        <f>EXP(-LN(2)/25)*EB173+(1-EXP(-LN(2)/25))/(LN(2)/25)*Calculateur!DW174*Calculateur!DY174*VLOOKUP('Données projet'!$B$14,Paramètres!$A$1:$I$88,3,0)*0.475*44/12</f>
        <v>0</v>
      </c>
      <c r="EC174" s="23">
        <f>EXP(-LN(2)/2)*EC173+(1-EXP(-LN(2)/2))/(LN(2)/2)*DW174*DZ174*VLOOKUP('Données projet'!$B$14,Paramètres!$A$1:$I$88,3,0)*0.475*44/12</f>
        <v>0</v>
      </c>
      <c r="ED174" s="24">
        <f t="shared" si="178"/>
        <v>2.5402435392136309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69.586164530019545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projet'!$B$15,Paramètres!$A$1:$I$88,3,0)*0.475*44/12</f>
        <v>#N/A</v>
      </c>
      <c r="EW174" s="23" t="e">
        <f>EXP(-LN(2)/25)*EW173+(1-EXP(-LN(2)/25))/(LN(2)/25)*Calculateur!ER174*Calculateur!ET174*VLOOKUP('Données projet'!$B$15,Paramètres!$A$1:$I$88,3,0)*0.475*44/12</f>
        <v>#N/A</v>
      </c>
      <c r="EX174" s="23" t="e">
        <f>EXP(-LN(2)/2)*EX173+(1-EXP(-LN(2)/2))/(LN(2)/2)*ER174*EU174*VLOOKUP('Données projet'!$B$15,Paramètres!$A$1:$I$88,3,0)*0.475*44/12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69.586164530019545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projet'!$B$16,Paramètres!$A$1:$I$88,3,0)*0.475*44/12</f>
        <v>#N/A</v>
      </c>
      <c r="FR174" s="23" t="e">
        <f>EXP(-LN(2)/25)*FR173+(1-EXP(-LN(2)/25))/(LN(2)/25)*Calculateur!FM174*Calculateur!FO174*VLOOKUP('Données projet'!$B$16,Paramètres!$A$1:$I$88,3,0)*0.475*44/12</f>
        <v>#N/A</v>
      </c>
      <c r="FS174" s="23" t="e">
        <f>EXP(-LN(2)/2)*FS173+(1-EXP(-LN(2)/2))/(LN(2)/2)*FM174*FP174*VLOOKUP('Données projet'!$B$16,Paramètres!$A$1:$I$88,3,0)*0.475*44/12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69.586164530019545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projet'!$B$17,Paramètres!$A$1:$I$88,3,0)*0.475*44/12</f>
        <v>#N/A</v>
      </c>
      <c r="GM174" s="23" t="e">
        <f>EXP(-LN(2)/25)*GM173+(1-EXP(-LN(2)/25))/(LN(2)/25)*Calculateur!GH174*Calculateur!GJ174*VLOOKUP('Données projet'!$B$17,Paramètres!$A$1:$I$88,3,0)*0.475*44/12</f>
        <v>#N/A</v>
      </c>
      <c r="GN174" s="23" t="e">
        <f>EXP(-LN(2)/2)*GN173+(1-EXP(-LN(2)/2))/(LN(2)/2)*GH174*GK174*VLOOKUP('Données projet'!$B$17,Paramètres!$A$1:$I$88,3,0)*0.475*44/12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69.586164530019545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projet'!$B$18,Paramètres!$A$1:$I$88,3,0)*0.475*44/12</f>
        <v>#N/A</v>
      </c>
      <c r="HH174" s="23" t="e">
        <f>EXP(-LN(2)/25)*HH173+(1-EXP(-LN(2)/25))/(LN(2)/25)*Calculateur!HC174*Calculateur!HE174*VLOOKUP('Données projet'!$B$18,Paramètres!$A$1:$I$88,3,0)*0.475*44/12</f>
        <v>#N/A</v>
      </c>
      <c r="HI174" s="23" t="e">
        <f>EXP(-LN(2)/2)*HI173+(1-EXP(-LN(2)/2))/(LN(2)/2)*HC174*HF174*VLOOKUP('Données projet'!$B$18,Paramètres!$A$1:$I$88,3,0)*0.475*44/12</f>
        <v>#N/A</v>
      </c>
      <c r="HJ174" s="24" t="e">
        <f t="shared" si="190"/>
        <v>#N/A</v>
      </c>
    </row>
    <row r="175" spans="1:218" x14ac:dyDescent="0.2">
      <c r="A175" s="11">
        <f t="shared" si="161"/>
        <v>172</v>
      </c>
      <c r="B175" s="77">
        <f>'Scénario référence'!$B$16*5+'Scénario référence'!$B$17*0+'Scénario référence'!$B$18*5</f>
        <v>1.6500000000000001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6.0500000000000007</v>
      </c>
      <c r="H175" s="70">
        <f t="shared" si="110"/>
        <v>232.4666666666667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69.593343650226188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projet'!$B$9,Paramètres!$A$1:$I$88,3,0)*VLOOKUP('Données projet'!$B$9,Paramètres!$A$1:$I$88,5,0)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291.84226005083133</v>
      </c>
      <c r="S175" s="62">
        <f ca="1">AVERAGE(OFFSET($R$3,0,0,'Données projet'!$E$9+1,1))-AVERAGE(OFFSET($H$3,0,0,'Données projet'!$E$9+1,1))</f>
        <v>354.71367224254021</v>
      </c>
      <c r="T175" s="62">
        <f t="shared" si="142"/>
        <v>490.074370133397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18.852073657583137</v>
      </c>
      <c r="AA175" s="23">
        <f>EXP(-LN(2)/25)*AA174+(1-EXP(-LN(2)/25))/(LN(2)/25)*Calculateur!V175*Calculateur!X175*VLOOKUP('Données projet'!$B$9,Paramètres!$A$1:$I$88,3,0)*0.475*44/12</f>
        <v>1.6601207584372359</v>
      </c>
      <c r="AB175" s="23">
        <f>EXP(-LN(2)/2)*AB174+(1-EXP(-LN(2)/2))/(LN(2)/2)*V175*Y175*VLOOKUP('Données projet'!$B$9,Paramètres!$A$1:$I$88,3,0)*0.475*44/12</f>
        <v>7.8993970380723899E-18</v>
      </c>
      <c r="AC175" s="24">
        <f t="shared" si="163"/>
        <v>20.512194416020375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69.593343650226188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2.2737367544323206E-13</v>
      </c>
      <c r="AJ175" s="14">
        <f>AI175*VLOOKUP('Données projet'!$B$10,Paramètres!$A$1:$I$88,3,0)*VLOOKUP('Données projet'!$B$10,Paramètres!$A$1:$I$88,5,0)</f>
        <v>1.3596945791505279E-13</v>
      </c>
      <c r="AK175" s="14">
        <f t="shared" si="164"/>
        <v>1.9708830566360721E-12</v>
      </c>
      <c r="AL175" s="22">
        <f t="shared" si="165"/>
        <v>3.669434796176543E-12</v>
      </c>
      <c r="AM175" s="62">
        <f t="shared" si="113"/>
        <v>291.84226005083303</v>
      </c>
      <c r="AN175" s="62">
        <f ca="1">AVERAGE(OFFSET($AM$3,0,0,'Données projet'!$E$10+1,1))-AVERAGE(OFFSET($H$3,0,0,'Données projet'!$E$10+1,1))</f>
        <v>264.73276096087574</v>
      </c>
      <c r="AO175" s="62">
        <f t="shared" si="144"/>
        <v>381.84464918049662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projet'!$B$10,Paramètres!$A$1:$I$88,3,0)*0.475*44/12</f>
        <v>13.221079047752387</v>
      </c>
      <c r="AV175" s="23">
        <f>EXP(-LN(2)/25)*AV174+(1-EXP(-LN(2)/25))/(LN(2)/25)*Calculateur!AQ175*Calculateur!AS175*VLOOKUP('Données projet'!$B$10,Paramètres!$A$1:$I$88,3,0)*0.475*44/12</f>
        <v>1.1662882298814199</v>
      </c>
      <c r="AW175" s="23">
        <f>EXP(-LN(2)/2)*AW174+(1-EXP(-LN(2)/2))/(LN(2)/2)*AQ175*AT175*VLOOKUP('Données projet'!$B$10,Paramètres!$A$1:$I$88,3,0)*0.475*44/12</f>
        <v>5.5312232597306456E-18</v>
      </c>
      <c r="AX175" s="23">
        <f t="shared" si="166"/>
        <v>14.387367277633807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69.593343650226188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-2.8421709430404007E-13</v>
      </c>
      <c r="BE175" s="14">
        <f>BD175*VLOOKUP('Données projet'!$B$11,Paramètres!$A$1:$I$88,3,0)*VLOOKUP('Données projet'!$B$11,Paramètres!$A$1:$I$88,5,0)</f>
        <v>-3.2366642699344083E-13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470.57532875732056</v>
      </c>
      <c r="BJ175" s="62">
        <f t="shared" si="146"/>
        <v>286.63787681165888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projet'!$B$11,Paramètres!$A$1:$I$88,3,0)*0.475*44/12</f>
        <v>57.994283789044388</v>
      </c>
      <c r="BQ175" s="23">
        <f>EXP(-LN(2)/25)*BQ174+(1-EXP(-LN(2)/25))/(LN(2)/25)*Calculateur!BL175*Calculateur!BN175*VLOOKUP('Données projet'!$B$11,Paramètres!$A$1:$I$88,3,0)*0.475*44/12</f>
        <v>0</v>
      </c>
      <c r="BR175" s="23">
        <f>EXP(-LN(2)/2)*BR174+(1-EXP(-LN(2)/2))/(LN(2)/2)*BL175*BO175*VLOOKUP('Données projet'!$B$11,Paramètres!$A$1:$I$88,3,0)*0.475*44/12</f>
        <v>0</v>
      </c>
      <c r="BS175" s="24">
        <f t="shared" si="169"/>
        <v>57.994283789044388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69.593343650226188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-2.2737367544323206E-13</v>
      </c>
      <c r="BZ175" s="14">
        <f>BY175*VLOOKUP('Données projet'!$B$12,Paramètres!$A$1:$I$88,3,0)*VLOOKUP('Données projet'!$B$12,Paramètres!$A$1:$I$88,5,0)</f>
        <v>-1.4897523215040565E-13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305.38855494899906</v>
      </c>
      <c r="CE175" s="62">
        <f t="shared" si="148"/>
        <v>298.48106301229177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projet'!$B$12,Paramètres!$A$1:$I$88,3,0)*0.475*44/12</f>
        <v>13.710748313571823</v>
      </c>
      <c r="CL175" s="23">
        <f>EXP(-LN(2)/25)*CL174+(1-EXP(-LN(2)/25))/(LN(2)/25)*Calculateur!CG175*Calculateur!CI175*VLOOKUP('Données projet'!$B$12,Paramètres!$A$1:$I$88,3,0)*0.475*44/12</f>
        <v>0</v>
      </c>
      <c r="CM175" s="23">
        <f>EXP(-LN(2)/2)*CM174+(1-EXP(-LN(2)/2))/(LN(2)/2)*CG175*CJ175*VLOOKUP('Données projet'!$B$12,Paramètres!$A$1:$I$88,3,0)*0.475*44/12</f>
        <v>0</v>
      </c>
      <c r="CN175" s="24">
        <f t="shared" si="172"/>
        <v>13.710748313571823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69.593343650226188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-2.2737367544323206E-13</v>
      </c>
      <c r="CU175" s="18">
        <f>CT175*VLOOKUP('Données projet'!$B$13,Paramètres!$A$1:$I$88,3,0)*VLOOKUP('Données projet'!$B$13,Paramètres!$A$1:$I$88,5,0)</f>
        <v>-1.8089849618263545E-13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361.30066984973894</v>
      </c>
      <c r="CZ175" s="62">
        <f t="shared" si="150"/>
        <v>351.78053157121622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projet'!$B$13,Paramètres!$A$1:$I$88,3,0)*0.475*44/12</f>
        <v>20.520571811508638</v>
      </c>
      <c r="DG175" s="23">
        <f>EXP(-LN(2)/25)*DG174+(1-EXP(-LN(2)/25))/(LN(2)/25)*Calculateur!DB175*Calculateur!DD175*VLOOKUP('Données projet'!$B$13,Paramètres!$A$1:$I$88,3,0)*0.475*44/12</f>
        <v>0</v>
      </c>
      <c r="DH175" s="23">
        <f>EXP(-LN(2)/2)*DH174+(1-EXP(-LN(2)/2))/(LN(2)/2)*DB175*DE175*VLOOKUP('Données projet'!$B$13,Paramètres!$A$1:$I$88,3,0)*0.475*44/12</f>
        <v>0</v>
      </c>
      <c r="DI175" s="24">
        <f t="shared" si="175"/>
        <v>20.520571811508638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69.593343650226188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>
        <f>DO175*VLOOKUP('Données projet'!$B$14,Paramètres!$A$1:$I$88,3,0)*VLOOKUP('Données projet'!$B$14,Paramètres!$A$1:$I$88,5,0)</f>
        <v>0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91.201152634762423</v>
      </c>
      <c r="DU175" s="62">
        <f t="shared" si="152"/>
        <v>233.36981992862445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projet'!$B$14,Paramètres!$A$1:$I$88,3,0)*0.475*44/12</f>
        <v>2.4904309128052202</v>
      </c>
      <c r="EB175" s="23">
        <f>EXP(-LN(2)/25)*EB174+(1-EXP(-LN(2)/25))/(LN(2)/25)*Calculateur!DW175*Calculateur!DY175*VLOOKUP('Données projet'!$B$14,Paramètres!$A$1:$I$88,3,0)*0.475*44/12</f>
        <v>0</v>
      </c>
      <c r="EC175" s="23">
        <f>EXP(-LN(2)/2)*EC174+(1-EXP(-LN(2)/2))/(LN(2)/2)*DW175*DZ175*VLOOKUP('Données projet'!$B$14,Paramètres!$A$1:$I$88,3,0)*0.475*44/12</f>
        <v>0</v>
      </c>
      <c r="ED175" s="24">
        <f t="shared" si="178"/>
        <v>2.4904309128052202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69.593343650226188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projet'!$B$15,Paramètres!$A$1:$I$88,3,0)*0.475*44/12</f>
        <v>#N/A</v>
      </c>
      <c r="EW175" s="23" t="e">
        <f>EXP(-LN(2)/25)*EW174+(1-EXP(-LN(2)/25))/(LN(2)/25)*Calculateur!ER175*Calculateur!ET175*VLOOKUP('Données projet'!$B$15,Paramètres!$A$1:$I$88,3,0)*0.475*44/12</f>
        <v>#N/A</v>
      </c>
      <c r="EX175" s="23" t="e">
        <f>EXP(-LN(2)/2)*EX174+(1-EXP(-LN(2)/2))/(LN(2)/2)*ER175*EU175*VLOOKUP('Données projet'!$B$15,Paramètres!$A$1:$I$88,3,0)*0.475*44/12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69.593343650226188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projet'!$B$16,Paramètres!$A$1:$I$88,3,0)*0.475*44/12</f>
        <v>#N/A</v>
      </c>
      <c r="FR175" s="23" t="e">
        <f>EXP(-LN(2)/25)*FR174+(1-EXP(-LN(2)/25))/(LN(2)/25)*Calculateur!FM175*Calculateur!FO175*VLOOKUP('Données projet'!$B$16,Paramètres!$A$1:$I$88,3,0)*0.475*44/12</f>
        <v>#N/A</v>
      </c>
      <c r="FS175" s="23" t="e">
        <f>EXP(-LN(2)/2)*FS174+(1-EXP(-LN(2)/2))/(LN(2)/2)*FM175*FP175*VLOOKUP('Données projet'!$B$16,Paramètres!$A$1:$I$88,3,0)*0.475*44/12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69.593343650226188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projet'!$B$17,Paramètres!$A$1:$I$88,3,0)*0.475*44/12</f>
        <v>#N/A</v>
      </c>
      <c r="GM175" s="23" t="e">
        <f>EXP(-LN(2)/25)*GM174+(1-EXP(-LN(2)/25))/(LN(2)/25)*Calculateur!GH175*Calculateur!GJ175*VLOOKUP('Données projet'!$B$17,Paramètres!$A$1:$I$88,3,0)*0.475*44/12</f>
        <v>#N/A</v>
      </c>
      <c r="GN175" s="23" t="e">
        <f>EXP(-LN(2)/2)*GN174+(1-EXP(-LN(2)/2))/(LN(2)/2)*GH175*GK175*VLOOKUP('Données projet'!$B$17,Paramètres!$A$1:$I$88,3,0)*0.475*44/12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69.593343650226188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projet'!$B$18,Paramètres!$A$1:$I$88,3,0)*0.475*44/12</f>
        <v>#N/A</v>
      </c>
      <c r="HH175" s="23" t="e">
        <f>EXP(-LN(2)/25)*HH174+(1-EXP(-LN(2)/25))/(LN(2)/25)*Calculateur!HC175*Calculateur!HE175*VLOOKUP('Données projet'!$B$18,Paramètres!$A$1:$I$88,3,0)*0.475*44/12</f>
        <v>#N/A</v>
      </c>
      <c r="HI175" s="23" t="e">
        <f>EXP(-LN(2)/2)*HI174+(1-EXP(-LN(2)/2))/(LN(2)/2)*HC175*HF175*VLOOKUP('Données projet'!$B$18,Paramètres!$A$1:$I$88,3,0)*0.475*44/12</f>
        <v>#N/A</v>
      </c>
      <c r="HJ175" s="24" t="e">
        <f t="shared" si="190"/>
        <v>#N/A</v>
      </c>
    </row>
    <row r="176" spans="1:218" x14ac:dyDescent="0.2">
      <c r="A176" s="11">
        <f t="shared" si="161"/>
        <v>173</v>
      </c>
      <c r="B176" s="77">
        <f>'Scénario référence'!$B$16*5+'Scénario référence'!$B$17*0+'Scénario référence'!$B$18*5</f>
        <v>1.6500000000000001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6.0500000000000007</v>
      </c>
      <c r="H176" s="70">
        <f t="shared" si="110"/>
        <v>232.4666666666667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69.600398228747366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projet'!$B$9,Paramètres!$A$1:$I$88,3,0)*VLOOKUP('Données projet'!$B$9,Paramètres!$A$1:$I$88,5,0)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291.86812683874234</v>
      </c>
      <c r="S176" s="62">
        <f ca="1">AVERAGE(OFFSET($R$3,0,0,'Données projet'!$E$9+1,1))-AVERAGE(OFFSET($H$3,0,0,'Données projet'!$E$9+1,1))</f>
        <v>354.71367224254021</v>
      </c>
      <c r="T176" s="62">
        <f t="shared" si="142"/>
        <v>490.074370133397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18.482395991787467</v>
      </c>
      <c r="AA176" s="23">
        <f>EXP(-LN(2)/25)*AA175+(1-EXP(-LN(2)/25))/(LN(2)/25)*Calculateur!V176*Calculateur!X176*VLOOKUP('Données projet'!$B$9,Paramètres!$A$1:$I$88,3,0)*0.475*44/12</f>
        <v>1.6147246689958132</v>
      </c>
      <c r="AB176" s="23">
        <f>EXP(-LN(2)/2)*AB175+(1-EXP(-LN(2)/2))/(LN(2)/2)*V176*Y176*VLOOKUP('Données projet'!$B$9,Paramètres!$A$1:$I$88,3,0)*0.475*44/12</f>
        <v>5.5857172129059151E-18</v>
      </c>
      <c r="AC176" s="24">
        <f t="shared" si="163"/>
        <v>20.097120660783279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69.600398228747366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2.2737367544323206E-13</v>
      </c>
      <c r="AJ176" s="14">
        <f>AI176*VLOOKUP('Données projet'!$B$10,Paramètres!$A$1:$I$88,3,0)*VLOOKUP('Données projet'!$B$10,Paramètres!$A$1:$I$88,5,0)</f>
        <v>1.3596945791505279E-13</v>
      </c>
      <c r="AK176" s="14">
        <f t="shared" si="164"/>
        <v>1.9708830566360721E-12</v>
      </c>
      <c r="AL176" s="22">
        <f t="shared" si="165"/>
        <v>3.669434796176543E-12</v>
      </c>
      <c r="AM176" s="62">
        <f t="shared" si="113"/>
        <v>291.86812683874405</v>
      </c>
      <c r="AN176" s="62">
        <f ca="1">AVERAGE(OFFSET($AM$3,0,0,'Données projet'!$E$10+1,1))-AVERAGE(OFFSET($H$3,0,0,'Données projet'!$E$10+1,1))</f>
        <v>264.73276096087574</v>
      </c>
      <c r="AO176" s="62">
        <f t="shared" si="144"/>
        <v>381.84464918049662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projet'!$B$10,Paramètres!$A$1:$I$88,3,0)*0.475*44/12</f>
        <v>12.961821751687921</v>
      </c>
      <c r="AV176" s="23">
        <f>EXP(-LN(2)/25)*AV175+(1-EXP(-LN(2)/25))/(LN(2)/25)*Calculateur!AQ176*Calculateur!AS176*VLOOKUP('Données projet'!$B$10,Paramètres!$A$1:$I$88,3,0)*0.475*44/12</f>
        <v>1.1343960169028799</v>
      </c>
      <c r="AW176" s="23">
        <f>EXP(-LN(2)/2)*AW175+(1-EXP(-LN(2)/2))/(LN(2)/2)*AQ176*AT176*VLOOKUP('Données projet'!$B$10,Paramètres!$A$1:$I$88,3,0)*0.475*44/12</f>
        <v>3.9111654752122997E-18</v>
      </c>
      <c r="AX176" s="23">
        <f t="shared" si="166"/>
        <v>14.096217768590801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69.600398228747366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-2.8421709430404007E-13</v>
      </c>
      <c r="BE176" s="14">
        <f>BD176*VLOOKUP('Données projet'!$B$11,Paramètres!$A$1:$I$88,3,0)*VLOOKUP('Données projet'!$B$11,Paramètres!$A$1:$I$88,5,0)</f>
        <v>-3.2366642699344083E-13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470.57532875732056</v>
      </c>
      <c r="BJ176" s="62">
        <f t="shared" si="146"/>
        <v>286.63787681165888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projet'!$B$11,Paramètres!$A$1:$I$88,3,0)*0.475*44/12</f>
        <v>56.85705125696154</v>
      </c>
      <c r="BQ176" s="23">
        <f>EXP(-LN(2)/25)*BQ175+(1-EXP(-LN(2)/25))/(LN(2)/25)*Calculateur!BL176*Calculateur!BN176*VLOOKUP('Données projet'!$B$11,Paramètres!$A$1:$I$88,3,0)*0.475*44/12</f>
        <v>0</v>
      </c>
      <c r="BR176" s="23">
        <f>EXP(-LN(2)/2)*BR175+(1-EXP(-LN(2)/2))/(LN(2)/2)*BL176*BO176*VLOOKUP('Données projet'!$B$11,Paramètres!$A$1:$I$88,3,0)*0.475*44/12</f>
        <v>0</v>
      </c>
      <c r="BS176" s="24">
        <f t="shared" si="169"/>
        <v>56.85705125696154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69.600398228747366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-2.2737367544323206E-13</v>
      </c>
      <c r="BZ176" s="14">
        <f>BY176*VLOOKUP('Données projet'!$B$12,Paramètres!$A$1:$I$88,3,0)*VLOOKUP('Données projet'!$B$12,Paramètres!$A$1:$I$88,5,0)</f>
        <v>-1.4897523215040565E-13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305.38855494899906</v>
      </c>
      <c r="CE176" s="62">
        <f t="shared" si="148"/>
        <v>298.48106301229177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projet'!$B$12,Paramètres!$A$1:$I$88,3,0)*0.475*44/12</f>
        <v>13.4418889018734</v>
      </c>
      <c r="CL176" s="23">
        <f>EXP(-LN(2)/25)*CL175+(1-EXP(-LN(2)/25))/(LN(2)/25)*Calculateur!CG176*Calculateur!CI176*VLOOKUP('Données projet'!$B$12,Paramètres!$A$1:$I$88,3,0)*0.475*44/12</f>
        <v>0</v>
      </c>
      <c r="CM176" s="23">
        <f>EXP(-LN(2)/2)*CM175+(1-EXP(-LN(2)/2))/(LN(2)/2)*CG176*CJ176*VLOOKUP('Données projet'!$B$12,Paramètres!$A$1:$I$88,3,0)*0.475*44/12</f>
        <v>0</v>
      </c>
      <c r="CN176" s="24">
        <f t="shared" si="172"/>
        <v>13.4418889018734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69.600398228747366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-2.2737367544323206E-13</v>
      </c>
      <c r="CU176" s="18">
        <f>CT176*VLOOKUP('Données projet'!$B$13,Paramètres!$A$1:$I$88,3,0)*VLOOKUP('Données projet'!$B$13,Paramètres!$A$1:$I$88,5,0)</f>
        <v>-1.8089849618263545E-13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361.30066984973894</v>
      </c>
      <c r="CZ176" s="62">
        <f t="shared" si="150"/>
        <v>351.78053157121622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projet'!$B$13,Paramètres!$A$1:$I$88,3,0)*0.475*44/12</f>
        <v>20.118175914597877</v>
      </c>
      <c r="DG176" s="23">
        <f>EXP(-LN(2)/25)*DG175+(1-EXP(-LN(2)/25))/(LN(2)/25)*Calculateur!DB176*Calculateur!DD176*VLOOKUP('Données projet'!$B$13,Paramètres!$A$1:$I$88,3,0)*0.475*44/12</f>
        <v>0</v>
      </c>
      <c r="DH176" s="23">
        <f>EXP(-LN(2)/2)*DH175+(1-EXP(-LN(2)/2))/(LN(2)/2)*DB176*DE176*VLOOKUP('Données projet'!$B$13,Paramètres!$A$1:$I$88,3,0)*0.475*44/12</f>
        <v>0</v>
      </c>
      <c r="DI176" s="24">
        <f t="shared" si="175"/>
        <v>20.118175914597877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69.600398228747366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>
        <f>DO176*VLOOKUP('Données projet'!$B$14,Paramètres!$A$1:$I$88,3,0)*VLOOKUP('Données projet'!$B$14,Paramètres!$A$1:$I$88,5,0)</f>
        <v>0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91.201152634762423</v>
      </c>
      <c r="DU176" s="62">
        <f t="shared" si="152"/>
        <v>233.36981992862445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projet'!$B$14,Paramètres!$A$1:$I$88,3,0)*0.475*44/12</f>
        <v>2.4415950816179768</v>
      </c>
      <c r="EB176" s="23">
        <f>EXP(-LN(2)/25)*EB175+(1-EXP(-LN(2)/25))/(LN(2)/25)*Calculateur!DW176*Calculateur!DY176*VLOOKUP('Données projet'!$B$14,Paramètres!$A$1:$I$88,3,0)*0.475*44/12</f>
        <v>0</v>
      </c>
      <c r="EC176" s="23">
        <f>EXP(-LN(2)/2)*EC175+(1-EXP(-LN(2)/2))/(LN(2)/2)*DW176*DZ176*VLOOKUP('Données projet'!$B$14,Paramètres!$A$1:$I$88,3,0)*0.475*44/12</f>
        <v>0</v>
      </c>
      <c r="ED176" s="24">
        <f t="shared" si="178"/>
        <v>2.4415950816179768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69.600398228747366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projet'!$B$15,Paramètres!$A$1:$I$88,3,0)*0.475*44/12</f>
        <v>#N/A</v>
      </c>
      <c r="EW176" s="23" t="e">
        <f>EXP(-LN(2)/25)*EW175+(1-EXP(-LN(2)/25))/(LN(2)/25)*Calculateur!ER176*Calculateur!ET176*VLOOKUP('Données projet'!$B$15,Paramètres!$A$1:$I$88,3,0)*0.475*44/12</f>
        <v>#N/A</v>
      </c>
      <c r="EX176" s="23" t="e">
        <f>EXP(-LN(2)/2)*EX175+(1-EXP(-LN(2)/2))/(LN(2)/2)*ER176*EU176*VLOOKUP('Données projet'!$B$15,Paramètres!$A$1:$I$88,3,0)*0.475*44/12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69.600398228747366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projet'!$B$16,Paramètres!$A$1:$I$88,3,0)*0.475*44/12</f>
        <v>#N/A</v>
      </c>
      <c r="FR176" s="23" t="e">
        <f>EXP(-LN(2)/25)*FR175+(1-EXP(-LN(2)/25))/(LN(2)/25)*Calculateur!FM176*Calculateur!FO176*VLOOKUP('Données projet'!$B$16,Paramètres!$A$1:$I$88,3,0)*0.475*44/12</f>
        <v>#N/A</v>
      </c>
      <c r="FS176" s="23" t="e">
        <f>EXP(-LN(2)/2)*FS175+(1-EXP(-LN(2)/2))/(LN(2)/2)*FM176*FP176*VLOOKUP('Données projet'!$B$16,Paramètres!$A$1:$I$88,3,0)*0.475*44/12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69.600398228747366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projet'!$B$17,Paramètres!$A$1:$I$88,3,0)*0.475*44/12</f>
        <v>#N/A</v>
      </c>
      <c r="GM176" s="23" t="e">
        <f>EXP(-LN(2)/25)*GM175+(1-EXP(-LN(2)/25))/(LN(2)/25)*Calculateur!GH176*Calculateur!GJ176*VLOOKUP('Données projet'!$B$17,Paramètres!$A$1:$I$88,3,0)*0.475*44/12</f>
        <v>#N/A</v>
      </c>
      <c r="GN176" s="23" t="e">
        <f>EXP(-LN(2)/2)*GN175+(1-EXP(-LN(2)/2))/(LN(2)/2)*GH176*GK176*VLOOKUP('Données projet'!$B$17,Paramètres!$A$1:$I$88,3,0)*0.475*44/12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69.600398228747366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projet'!$B$18,Paramètres!$A$1:$I$88,3,0)*0.475*44/12</f>
        <v>#N/A</v>
      </c>
      <c r="HH176" s="23" t="e">
        <f>EXP(-LN(2)/25)*HH175+(1-EXP(-LN(2)/25))/(LN(2)/25)*Calculateur!HC176*Calculateur!HE176*VLOOKUP('Données projet'!$B$18,Paramètres!$A$1:$I$88,3,0)*0.475*44/12</f>
        <v>#N/A</v>
      </c>
      <c r="HI176" s="23" t="e">
        <f>EXP(-LN(2)/2)*HI175+(1-EXP(-LN(2)/2))/(LN(2)/2)*HC176*HF176*VLOOKUP('Données projet'!$B$18,Paramètres!$A$1:$I$88,3,0)*0.475*44/12</f>
        <v>#N/A</v>
      </c>
      <c r="HJ176" s="24" t="e">
        <f t="shared" si="190"/>
        <v>#N/A</v>
      </c>
    </row>
    <row r="177" spans="1:218" x14ac:dyDescent="0.2">
      <c r="A177" s="11">
        <f t="shared" si="161"/>
        <v>174</v>
      </c>
      <c r="B177" s="77">
        <f>'Scénario référence'!$B$16*5+'Scénario référence'!$B$17*0+'Scénario référence'!$B$18*5</f>
        <v>1.6500000000000001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6.0500000000000007</v>
      </c>
      <c r="H177" s="70">
        <f t="shared" si="110"/>
        <v>232.4666666666667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69.607330426102891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projet'!$B$9,Paramètres!$A$1:$I$88,3,0)*VLOOKUP('Données projet'!$B$9,Paramètres!$A$1:$I$88,5,0)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291.89354489571258</v>
      </c>
      <c r="S177" s="62">
        <f ca="1">AVERAGE(OFFSET($R$3,0,0,'Données projet'!$E$9+1,1))-AVERAGE(OFFSET($H$3,0,0,'Données projet'!$E$9+1,1))</f>
        <v>354.71367224254021</v>
      </c>
      <c r="T177" s="62">
        <f t="shared" si="142"/>
        <v>490.074370133397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18.119967479536939</v>
      </c>
      <c r="AA177" s="23">
        <f>EXP(-LN(2)/25)*AA176+(1-EXP(-LN(2)/25))/(LN(2)/25)*Calculateur!V177*Calculateur!X177*VLOOKUP('Données projet'!$B$9,Paramètres!$A$1:$I$88,3,0)*0.475*44/12</f>
        <v>1.5705699380074429</v>
      </c>
      <c r="AB177" s="23">
        <f>EXP(-LN(2)/2)*AB176+(1-EXP(-LN(2)/2))/(LN(2)/2)*V177*Y177*VLOOKUP('Données projet'!$B$9,Paramètres!$A$1:$I$88,3,0)*0.475*44/12</f>
        <v>3.9496985190361949E-18</v>
      </c>
      <c r="AC177" s="24">
        <f t="shared" si="163"/>
        <v>19.69053741754438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69.607330426102891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2.2737367544323206E-13</v>
      </c>
      <c r="AJ177" s="14">
        <f>AI177*VLOOKUP('Données projet'!$B$10,Paramètres!$A$1:$I$88,3,0)*VLOOKUP('Données projet'!$B$10,Paramètres!$A$1:$I$88,5,0)</f>
        <v>1.3596945791505279E-13</v>
      </c>
      <c r="AK177" s="14">
        <f t="shared" si="164"/>
        <v>1.9708830566360721E-12</v>
      </c>
      <c r="AL177" s="22">
        <f t="shared" si="165"/>
        <v>3.669434796176543E-12</v>
      </c>
      <c r="AM177" s="62">
        <f t="shared" si="113"/>
        <v>291.89354489571429</v>
      </c>
      <c r="AN177" s="62">
        <f ca="1">AVERAGE(OFFSET($AM$3,0,0,'Données projet'!$E$10+1,1))-AVERAGE(OFFSET($H$3,0,0,'Données projet'!$E$10+1,1))</f>
        <v>264.73276096087574</v>
      </c>
      <c r="AO177" s="62">
        <f t="shared" si="144"/>
        <v>381.84464918049662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projet'!$B$10,Paramètres!$A$1:$I$88,3,0)*0.475*44/12</f>
        <v>12.707648333067944</v>
      </c>
      <c r="AV177" s="23">
        <f>EXP(-LN(2)/25)*AV176+(1-EXP(-LN(2)/25))/(LN(2)/25)*Calculateur!AQ177*Calculateur!AS177*VLOOKUP('Données projet'!$B$10,Paramètres!$A$1:$I$88,3,0)*0.475*44/12</f>
        <v>1.103375898165377</v>
      </c>
      <c r="AW177" s="23">
        <f>EXP(-LN(2)/2)*AW176+(1-EXP(-LN(2)/2))/(LN(2)/2)*AQ177*AT177*VLOOKUP('Données projet'!$B$10,Paramètres!$A$1:$I$88,3,0)*0.475*44/12</f>
        <v>2.7656116298653228E-18</v>
      </c>
      <c r="AX177" s="23">
        <f t="shared" si="166"/>
        <v>13.81102423123332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69.607330426102891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-2.8421709430404007E-13</v>
      </c>
      <c r="BE177" s="14">
        <f>BD177*VLOOKUP('Données projet'!$B$11,Paramètres!$A$1:$I$88,3,0)*VLOOKUP('Données projet'!$B$11,Paramètres!$A$1:$I$88,5,0)</f>
        <v>-3.2366642699344083E-13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470.57532875732056</v>
      </c>
      <c r="BJ177" s="62">
        <f t="shared" si="146"/>
        <v>286.63787681165888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projet'!$B$11,Paramètres!$A$1:$I$88,3,0)*0.475*44/12</f>
        <v>55.742119161189486</v>
      </c>
      <c r="BQ177" s="23">
        <f>EXP(-LN(2)/25)*BQ176+(1-EXP(-LN(2)/25))/(LN(2)/25)*Calculateur!BL177*Calculateur!BN177*VLOOKUP('Données projet'!$B$11,Paramètres!$A$1:$I$88,3,0)*0.475*44/12</f>
        <v>0</v>
      </c>
      <c r="BR177" s="23">
        <f>EXP(-LN(2)/2)*BR176+(1-EXP(-LN(2)/2))/(LN(2)/2)*BL177*BO177*VLOOKUP('Données projet'!$B$11,Paramètres!$A$1:$I$88,3,0)*0.475*44/12</f>
        <v>0</v>
      </c>
      <c r="BS177" s="24">
        <f t="shared" si="169"/>
        <v>55.742119161189486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69.607330426102891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-2.2737367544323206E-13</v>
      </c>
      <c r="BZ177" s="14">
        <f>BY177*VLOOKUP('Données projet'!$B$12,Paramètres!$A$1:$I$88,3,0)*VLOOKUP('Données projet'!$B$12,Paramètres!$A$1:$I$88,5,0)</f>
        <v>-1.4897523215040565E-13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305.38855494899906</v>
      </c>
      <c r="CE177" s="62">
        <f t="shared" si="148"/>
        <v>298.48106301229177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projet'!$B$12,Paramètres!$A$1:$I$88,3,0)*0.475*44/12</f>
        <v>13.178301659250334</v>
      </c>
      <c r="CL177" s="23">
        <f>EXP(-LN(2)/25)*CL176+(1-EXP(-LN(2)/25))/(LN(2)/25)*Calculateur!CG177*Calculateur!CI177*VLOOKUP('Données projet'!$B$12,Paramètres!$A$1:$I$88,3,0)*0.475*44/12</f>
        <v>0</v>
      </c>
      <c r="CM177" s="23">
        <f>EXP(-LN(2)/2)*CM176+(1-EXP(-LN(2)/2))/(LN(2)/2)*CG177*CJ177*VLOOKUP('Données projet'!$B$12,Paramètres!$A$1:$I$88,3,0)*0.475*44/12</f>
        <v>0</v>
      </c>
      <c r="CN177" s="24">
        <f t="shared" si="172"/>
        <v>13.178301659250334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69.607330426102891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-2.2737367544323206E-13</v>
      </c>
      <c r="CU177" s="18">
        <f>CT177*VLOOKUP('Données projet'!$B$13,Paramètres!$A$1:$I$88,3,0)*VLOOKUP('Données projet'!$B$13,Paramètres!$A$1:$I$88,5,0)</f>
        <v>-1.8089849618263545E-13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361.30066984973894</v>
      </c>
      <c r="CZ177" s="62">
        <f t="shared" si="150"/>
        <v>351.78053157121622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projet'!$B$13,Paramètres!$A$1:$I$88,3,0)*0.475*44/12</f>
        <v>19.723670755788273</v>
      </c>
      <c r="DG177" s="23">
        <f>EXP(-LN(2)/25)*DG176+(1-EXP(-LN(2)/25))/(LN(2)/25)*Calculateur!DB177*Calculateur!DD177*VLOOKUP('Données projet'!$B$13,Paramètres!$A$1:$I$88,3,0)*0.475*44/12</f>
        <v>0</v>
      </c>
      <c r="DH177" s="23">
        <f>EXP(-LN(2)/2)*DH176+(1-EXP(-LN(2)/2))/(LN(2)/2)*DB177*DE177*VLOOKUP('Données projet'!$B$13,Paramètres!$A$1:$I$88,3,0)*0.475*44/12</f>
        <v>0</v>
      </c>
      <c r="DI177" s="24">
        <f t="shared" si="175"/>
        <v>19.723670755788273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69.607330426102891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>
        <f>DO177*VLOOKUP('Données projet'!$B$14,Paramètres!$A$1:$I$88,3,0)*VLOOKUP('Données projet'!$B$14,Paramètres!$A$1:$I$88,5,0)</f>
        <v>0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91.201152634762423</v>
      </c>
      <c r="DU177" s="62">
        <f t="shared" si="152"/>
        <v>233.36981992862445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projet'!$B$14,Paramètres!$A$1:$I$88,3,0)*0.475*44/12</f>
        <v>2.393716891293399</v>
      </c>
      <c r="EB177" s="23">
        <f>EXP(-LN(2)/25)*EB176+(1-EXP(-LN(2)/25))/(LN(2)/25)*Calculateur!DW177*Calculateur!DY177*VLOOKUP('Données projet'!$B$14,Paramètres!$A$1:$I$88,3,0)*0.475*44/12</f>
        <v>0</v>
      </c>
      <c r="EC177" s="23">
        <f>EXP(-LN(2)/2)*EC176+(1-EXP(-LN(2)/2))/(LN(2)/2)*DW177*DZ177*VLOOKUP('Données projet'!$B$14,Paramètres!$A$1:$I$88,3,0)*0.475*44/12</f>
        <v>0</v>
      </c>
      <c r="ED177" s="24">
        <f t="shared" si="178"/>
        <v>2.393716891293399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69.607330426102891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projet'!$B$15,Paramètres!$A$1:$I$88,3,0)*0.475*44/12</f>
        <v>#N/A</v>
      </c>
      <c r="EW177" s="23" t="e">
        <f>EXP(-LN(2)/25)*EW176+(1-EXP(-LN(2)/25))/(LN(2)/25)*Calculateur!ER177*Calculateur!ET177*VLOOKUP('Données projet'!$B$15,Paramètres!$A$1:$I$88,3,0)*0.475*44/12</f>
        <v>#N/A</v>
      </c>
      <c r="EX177" s="23" t="e">
        <f>EXP(-LN(2)/2)*EX176+(1-EXP(-LN(2)/2))/(LN(2)/2)*ER177*EU177*VLOOKUP('Données projet'!$B$15,Paramètres!$A$1:$I$88,3,0)*0.475*44/12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69.607330426102891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projet'!$B$16,Paramètres!$A$1:$I$88,3,0)*0.475*44/12</f>
        <v>#N/A</v>
      </c>
      <c r="FR177" s="23" t="e">
        <f>EXP(-LN(2)/25)*FR176+(1-EXP(-LN(2)/25))/(LN(2)/25)*Calculateur!FM177*Calculateur!FO177*VLOOKUP('Données projet'!$B$16,Paramètres!$A$1:$I$88,3,0)*0.475*44/12</f>
        <v>#N/A</v>
      </c>
      <c r="FS177" s="23" t="e">
        <f>EXP(-LN(2)/2)*FS176+(1-EXP(-LN(2)/2))/(LN(2)/2)*FM177*FP177*VLOOKUP('Données projet'!$B$16,Paramètres!$A$1:$I$88,3,0)*0.475*44/12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69.607330426102891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projet'!$B$17,Paramètres!$A$1:$I$88,3,0)*0.475*44/12</f>
        <v>#N/A</v>
      </c>
      <c r="GM177" s="23" t="e">
        <f>EXP(-LN(2)/25)*GM176+(1-EXP(-LN(2)/25))/(LN(2)/25)*Calculateur!GH177*Calculateur!GJ177*VLOOKUP('Données projet'!$B$17,Paramètres!$A$1:$I$88,3,0)*0.475*44/12</f>
        <v>#N/A</v>
      </c>
      <c r="GN177" s="23" t="e">
        <f>EXP(-LN(2)/2)*GN176+(1-EXP(-LN(2)/2))/(LN(2)/2)*GH177*GK177*VLOOKUP('Données projet'!$B$17,Paramètres!$A$1:$I$88,3,0)*0.475*44/12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69.607330426102891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projet'!$B$18,Paramètres!$A$1:$I$88,3,0)*0.475*44/12</f>
        <v>#N/A</v>
      </c>
      <c r="HH177" s="23" t="e">
        <f>EXP(-LN(2)/25)*HH176+(1-EXP(-LN(2)/25))/(LN(2)/25)*Calculateur!HC177*Calculateur!HE177*VLOOKUP('Données projet'!$B$18,Paramètres!$A$1:$I$88,3,0)*0.475*44/12</f>
        <v>#N/A</v>
      </c>
      <c r="HI177" s="23" t="e">
        <f>EXP(-LN(2)/2)*HI176+(1-EXP(-LN(2)/2))/(LN(2)/2)*HC177*HF177*VLOOKUP('Données projet'!$B$18,Paramètres!$A$1:$I$88,3,0)*0.475*44/12</f>
        <v>#N/A</v>
      </c>
      <c r="HJ177" s="24" t="e">
        <f t="shared" si="190"/>
        <v>#N/A</v>
      </c>
    </row>
    <row r="178" spans="1:218" x14ac:dyDescent="0.2">
      <c r="A178" s="11">
        <f t="shared" si="161"/>
        <v>175</v>
      </c>
      <c r="B178" s="77">
        <f>'Scénario référence'!$B$16*5+'Scénario référence'!$B$17*0+'Scénario référence'!$B$18*5</f>
        <v>1.6500000000000001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6.0500000000000007</v>
      </c>
      <c r="H178" s="70">
        <f t="shared" si="110"/>
        <v>232.4666666666667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69.614142365332341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projet'!$B$9,Paramètres!$A$1:$I$88,3,0)*VLOOKUP('Données projet'!$B$9,Paramètres!$A$1:$I$88,5,0)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291.91852200622054</v>
      </c>
      <c r="S178" s="62">
        <f ca="1">AVERAGE(OFFSET($R$3,0,0,'Données projet'!$E$9+1,1))-AVERAGE(OFFSET($H$3,0,0,'Données projet'!$E$9+1,1))</f>
        <v>354.71367224254021</v>
      </c>
      <c r="T178" s="62">
        <f t="shared" si="142"/>
        <v>490.074370133397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17.764645969352078</v>
      </c>
      <c r="AA178" s="23">
        <f>EXP(-LN(2)/25)*AA177+(1-EXP(-LN(2)/25))/(LN(2)/25)*Calculateur!V178*Calculateur!X178*VLOOKUP('Données projet'!$B$9,Paramètres!$A$1:$I$88,3,0)*0.475*44/12</f>
        <v>1.5276226204599459</v>
      </c>
      <c r="AB178" s="23">
        <f>EXP(-LN(2)/2)*AB177+(1-EXP(-LN(2)/2))/(LN(2)/2)*V178*Y178*VLOOKUP('Données projet'!$B$9,Paramètres!$A$1:$I$88,3,0)*0.475*44/12</f>
        <v>2.7928586064529576E-18</v>
      </c>
      <c r="AC178" s="24">
        <f t="shared" si="163"/>
        <v>19.292268589812025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69.614142365332341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2.2737367544323206E-13</v>
      </c>
      <c r="AJ178" s="14">
        <f>AI178*VLOOKUP('Données projet'!$B$10,Paramètres!$A$1:$I$88,3,0)*VLOOKUP('Données projet'!$B$10,Paramètres!$A$1:$I$88,5,0)</f>
        <v>1.3596945791505279E-13</v>
      </c>
      <c r="AK178" s="14">
        <f t="shared" si="164"/>
        <v>1.9708830566360721E-12</v>
      </c>
      <c r="AL178" s="22">
        <f t="shared" si="165"/>
        <v>3.669434796176543E-12</v>
      </c>
      <c r="AM178" s="62">
        <f t="shared" si="113"/>
        <v>291.91852200622225</v>
      </c>
      <c r="AN178" s="62">
        <f ca="1">AVERAGE(OFFSET($AM$3,0,0,'Données projet'!$E$10+1,1))-AVERAGE(OFFSET($H$3,0,0,'Données projet'!$E$10+1,1))</f>
        <v>264.73276096087574</v>
      </c>
      <c r="AO178" s="62">
        <f t="shared" si="144"/>
        <v>381.84464918049662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projet'!$B$10,Paramètres!$A$1:$I$88,3,0)*0.475*44/12</f>
        <v>12.458459100156627</v>
      </c>
      <c r="AV178" s="23">
        <f>EXP(-LN(2)/25)*AV177+(1-EXP(-LN(2)/25))/(LN(2)/25)*Calculateur!AQ178*Calculateur!AS178*VLOOKUP('Données projet'!$B$10,Paramètres!$A$1:$I$88,3,0)*0.475*44/12</f>
        <v>1.0732040262060281</v>
      </c>
      <c r="AW178" s="23">
        <f>EXP(-LN(2)/2)*AW177+(1-EXP(-LN(2)/2))/(LN(2)/2)*AQ178*AT178*VLOOKUP('Données projet'!$B$10,Paramètres!$A$1:$I$88,3,0)*0.475*44/12</f>
        <v>1.9555827376061499E-18</v>
      </c>
      <c r="AX178" s="23">
        <f t="shared" si="166"/>
        <v>13.531663126362655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69.614142365332341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-2.8421709430404007E-13</v>
      </c>
      <c r="BE178" s="14">
        <f>BD178*VLOOKUP('Données projet'!$B$11,Paramètres!$A$1:$I$88,3,0)*VLOOKUP('Données projet'!$B$11,Paramètres!$A$1:$I$88,5,0)</f>
        <v>-3.2366642699344083E-13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470.57532875732056</v>
      </c>
      <c r="BJ178" s="62">
        <f t="shared" si="146"/>
        <v>286.63787681165888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projet'!$B$11,Paramètres!$A$1:$I$88,3,0)*0.475*44/12</f>
        <v>54.649050203774095</v>
      </c>
      <c r="BQ178" s="23">
        <f>EXP(-LN(2)/25)*BQ177+(1-EXP(-LN(2)/25))/(LN(2)/25)*Calculateur!BL178*Calculateur!BN178*VLOOKUP('Données projet'!$B$11,Paramètres!$A$1:$I$88,3,0)*0.475*44/12</f>
        <v>0</v>
      </c>
      <c r="BR178" s="23">
        <f>EXP(-LN(2)/2)*BR177+(1-EXP(-LN(2)/2))/(LN(2)/2)*BL178*BO178*VLOOKUP('Données projet'!$B$11,Paramètres!$A$1:$I$88,3,0)*0.475*44/12</f>
        <v>0</v>
      </c>
      <c r="BS178" s="24">
        <f t="shared" si="169"/>
        <v>54.649050203774095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69.614142365332341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-2.2737367544323206E-13</v>
      </c>
      <c r="BZ178" s="14">
        <f>BY178*VLOOKUP('Données projet'!$B$12,Paramètres!$A$1:$I$88,3,0)*VLOOKUP('Données projet'!$B$12,Paramètres!$A$1:$I$88,5,0)</f>
        <v>-1.4897523215040565E-13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305.38855494899906</v>
      </c>
      <c r="CE178" s="62">
        <f t="shared" si="148"/>
        <v>298.48106301229177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projet'!$B$12,Paramètres!$A$1:$I$88,3,0)*0.475*44/12</f>
        <v>12.919883201682763</v>
      </c>
      <c r="CL178" s="23">
        <f>EXP(-LN(2)/25)*CL177+(1-EXP(-LN(2)/25))/(LN(2)/25)*Calculateur!CG178*Calculateur!CI178*VLOOKUP('Données projet'!$B$12,Paramètres!$A$1:$I$88,3,0)*0.475*44/12</f>
        <v>0</v>
      </c>
      <c r="CM178" s="23">
        <f>EXP(-LN(2)/2)*CM177+(1-EXP(-LN(2)/2))/(LN(2)/2)*CG178*CJ178*VLOOKUP('Données projet'!$B$12,Paramètres!$A$1:$I$88,3,0)*0.475*44/12</f>
        <v>0</v>
      </c>
      <c r="CN178" s="24">
        <f t="shared" si="172"/>
        <v>12.919883201682763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69.614142365332341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-2.2737367544323206E-13</v>
      </c>
      <c r="CU178" s="18">
        <f>CT178*VLOOKUP('Données projet'!$B$13,Paramètres!$A$1:$I$88,3,0)*VLOOKUP('Données projet'!$B$13,Paramètres!$A$1:$I$88,5,0)</f>
        <v>-1.8089849618263545E-13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361.30066984973894</v>
      </c>
      <c r="CZ178" s="62">
        <f t="shared" si="150"/>
        <v>351.78053157121622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projet'!$B$13,Paramètres!$A$1:$I$88,3,0)*0.475*44/12</f>
        <v>19.336901602518537</v>
      </c>
      <c r="DG178" s="23">
        <f>EXP(-LN(2)/25)*DG177+(1-EXP(-LN(2)/25))/(LN(2)/25)*Calculateur!DB178*Calculateur!DD178*VLOOKUP('Données projet'!$B$13,Paramètres!$A$1:$I$88,3,0)*0.475*44/12</f>
        <v>0</v>
      </c>
      <c r="DH178" s="23">
        <f>EXP(-LN(2)/2)*DH177+(1-EXP(-LN(2)/2))/(LN(2)/2)*DB178*DE178*VLOOKUP('Données projet'!$B$13,Paramètres!$A$1:$I$88,3,0)*0.475*44/12</f>
        <v>0</v>
      </c>
      <c r="DI178" s="24">
        <f t="shared" si="175"/>
        <v>19.336901602518537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69.614142365332341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>
        <f>DO178*VLOOKUP('Données projet'!$B$14,Paramètres!$A$1:$I$88,3,0)*VLOOKUP('Données projet'!$B$14,Paramètres!$A$1:$I$88,5,0)</f>
        <v>0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91.201152634762423</v>
      </c>
      <c r="DU178" s="62">
        <f t="shared" si="152"/>
        <v>233.36981992862445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projet'!$B$14,Paramètres!$A$1:$I$88,3,0)*0.475*44/12</f>
        <v>2.3467775630782737</v>
      </c>
      <c r="EB178" s="23">
        <f>EXP(-LN(2)/25)*EB177+(1-EXP(-LN(2)/25))/(LN(2)/25)*Calculateur!DW178*Calculateur!DY178*VLOOKUP('Données projet'!$B$14,Paramètres!$A$1:$I$88,3,0)*0.475*44/12</f>
        <v>0</v>
      </c>
      <c r="EC178" s="23">
        <f>EXP(-LN(2)/2)*EC177+(1-EXP(-LN(2)/2))/(LN(2)/2)*DW178*DZ178*VLOOKUP('Données projet'!$B$14,Paramètres!$A$1:$I$88,3,0)*0.475*44/12</f>
        <v>0</v>
      </c>
      <c r="ED178" s="24">
        <f t="shared" si="178"/>
        <v>2.3467775630782737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69.614142365332341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projet'!$B$15,Paramètres!$A$1:$I$88,3,0)*0.475*44/12</f>
        <v>#N/A</v>
      </c>
      <c r="EW178" s="23" t="e">
        <f>EXP(-LN(2)/25)*EW177+(1-EXP(-LN(2)/25))/(LN(2)/25)*Calculateur!ER178*Calculateur!ET178*VLOOKUP('Données projet'!$B$15,Paramètres!$A$1:$I$88,3,0)*0.475*44/12</f>
        <v>#N/A</v>
      </c>
      <c r="EX178" s="23" t="e">
        <f>EXP(-LN(2)/2)*EX177+(1-EXP(-LN(2)/2))/(LN(2)/2)*ER178*EU178*VLOOKUP('Données projet'!$B$15,Paramètres!$A$1:$I$88,3,0)*0.475*44/12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69.614142365332341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projet'!$B$16,Paramètres!$A$1:$I$88,3,0)*0.475*44/12</f>
        <v>#N/A</v>
      </c>
      <c r="FR178" s="23" t="e">
        <f>EXP(-LN(2)/25)*FR177+(1-EXP(-LN(2)/25))/(LN(2)/25)*Calculateur!FM178*Calculateur!FO178*VLOOKUP('Données projet'!$B$16,Paramètres!$A$1:$I$88,3,0)*0.475*44/12</f>
        <v>#N/A</v>
      </c>
      <c r="FS178" s="23" t="e">
        <f>EXP(-LN(2)/2)*FS177+(1-EXP(-LN(2)/2))/(LN(2)/2)*FM178*FP178*VLOOKUP('Données projet'!$B$16,Paramètres!$A$1:$I$88,3,0)*0.475*44/12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69.614142365332341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projet'!$B$17,Paramètres!$A$1:$I$88,3,0)*0.475*44/12</f>
        <v>#N/A</v>
      </c>
      <c r="GM178" s="23" t="e">
        <f>EXP(-LN(2)/25)*GM177+(1-EXP(-LN(2)/25))/(LN(2)/25)*Calculateur!GH178*Calculateur!GJ178*VLOOKUP('Données projet'!$B$17,Paramètres!$A$1:$I$88,3,0)*0.475*44/12</f>
        <v>#N/A</v>
      </c>
      <c r="GN178" s="23" t="e">
        <f>EXP(-LN(2)/2)*GN177+(1-EXP(-LN(2)/2))/(LN(2)/2)*GH178*GK178*VLOOKUP('Données projet'!$B$17,Paramètres!$A$1:$I$88,3,0)*0.475*44/12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69.614142365332341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projet'!$B$18,Paramètres!$A$1:$I$88,3,0)*0.475*44/12</f>
        <v>#N/A</v>
      </c>
      <c r="HH178" s="23" t="e">
        <f>EXP(-LN(2)/25)*HH177+(1-EXP(-LN(2)/25))/(LN(2)/25)*Calculateur!HC178*Calculateur!HE178*VLOOKUP('Données projet'!$B$18,Paramètres!$A$1:$I$88,3,0)*0.475*44/12</f>
        <v>#N/A</v>
      </c>
      <c r="HI178" s="23" t="e">
        <f>EXP(-LN(2)/2)*HI177+(1-EXP(-LN(2)/2))/(LN(2)/2)*HC178*HF178*VLOOKUP('Données projet'!$B$18,Paramètres!$A$1:$I$88,3,0)*0.475*44/12</f>
        <v>#N/A</v>
      </c>
      <c r="HJ178" s="24" t="e">
        <f t="shared" si="190"/>
        <v>#N/A</v>
      </c>
    </row>
    <row r="179" spans="1:218" x14ac:dyDescent="0.2">
      <c r="A179" s="11">
        <f t="shared" si="161"/>
        <v>176</v>
      </c>
      <c r="B179" s="77">
        <f>'Scénario référence'!$B$16*5+'Scénario référence'!$B$17*0+'Scénario référence'!$B$18*5</f>
        <v>1.6500000000000001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6.0500000000000007</v>
      </c>
      <c r="H179" s="70">
        <f t="shared" si="110"/>
        <v>232.4666666666667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69.620836132645394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projet'!$B$9,Paramètres!$A$1:$I$88,3,0)*VLOOKUP('Données projet'!$B$9,Paramètres!$A$1:$I$88,5,0)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291.94306581970176</v>
      </c>
      <c r="S179" s="62">
        <f ca="1">AVERAGE(OFFSET($R$3,0,0,'Données projet'!$E$9+1,1))-AVERAGE(OFFSET($H$3,0,0,'Données projet'!$E$9+1,1))</f>
        <v>354.71367224254021</v>
      </c>
      <c r="T179" s="62">
        <f t="shared" si="142"/>
        <v>490.074370133397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17.416292097257219</v>
      </c>
      <c r="AA179" s="23">
        <f>EXP(-LN(2)/25)*AA178+(1-EXP(-LN(2)/25))/(LN(2)/25)*Calculateur!V179*Calculateur!X179*VLOOKUP('Données projet'!$B$9,Paramètres!$A$1:$I$88,3,0)*0.475*44/12</f>
        <v>1.4858496995692865</v>
      </c>
      <c r="AB179" s="23">
        <f>EXP(-LN(2)/2)*AB178+(1-EXP(-LN(2)/2))/(LN(2)/2)*V179*Y179*VLOOKUP('Données projet'!$B$9,Paramètres!$A$1:$I$88,3,0)*0.475*44/12</f>
        <v>1.9748492595180975E-18</v>
      </c>
      <c r="AC179" s="24">
        <f t="shared" si="163"/>
        <v>18.902141796826506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69.620836132645394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2.2737367544323206E-13</v>
      </c>
      <c r="AJ179" s="14">
        <f>AI179*VLOOKUP('Données projet'!$B$10,Paramètres!$A$1:$I$88,3,0)*VLOOKUP('Données projet'!$B$10,Paramètres!$A$1:$I$88,5,0)</f>
        <v>1.3596945791505279E-13</v>
      </c>
      <c r="AK179" s="14">
        <f t="shared" si="164"/>
        <v>1.9708830566360721E-12</v>
      </c>
      <c r="AL179" s="22">
        <f t="shared" si="165"/>
        <v>3.669434796176543E-12</v>
      </c>
      <c r="AM179" s="62">
        <f t="shared" si="113"/>
        <v>291.94306581970346</v>
      </c>
      <c r="AN179" s="62">
        <f ca="1">AVERAGE(OFFSET($AM$3,0,0,'Données projet'!$E$10+1,1))-AVERAGE(OFFSET($H$3,0,0,'Données projet'!$E$10+1,1))</f>
        <v>264.73276096087574</v>
      </c>
      <c r="AO179" s="62">
        <f t="shared" si="144"/>
        <v>381.84464918049662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projet'!$B$10,Paramètres!$A$1:$I$88,3,0)*0.475*44/12</f>
        <v>12.214156316112277</v>
      </c>
      <c r="AV179" s="23">
        <f>EXP(-LN(2)/25)*AV178+(1-EXP(-LN(2)/25))/(LN(2)/25)*Calculateur!AQ179*Calculateur!AS179*VLOOKUP('Données projet'!$B$10,Paramètres!$A$1:$I$88,3,0)*0.475*44/12</f>
        <v>1.0438572056720774</v>
      </c>
      <c r="AW179" s="23">
        <f>EXP(-LN(2)/2)*AW178+(1-EXP(-LN(2)/2))/(LN(2)/2)*AQ179*AT179*VLOOKUP('Données projet'!$B$10,Paramètres!$A$1:$I$88,3,0)*0.475*44/12</f>
        <v>1.3828058149326614E-18</v>
      </c>
      <c r="AX179" s="23">
        <f t="shared" si="166"/>
        <v>13.258013521784354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69.620836132645394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-2.8421709430404007E-13</v>
      </c>
      <c r="BE179" s="14">
        <f>BD179*VLOOKUP('Données projet'!$B$11,Paramètres!$A$1:$I$88,3,0)*VLOOKUP('Données projet'!$B$11,Paramètres!$A$1:$I$88,5,0)</f>
        <v>-3.2366642699344083E-13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470.57532875732056</v>
      </c>
      <c r="BJ179" s="62">
        <f t="shared" si="146"/>
        <v>286.63787681165888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projet'!$B$11,Paramètres!$A$1:$I$88,3,0)*0.475*44/12</f>
        <v>53.577415661907388</v>
      </c>
      <c r="BQ179" s="23">
        <f>EXP(-LN(2)/25)*BQ178+(1-EXP(-LN(2)/25))/(LN(2)/25)*Calculateur!BL179*Calculateur!BN179*VLOOKUP('Données projet'!$B$11,Paramètres!$A$1:$I$88,3,0)*0.475*44/12</f>
        <v>0</v>
      </c>
      <c r="BR179" s="23">
        <f>EXP(-LN(2)/2)*BR178+(1-EXP(-LN(2)/2))/(LN(2)/2)*BL179*BO179*VLOOKUP('Données projet'!$B$11,Paramètres!$A$1:$I$88,3,0)*0.475*44/12</f>
        <v>0</v>
      </c>
      <c r="BS179" s="24">
        <f t="shared" si="169"/>
        <v>53.577415661907388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69.620836132645394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-2.2737367544323206E-13</v>
      </c>
      <c r="BZ179" s="14">
        <f>BY179*VLOOKUP('Données projet'!$B$12,Paramètres!$A$1:$I$88,3,0)*VLOOKUP('Données projet'!$B$12,Paramètres!$A$1:$I$88,5,0)</f>
        <v>-1.4897523215040565E-13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305.38855494899906</v>
      </c>
      <c r="CE179" s="62">
        <f t="shared" si="148"/>
        <v>298.48106301229177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projet'!$B$12,Paramètres!$A$1:$I$88,3,0)*0.475*44/12</f>
        <v>12.666532172448397</v>
      </c>
      <c r="CL179" s="23">
        <f>EXP(-LN(2)/25)*CL178+(1-EXP(-LN(2)/25))/(LN(2)/25)*Calculateur!CG179*Calculateur!CI179*VLOOKUP('Données projet'!$B$12,Paramètres!$A$1:$I$88,3,0)*0.475*44/12</f>
        <v>0</v>
      </c>
      <c r="CM179" s="23">
        <f>EXP(-LN(2)/2)*CM178+(1-EXP(-LN(2)/2))/(LN(2)/2)*CG179*CJ179*VLOOKUP('Données projet'!$B$12,Paramètres!$A$1:$I$88,3,0)*0.475*44/12</f>
        <v>0</v>
      </c>
      <c r="CN179" s="24">
        <f t="shared" si="172"/>
        <v>12.666532172448397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69.620836132645394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-2.2737367544323206E-13</v>
      </c>
      <c r="CU179" s="18">
        <f>CT179*VLOOKUP('Données projet'!$B$13,Paramètres!$A$1:$I$88,3,0)*VLOOKUP('Données projet'!$B$13,Paramètres!$A$1:$I$88,5,0)</f>
        <v>-1.8089849618263545E-13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361.30066984973894</v>
      </c>
      <c r="CZ179" s="62">
        <f t="shared" si="150"/>
        <v>351.78053157121622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projet'!$B$13,Paramètres!$A$1:$I$88,3,0)*0.475*44/12</f>
        <v>18.957716756438533</v>
      </c>
      <c r="DG179" s="23">
        <f>EXP(-LN(2)/25)*DG178+(1-EXP(-LN(2)/25))/(LN(2)/25)*Calculateur!DB179*Calculateur!DD179*VLOOKUP('Données projet'!$B$13,Paramètres!$A$1:$I$88,3,0)*0.475*44/12</f>
        <v>0</v>
      </c>
      <c r="DH179" s="23">
        <f>EXP(-LN(2)/2)*DH178+(1-EXP(-LN(2)/2))/(LN(2)/2)*DB179*DE179*VLOOKUP('Données projet'!$B$13,Paramètres!$A$1:$I$88,3,0)*0.475*44/12</f>
        <v>0</v>
      </c>
      <c r="DI179" s="24">
        <f t="shared" si="175"/>
        <v>18.957716756438533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69.620836132645394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>
        <f>DO179*VLOOKUP('Données projet'!$B$14,Paramètres!$A$1:$I$88,3,0)*VLOOKUP('Données projet'!$B$14,Paramètres!$A$1:$I$88,5,0)</f>
        <v>0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91.201152634762423</v>
      </c>
      <c r="DU179" s="62">
        <f t="shared" si="152"/>
        <v>233.36981992862445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projet'!$B$14,Paramètres!$A$1:$I$88,3,0)*0.475*44/12</f>
        <v>2.3007586864592837</v>
      </c>
      <c r="EB179" s="23">
        <f>EXP(-LN(2)/25)*EB178+(1-EXP(-LN(2)/25))/(LN(2)/25)*Calculateur!DW179*Calculateur!DY179*VLOOKUP('Données projet'!$B$14,Paramètres!$A$1:$I$88,3,0)*0.475*44/12</f>
        <v>0</v>
      </c>
      <c r="EC179" s="23">
        <f>EXP(-LN(2)/2)*EC178+(1-EXP(-LN(2)/2))/(LN(2)/2)*DW179*DZ179*VLOOKUP('Données projet'!$B$14,Paramètres!$A$1:$I$88,3,0)*0.475*44/12</f>
        <v>0</v>
      </c>
      <c r="ED179" s="24">
        <f t="shared" si="178"/>
        <v>2.3007586864592837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69.620836132645394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projet'!$B$15,Paramètres!$A$1:$I$88,3,0)*0.475*44/12</f>
        <v>#N/A</v>
      </c>
      <c r="EW179" s="23" t="e">
        <f>EXP(-LN(2)/25)*EW178+(1-EXP(-LN(2)/25))/(LN(2)/25)*Calculateur!ER179*Calculateur!ET179*VLOOKUP('Données projet'!$B$15,Paramètres!$A$1:$I$88,3,0)*0.475*44/12</f>
        <v>#N/A</v>
      </c>
      <c r="EX179" s="23" t="e">
        <f>EXP(-LN(2)/2)*EX178+(1-EXP(-LN(2)/2))/(LN(2)/2)*ER179*EU179*VLOOKUP('Données projet'!$B$15,Paramètres!$A$1:$I$88,3,0)*0.475*44/12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69.620836132645394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projet'!$B$16,Paramètres!$A$1:$I$88,3,0)*0.475*44/12</f>
        <v>#N/A</v>
      </c>
      <c r="FR179" s="23" t="e">
        <f>EXP(-LN(2)/25)*FR178+(1-EXP(-LN(2)/25))/(LN(2)/25)*Calculateur!FM179*Calculateur!FO179*VLOOKUP('Données projet'!$B$16,Paramètres!$A$1:$I$88,3,0)*0.475*44/12</f>
        <v>#N/A</v>
      </c>
      <c r="FS179" s="23" t="e">
        <f>EXP(-LN(2)/2)*FS178+(1-EXP(-LN(2)/2))/(LN(2)/2)*FM179*FP179*VLOOKUP('Données projet'!$B$16,Paramètres!$A$1:$I$88,3,0)*0.475*44/12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69.620836132645394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projet'!$B$17,Paramètres!$A$1:$I$88,3,0)*0.475*44/12</f>
        <v>#N/A</v>
      </c>
      <c r="GM179" s="23" t="e">
        <f>EXP(-LN(2)/25)*GM178+(1-EXP(-LN(2)/25))/(LN(2)/25)*Calculateur!GH179*Calculateur!GJ179*VLOOKUP('Données projet'!$B$17,Paramètres!$A$1:$I$88,3,0)*0.475*44/12</f>
        <v>#N/A</v>
      </c>
      <c r="GN179" s="23" t="e">
        <f>EXP(-LN(2)/2)*GN178+(1-EXP(-LN(2)/2))/(LN(2)/2)*GH179*GK179*VLOOKUP('Données projet'!$B$17,Paramètres!$A$1:$I$88,3,0)*0.475*44/12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69.620836132645394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projet'!$B$18,Paramètres!$A$1:$I$88,3,0)*0.475*44/12</f>
        <v>#N/A</v>
      </c>
      <c r="HH179" s="23" t="e">
        <f>EXP(-LN(2)/25)*HH178+(1-EXP(-LN(2)/25))/(LN(2)/25)*Calculateur!HC179*Calculateur!HE179*VLOOKUP('Données projet'!$B$18,Paramètres!$A$1:$I$88,3,0)*0.475*44/12</f>
        <v>#N/A</v>
      </c>
      <c r="HI179" s="23" t="e">
        <f>EXP(-LN(2)/2)*HI178+(1-EXP(-LN(2)/2))/(LN(2)/2)*HC179*HF179*VLOOKUP('Données projet'!$B$18,Paramètres!$A$1:$I$88,3,0)*0.475*44/12</f>
        <v>#N/A</v>
      </c>
      <c r="HJ179" s="24" t="e">
        <f t="shared" si="190"/>
        <v>#N/A</v>
      </c>
    </row>
    <row r="180" spans="1:218" x14ac:dyDescent="0.2">
      <c r="A180" s="11">
        <f t="shared" si="161"/>
        <v>177</v>
      </c>
      <c r="B180" s="77">
        <f>'Scénario référence'!$B$16*5+'Scénario référence'!$B$17*0+'Scénario référence'!$B$18*5</f>
        <v>1.6500000000000001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6.0500000000000007</v>
      </c>
      <c r="H180" s="70">
        <f t="shared" si="110"/>
        <v>232.4666666666667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69.627413778060571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projet'!$B$9,Paramètres!$A$1:$I$88,3,0)*VLOOKUP('Données projet'!$B$9,Paramètres!$A$1:$I$88,5,0)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291.96718385289074</v>
      </c>
      <c r="S180" s="62">
        <f ca="1">AVERAGE(OFFSET($R$3,0,0,'Données projet'!$E$9+1,1))-AVERAGE(OFFSET($H$3,0,0,'Données projet'!$E$9+1,1))</f>
        <v>354.71367224254021</v>
      </c>
      <c r="T180" s="62">
        <f t="shared" si="142"/>
        <v>490.074370133397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17.074769232119262</v>
      </c>
      <c r="AA180" s="23">
        <f>EXP(-LN(2)/25)*AA179+(1-EXP(-LN(2)/25))/(LN(2)/25)*Calculateur!V180*Calculateur!X180*VLOOKUP('Données projet'!$B$9,Paramètres!$A$1:$I$88,3,0)*0.475*44/12</f>
        <v>1.4452190613971245</v>
      </c>
      <c r="AB180" s="23">
        <f>EXP(-LN(2)/2)*AB179+(1-EXP(-LN(2)/2))/(LN(2)/2)*V180*Y180*VLOOKUP('Données projet'!$B$9,Paramètres!$A$1:$I$88,3,0)*0.475*44/12</f>
        <v>1.3964293032264788E-18</v>
      </c>
      <c r="AC180" s="24">
        <f t="shared" si="163"/>
        <v>18.519988293516388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69.627413778060571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2.2737367544323206E-13</v>
      </c>
      <c r="AJ180" s="14">
        <f>AI180*VLOOKUP('Données projet'!$B$10,Paramètres!$A$1:$I$88,3,0)*VLOOKUP('Données projet'!$B$10,Paramètres!$A$1:$I$88,5,0)</f>
        <v>1.3596945791505279E-13</v>
      </c>
      <c r="AK180" s="14">
        <f t="shared" si="164"/>
        <v>1.9708830566360721E-12</v>
      </c>
      <c r="AL180" s="22">
        <f t="shared" si="165"/>
        <v>3.669434796176543E-12</v>
      </c>
      <c r="AM180" s="62">
        <f t="shared" si="113"/>
        <v>291.96718385289245</v>
      </c>
      <c r="AN180" s="62">
        <f ca="1">AVERAGE(OFFSET($AM$3,0,0,'Données projet'!$E$10+1,1))-AVERAGE(OFFSET($H$3,0,0,'Données projet'!$E$10+1,1))</f>
        <v>264.73276096087574</v>
      </c>
      <c r="AO180" s="62">
        <f t="shared" si="144"/>
        <v>381.84464918049662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projet'!$B$10,Paramètres!$A$1:$I$88,3,0)*0.475*44/12</f>
        <v>11.974644160653051</v>
      </c>
      <c r="AV180" s="23">
        <f>EXP(-LN(2)/25)*AV179+(1-EXP(-LN(2)/25))/(LN(2)/25)*Calculateur!AQ180*Calculateur!AS180*VLOOKUP('Données projet'!$B$10,Paramètres!$A$1:$I$88,3,0)*0.475*44/12</f>
        <v>1.0153128754889098</v>
      </c>
      <c r="AW180" s="23">
        <f>EXP(-LN(2)/2)*AW179+(1-EXP(-LN(2)/2))/(LN(2)/2)*AQ180*AT180*VLOOKUP('Données projet'!$B$10,Paramètres!$A$1:$I$88,3,0)*0.475*44/12</f>
        <v>9.7779136880307493E-19</v>
      </c>
      <c r="AX180" s="23">
        <f t="shared" si="166"/>
        <v>12.989957036141961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69.627413778060571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-2.8421709430404007E-13</v>
      </c>
      <c r="BE180" s="14">
        <f>BD180*VLOOKUP('Données projet'!$B$11,Paramètres!$A$1:$I$88,3,0)*VLOOKUP('Données projet'!$B$11,Paramètres!$A$1:$I$88,5,0)</f>
        <v>-3.2366642699344083E-13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470.57532875732056</v>
      </c>
      <c r="BJ180" s="62">
        <f t="shared" si="146"/>
        <v>286.63787681165888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projet'!$B$11,Paramètres!$A$1:$I$88,3,0)*0.475*44/12</f>
        <v>52.526795219774158</v>
      </c>
      <c r="BQ180" s="23">
        <f>EXP(-LN(2)/25)*BQ179+(1-EXP(-LN(2)/25))/(LN(2)/25)*Calculateur!BL180*Calculateur!BN180*VLOOKUP('Données projet'!$B$11,Paramètres!$A$1:$I$88,3,0)*0.475*44/12</f>
        <v>0</v>
      </c>
      <c r="BR180" s="23">
        <f>EXP(-LN(2)/2)*BR179+(1-EXP(-LN(2)/2))/(LN(2)/2)*BL180*BO180*VLOOKUP('Données projet'!$B$11,Paramètres!$A$1:$I$88,3,0)*0.475*44/12</f>
        <v>0</v>
      </c>
      <c r="BS180" s="24">
        <f t="shared" si="169"/>
        <v>52.526795219774158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69.627413778060571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-2.2737367544323206E-13</v>
      </c>
      <c r="BZ180" s="14">
        <f>BY180*VLOOKUP('Données projet'!$B$12,Paramètres!$A$1:$I$88,3,0)*VLOOKUP('Données projet'!$B$12,Paramètres!$A$1:$I$88,5,0)</f>
        <v>-1.4897523215040565E-13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305.38855494899906</v>
      </c>
      <c r="CE180" s="62">
        <f t="shared" si="148"/>
        <v>298.48106301229177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projet'!$B$12,Paramètres!$A$1:$I$88,3,0)*0.475*44/12</f>
        <v>12.418149202368447</v>
      </c>
      <c r="CL180" s="23">
        <f>EXP(-LN(2)/25)*CL179+(1-EXP(-LN(2)/25))/(LN(2)/25)*Calculateur!CG180*Calculateur!CI180*VLOOKUP('Données projet'!$B$12,Paramètres!$A$1:$I$88,3,0)*0.475*44/12</f>
        <v>0</v>
      </c>
      <c r="CM180" s="23">
        <f>EXP(-LN(2)/2)*CM179+(1-EXP(-LN(2)/2))/(LN(2)/2)*CG180*CJ180*VLOOKUP('Données projet'!$B$12,Paramètres!$A$1:$I$88,3,0)*0.475*44/12</f>
        <v>0</v>
      </c>
      <c r="CN180" s="24">
        <f t="shared" si="172"/>
        <v>12.418149202368447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69.627413778060571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-2.2737367544323206E-13</v>
      </c>
      <c r="CU180" s="18">
        <f>CT180*VLOOKUP('Données projet'!$B$13,Paramètres!$A$1:$I$88,3,0)*VLOOKUP('Données projet'!$B$13,Paramètres!$A$1:$I$88,5,0)</f>
        <v>-1.8089849618263545E-13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361.30066984973894</v>
      </c>
      <c r="CZ180" s="62">
        <f t="shared" si="150"/>
        <v>351.78053157121622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projet'!$B$13,Paramètres!$A$1:$I$88,3,0)*0.475*44/12</f>
        <v>18.585967493910236</v>
      </c>
      <c r="DG180" s="23">
        <f>EXP(-LN(2)/25)*DG179+(1-EXP(-LN(2)/25))/(LN(2)/25)*Calculateur!DB180*Calculateur!DD180*VLOOKUP('Données projet'!$B$13,Paramètres!$A$1:$I$88,3,0)*0.475*44/12</f>
        <v>0</v>
      </c>
      <c r="DH180" s="23">
        <f>EXP(-LN(2)/2)*DH179+(1-EXP(-LN(2)/2))/(LN(2)/2)*DB180*DE180*VLOOKUP('Données projet'!$B$13,Paramètres!$A$1:$I$88,3,0)*0.475*44/12</f>
        <v>0</v>
      </c>
      <c r="DI180" s="24">
        <f t="shared" si="175"/>
        <v>18.585967493910236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69.627413778060571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>
        <f>DO180*VLOOKUP('Données projet'!$B$14,Paramètres!$A$1:$I$88,3,0)*VLOOKUP('Données projet'!$B$14,Paramètres!$A$1:$I$88,5,0)</f>
        <v>0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91.201152634762423</v>
      </c>
      <c r="DU180" s="62">
        <f t="shared" si="152"/>
        <v>233.36981992862445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projet'!$B$14,Paramètres!$A$1:$I$88,3,0)*0.475*44/12</f>
        <v>2.2556422119420492</v>
      </c>
      <c r="EB180" s="23">
        <f>EXP(-LN(2)/25)*EB179+(1-EXP(-LN(2)/25))/(LN(2)/25)*Calculateur!DW180*Calculateur!DY180*VLOOKUP('Données projet'!$B$14,Paramètres!$A$1:$I$88,3,0)*0.475*44/12</f>
        <v>0</v>
      </c>
      <c r="EC180" s="23">
        <f>EXP(-LN(2)/2)*EC179+(1-EXP(-LN(2)/2))/(LN(2)/2)*DW180*DZ180*VLOOKUP('Données projet'!$B$14,Paramètres!$A$1:$I$88,3,0)*0.475*44/12</f>
        <v>0</v>
      </c>
      <c r="ED180" s="24">
        <f t="shared" si="178"/>
        <v>2.2556422119420492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69.627413778060571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projet'!$B$15,Paramètres!$A$1:$I$88,3,0)*0.475*44/12</f>
        <v>#N/A</v>
      </c>
      <c r="EW180" s="23" t="e">
        <f>EXP(-LN(2)/25)*EW179+(1-EXP(-LN(2)/25))/(LN(2)/25)*Calculateur!ER180*Calculateur!ET180*VLOOKUP('Données projet'!$B$15,Paramètres!$A$1:$I$88,3,0)*0.475*44/12</f>
        <v>#N/A</v>
      </c>
      <c r="EX180" s="23" t="e">
        <f>EXP(-LN(2)/2)*EX179+(1-EXP(-LN(2)/2))/(LN(2)/2)*ER180*EU180*VLOOKUP('Données projet'!$B$15,Paramètres!$A$1:$I$88,3,0)*0.475*44/12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69.627413778060571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projet'!$B$16,Paramètres!$A$1:$I$88,3,0)*0.475*44/12</f>
        <v>#N/A</v>
      </c>
      <c r="FR180" s="23" t="e">
        <f>EXP(-LN(2)/25)*FR179+(1-EXP(-LN(2)/25))/(LN(2)/25)*Calculateur!FM180*Calculateur!FO180*VLOOKUP('Données projet'!$B$16,Paramètres!$A$1:$I$88,3,0)*0.475*44/12</f>
        <v>#N/A</v>
      </c>
      <c r="FS180" s="23" t="e">
        <f>EXP(-LN(2)/2)*FS179+(1-EXP(-LN(2)/2))/(LN(2)/2)*FM180*FP180*VLOOKUP('Données projet'!$B$16,Paramètres!$A$1:$I$88,3,0)*0.475*44/12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69.627413778060571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projet'!$B$17,Paramètres!$A$1:$I$88,3,0)*0.475*44/12</f>
        <v>#N/A</v>
      </c>
      <c r="GM180" s="23" t="e">
        <f>EXP(-LN(2)/25)*GM179+(1-EXP(-LN(2)/25))/(LN(2)/25)*Calculateur!GH180*Calculateur!GJ180*VLOOKUP('Données projet'!$B$17,Paramètres!$A$1:$I$88,3,0)*0.475*44/12</f>
        <v>#N/A</v>
      </c>
      <c r="GN180" s="23" t="e">
        <f>EXP(-LN(2)/2)*GN179+(1-EXP(-LN(2)/2))/(LN(2)/2)*GH180*GK180*VLOOKUP('Données projet'!$B$17,Paramètres!$A$1:$I$88,3,0)*0.475*44/12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69.627413778060571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projet'!$B$18,Paramètres!$A$1:$I$88,3,0)*0.475*44/12</f>
        <v>#N/A</v>
      </c>
      <c r="HH180" s="23" t="e">
        <f>EXP(-LN(2)/25)*HH179+(1-EXP(-LN(2)/25))/(LN(2)/25)*Calculateur!HC180*Calculateur!HE180*VLOOKUP('Données projet'!$B$18,Paramètres!$A$1:$I$88,3,0)*0.475*44/12</f>
        <v>#N/A</v>
      </c>
      <c r="HI180" s="23" t="e">
        <f>EXP(-LN(2)/2)*HI179+(1-EXP(-LN(2)/2))/(LN(2)/2)*HC180*HF180*VLOOKUP('Données projet'!$B$18,Paramètres!$A$1:$I$88,3,0)*0.475*44/12</f>
        <v>#N/A</v>
      </c>
      <c r="HJ180" s="24" t="e">
        <f t="shared" si="190"/>
        <v>#N/A</v>
      </c>
    </row>
    <row r="181" spans="1:218" x14ac:dyDescent="0.2">
      <c r="A181" s="11">
        <f t="shared" si="161"/>
        <v>178</v>
      </c>
      <c r="B181" s="77">
        <f>'Scénario référence'!$B$16*5+'Scénario référence'!$B$17*0+'Scénario référence'!$B$18*5</f>
        <v>1.6500000000000001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6.0500000000000007</v>
      </c>
      <c r="H181" s="70">
        <f t="shared" si="110"/>
        <v>232.4666666666667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69.633877316033221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projet'!$B$9,Paramètres!$A$1:$I$88,3,0)*VLOOKUP('Données projet'!$B$9,Paramètres!$A$1:$I$88,5,0)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291.99088349212377</v>
      </c>
      <c r="S181" s="62">
        <f ca="1">AVERAGE(OFFSET($R$3,0,0,'Données projet'!$E$9+1,1))-AVERAGE(OFFSET($H$3,0,0,'Données projet'!$E$9+1,1))</f>
        <v>354.71367224254021</v>
      </c>
      <c r="T181" s="62">
        <f t="shared" si="142"/>
        <v>490.074370133397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16.739943422058282</v>
      </c>
      <c r="AA181" s="23">
        <f>EXP(-LN(2)/25)*AA180+(1-EXP(-LN(2)/25))/(LN(2)/25)*Calculateur!V181*Calculateur!X181*VLOOKUP('Données projet'!$B$9,Paramètres!$A$1:$I$88,3,0)*0.475*44/12</f>
        <v>1.4056994701624528</v>
      </c>
      <c r="AB181" s="23">
        <f>EXP(-LN(2)/2)*AB180+(1-EXP(-LN(2)/2))/(LN(2)/2)*V181*Y181*VLOOKUP('Données projet'!$B$9,Paramètres!$A$1:$I$88,3,0)*0.475*44/12</f>
        <v>9.8742462975904873E-19</v>
      </c>
      <c r="AC181" s="24">
        <f t="shared" si="163"/>
        <v>18.145642892220735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69.633877316033221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2.2737367544323206E-13</v>
      </c>
      <c r="AJ181" s="14">
        <f>AI181*VLOOKUP('Données projet'!$B$10,Paramètres!$A$1:$I$88,3,0)*VLOOKUP('Données projet'!$B$10,Paramètres!$A$1:$I$88,5,0)</f>
        <v>1.3596945791505279E-13</v>
      </c>
      <c r="AK181" s="14">
        <f t="shared" si="164"/>
        <v>1.9708830566360721E-12</v>
      </c>
      <c r="AL181" s="22">
        <f t="shared" si="165"/>
        <v>3.669434796176543E-12</v>
      </c>
      <c r="AM181" s="62">
        <f t="shared" si="113"/>
        <v>291.99088349212548</v>
      </c>
      <c r="AN181" s="62">
        <f ca="1">AVERAGE(OFFSET($AM$3,0,0,'Données projet'!$E$10+1,1))-AVERAGE(OFFSET($H$3,0,0,'Données projet'!$E$10+1,1))</f>
        <v>264.73276096087574</v>
      </c>
      <c r="AO181" s="62">
        <f t="shared" si="144"/>
        <v>381.84464918049662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projet'!$B$10,Paramètres!$A$1:$I$88,3,0)*0.475*44/12</f>
        <v>11.739828692474392</v>
      </c>
      <c r="AV181" s="23">
        <f>EXP(-LN(2)/25)*AV180+(1-EXP(-LN(2)/25))/(LN(2)/25)*Calculateur!AQ181*Calculateur!AS181*VLOOKUP('Données projet'!$B$10,Paramètres!$A$1:$I$88,3,0)*0.475*44/12</f>
        <v>0.98754909151568193</v>
      </c>
      <c r="AW181" s="23">
        <f>EXP(-LN(2)/2)*AW180+(1-EXP(-LN(2)/2))/(LN(2)/2)*AQ181*AT181*VLOOKUP('Données projet'!$B$10,Paramètres!$A$1:$I$88,3,0)*0.475*44/12</f>
        <v>6.914029074663307E-19</v>
      </c>
      <c r="AX181" s="23">
        <f t="shared" si="166"/>
        <v>12.727377783990073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69.633877316033221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-2.8421709430404007E-13</v>
      </c>
      <c r="BE181" s="14">
        <f>BD181*VLOOKUP('Données projet'!$B$11,Paramètres!$A$1:$I$88,3,0)*VLOOKUP('Données projet'!$B$11,Paramètres!$A$1:$I$88,5,0)</f>
        <v>-3.2366642699344083E-13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470.57532875732056</v>
      </c>
      <c r="BJ181" s="62">
        <f t="shared" si="146"/>
        <v>286.63787681165888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projet'!$B$11,Paramètres!$A$1:$I$88,3,0)*0.475*44/12</f>
        <v>51.496776803695965</v>
      </c>
      <c r="BQ181" s="23">
        <f>EXP(-LN(2)/25)*BQ180+(1-EXP(-LN(2)/25))/(LN(2)/25)*Calculateur!BL181*Calculateur!BN181*VLOOKUP('Données projet'!$B$11,Paramètres!$A$1:$I$88,3,0)*0.475*44/12</f>
        <v>0</v>
      </c>
      <c r="BR181" s="23">
        <f>EXP(-LN(2)/2)*BR180+(1-EXP(-LN(2)/2))/(LN(2)/2)*BL181*BO181*VLOOKUP('Données projet'!$B$11,Paramètres!$A$1:$I$88,3,0)*0.475*44/12</f>
        <v>0</v>
      </c>
      <c r="BS181" s="24">
        <f t="shared" si="169"/>
        <v>51.496776803695965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69.633877316033221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-2.2737367544323206E-13</v>
      </c>
      <c r="BZ181" s="14">
        <f>BY181*VLOOKUP('Données projet'!$B$12,Paramètres!$A$1:$I$88,3,0)*VLOOKUP('Données projet'!$B$12,Paramètres!$A$1:$I$88,5,0)</f>
        <v>-1.4897523215040565E-13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305.38855494899906</v>
      </c>
      <c r="CE181" s="62">
        <f t="shared" si="148"/>
        <v>298.48106301229177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projet'!$B$12,Paramètres!$A$1:$I$88,3,0)*0.475*44/12</f>
        <v>12.174636870833114</v>
      </c>
      <c r="CL181" s="23">
        <f>EXP(-LN(2)/25)*CL180+(1-EXP(-LN(2)/25))/(LN(2)/25)*Calculateur!CG181*Calculateur!CI181*VLOOKUP('Données projet'!$B$12,Paramètres!$A$1:$I$88,3,0)*0.475*44/12</f>
        <v>0</v>
      </c>
      <c r="CM181" s="23">
        <f>EXP(-LN(2)/2)*CM180+(1-EXP(-LN(2)/2))/(LN(2)/2)*CG181*CJ181*VLOOKUP('Données projet'!$B$12,Paramètres!$A$1:$I$88,3,0)*0.475*44/12</f>
        <v>0</v>
      </c>
      <c r="CN181" s="24">
        <f t="shared" si="172"/>
        <v>12.174636870833114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69.633877316033221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-2.2737367544323206E-13</v>
      </c>
      <c r="CU181" s="18">
        <f>CT181*VLOOKUP('Données projet'!$B$13,Paramètres!$A$1:$I$88,3,0)*VLOOKUP('Données projet'!$B$13,Paramètres!$A$1:$I$88,5,0)</f>
        <v>-1.8089849618263545E-13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361.30066984973894</v>
      </c>
      <c r="CZ181" s="62">
        <f t="shared" si="150"/>
        <v>351.78053157121622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projet'!$B$13,Paramètres!$A$1:$I$88,3,0)*0.475*44/12</f>
        <v>18.221508007675457</v>
      </c>
      <c r="DG181" s="23">
        <f>EXP(-LN(2)/25)*DG180+(1-EXP(-LN(2)/25))/(LN(2)/25)*Calculateur!DB181*Calculateur!DD181*VLOOKUP('Données projet'!$B$13,Paramètres!$A$1:$I$88,3,0)*0.475*44/12</f>
        <v>0</v>
      </c>
      <c r="DH181" s="23">
        <f>EXP(-LN(2)/2)*DH180+(1-EXP(-LN(2)/2))/(LN(2)/2)*DB181*DE181*VLOOKUP('Données projet'!$B$13,Paramètres!$A$1:$I$88,3,0)*0.475*44/12</f>
        <v>0</v>
      </c>
      <c r="DI181" s="24">
        <f t="shared" si="175"/>
        <v>18.221508007675457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69.633877316033221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>
        <f>DO181*VLOOKUP('Données projet'!$B$14,Paramètres!$A$1:$I$88,3,0)*VLOOKUP('Données projet'!$B$14,Paramètres!$A$1:$I$88,5,0)</f>
        <v>0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91.201152634762423</v>
      </c>
      <c r="DU181" s="62">
        <f t="shared" si="152"/>
        <v>233.36981992862445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projet'!$B$14,Paramètres!$A$1:$I$88,3,0)*0.475*44/12</f>
        <v>2.2114104439717654</v>
      </c>
      <c r="EB181" s="23">
        <f>EXP(-LN(2)/25)*EB180+(1-EXP(-LN(2)/25))/(LN(2)/25)*Calculateur!DW181*Calculateur!DY181*VLOOKUP('Données projet'!$B$14,Paramètres!$A$1:$I$88,3,0)*0.475*44/12</f>
        <v>0</v>
      </c>
      <c r="EC181" s="23">
        <f>EXP(-LN(2)/2)*EC180+(1-EXP(-LN(2)/2))/(LN(2)/2)*DW181*DZ181*VLOOKUP('Données projet'!$B$14,Paramètres!$A$1:$I$88,3,0)*0.475*44/12</f>
        <v>0</v>
      </c>
      <c r="ED181" s="24">
        <f t="shared" si="178"/>
        <v>2.2114104439717654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69.633877316033221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projet'!$B$15,Paramètres!$A$1:$I$88,3,0)*0.475*44/12</f>
        <v>#N/A</v>
      </c>
      <c r="EW181" s="23" t="e">
        <f>EXP(-LN(2)/25)*EW180+(1-EXP(-LN(2)/25))/(LN(2)/25)*Calculateur!ER181*Calculateur!ET181*VLOOKUP('Données projet'!$B$15,Paramètres!$A$1:$I$88,3,0)*0.475*44/12</f>
        <v>#N/A</v>
      </c>
      <c r="EX181" s="23" t="e">
        <f>EXP(-LN(2)/2)*EX180+(1-EXP(-LN(2)/2))/(LN(2)/2)*ER181*EU181*VLOOKUP('Données projet'!$B$15,Paramètres!$A$1:$I$88,3,0)*0.475*44/12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69.633877316033221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projet'!$B$16,Paramètres!$A$1:$I$88,3,0)*0.475*44/12</f>
        <v>#N/A</v>
      </c>
      <c r="FR181" s="23" t="e">
        <f>EXP(-LN(2)/25)*FR180+(1-EXP(-LN(2)/25))/(LN(2)/25)*Calculateur!FM181*Calculateur!FO181*VLOOKUP('Données projet'!$B$16,Paramètres!$A$1:$I$88,3,0)*0.475*44/12</f>
        <v>#N/A</v>
      </c>
      <c r="FS181" s="23" t="e">
        <f>EXP(-LN(2)/2)*FS180+(1-EXP(-LN(2)/2))/(LN(2)/2)*FM181*FP181*VLOOKUP('Données projet'!$B$16,Paramètres!$A$1:$I$88,3,0)*0.475*44/12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69.633877316033221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projet'!$B$17,Paramètres!$A$1:$I$88,3,0)*0.475*44/12</f>
        <v>#N/A</v>
      </c>
      <c r="GM181" s="23" t="e">
        <f>EXP(-LN(2)/25)*GM180+(1-EXP(-LN(2)/25))/(LN(2)/25)*Calculateur!GH181*Calculateur!GJ181*VLOOKUP('Données projet'!$B$17,Paramètres!$A$1:$I$88,3,0)*0.475*44/12</f>
        <v>#N/A</v>
      </c>
      <c r="GN181" s="23" t="e">
        <f>EXP(-LN(2)/2)*GN180+(1-EXP(-LN(2)/2))/(LN(2)/2)*GH181*GK181*VLOOKUP('Données projet'!$B$17,Paramètres!$A$1:$I$88,3,0)*0.475*44/12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69.633877316033221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projet'!$B$18,Paramètres!$A$1:$I$88,3,0)*0.475*44/12</f>
        <v>#N/A</v>
      </c>
      <c r="HH181" s="23" t="e">
        <f>EXP(-LN(2)/25)*HH180+(1-EXP(-LN(2)/25))/(LN(2)/25)*Calculateur!HC181*Calculateur!HE181*VLOOKUP('Données projet'!$B$18,Paramètres!$A$1:$I$88,3,0)*0.475*44/12</f>
        <v>#N/A</v>
      </c>
      <c r="HI181" s="23" t="e">
        <f>EXP(-LN(2)/2)*HI180+(1-EXP(-LN(2)/2))/(LN(2)/2)*HC181*HF181*VLOOKUP('Données projet'!$B$18,Paramètres!$A$1:$I$88,3,0)*0.475*44/12</f>
        <v>#N/A</v>
      </c>
      <c r="HJ181" s="24" t="e">
        <f t="shared" si="190"/>
        <v>#N/A</v>
      </c>
    </row>
    <row r="182" spans="1:218" x14ac:dyDescent="0.2">
      <c r="A182" s="11">
        <f t="shared" si="161"/>
        <v>179</v>
      </c>
      <c r="B182" s="77">
        <f>'Scénario référence'!$B$16*5+'Scénario référence'!$B$17*0+'Scénario référence'!$B$18*5</f>
        <v>1.6500000000000001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6.0500000000000007</v>
      </c>
      <c r="H182" s="70">
        <f t="shared" si="110"/>
        <v>232.4666666666667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69.640228726072351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projet'!$B$9,Paramètres!$A$1:$I$88,3,0)*VLOOKUP('Données projet'!$B$9,Paramètres!$A$1:$I$88,5,0)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292.01417199560058</v>
      </c>
      <c r="S182" s="62">
        <f ca="1">AVERAGE(OFFSET($R$3,0,0,'Données projet'!$E$9+1,1))-AVERAGE(OFFSET($H$3,0,0,'Données projet'!$E$9+1,1))</f>
        <v>354.71367224254021</v>
      </c>
      <c r="T182" s="62">
        <f t="shared" si="142"/>
        <v>490.074370133397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16.411683341909018</v>
      </c>
      <c r="AA182" s="23">
        <f>EXP(-LN(2)/25)*AA181+(1-EXP(-LN(2)/25))/(LN(2)/25)*Calculateur!V182*Calculateur!X182*VLOOKUP('Données projet'!$B$9,Paramètres!$A$1:$I$88,3,0)*0.475*44/12</f>
        <v>1.3672605442283381</v>
      </c>
      <c r="AB182" s="23">
        <f>EXP(-LN(2)/2)*AB181+(1-EXP(-LN(2)/2))/(LN(2)/2)*V182*Y182*VLOOKUP('Données projet'!$B$9,Paramètres!$A$1:$I$88,3,0)*0.475*44/12</f>
        <v>6.9821465161323939E-19</v>
      </c>
      <c r="AC182" s="24">
        <f t="shared" si="163"/>
        <v>17.778943886137355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69.640228726072351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2.2737367544323206E-13</v>
      </c>
      <c r="AJ182" s="14">
        <f>AI182*VLOOKUP('Données projet'!$B$10,Paramètres!$A$1:$I$88,3,0)*VLOOKUP('Données projet'!$B$10,Paramètres!$A$1:$I$88,5,0)</f>
        <v>1.3596945791505279E-13</v>
      </c>
      <c r="AK182" s="14">
        <f t="shared" si="164"/>
        <v>1.9708830566360721E-12</v>
      </c>
      <c r="AL182" s="22">
        <f t="shared" si="165"/>
        <v>3.669434796176543E-12</v>
      </c>
      <c r="AM182" s="62">
        <f t="shared" si="113"/>
        <v>292.01417199560228</v>
      </c>
      <c r="AN182" s="62">
        <f ca="1">AVERAGE(OFFSET($AM$3,0,0,'Données projet'!$E$10+1,1))-AVERAGE(OFFSET($H$3,0,0,'Données projet'!$E$10+1,1))</f>
        <v>264.73276096087574</v>
      </c>
      <c r="AO182" s="62">
        <f t="shared" si="144"/>
        <v>381.84464918049662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projet'!$B$10,Paramètres!$A$1:$I$88,3,0)*0.475*44/12</f>
        <v>11.509617812403421</v>
      </c>
      <c r="AV182" s="23">
        <f>EXP(-LN(2)/25)*AV181+(1-EXP(-LN(2)/25))/(LN(2)/25)*Calculateur!AQ182*Calculateur!AS182*VLOOKUP('Données projet'!$B$10,Paramètres!$A$1:$I$88,3,0)*0.475*44/12</f>
        <v>0.96054450967523597</v>
      </c>
      <c r="AW182" s="23">
        <f>EXP(-LN(2)/2)*AW181+(1-EXP(-LN(2)/2))/(LN(2)/2)*AQ182*AT182*VLOOKUP('Données projet'!$B$10,Paramètres!$A$1:$I$88,3,0)*0.475*44/12</f>
        <v>4.8889568440153746E-19</v>
      </c>
      <c r="AX182" s="23">
        <f t="shared" si="166"/>
        <v>12.470162322078657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69.640228726072351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-2.8421709430404007E-13</v>
      </c>
      <c r="BE182" s="14">
        <f>BD182*VLOOKUP('Données projet'!$B$11,Paramètres!$A$1:$I$88,3,0)*VLOOKUP('Données projet'!$B$11,Paramètres!$A$1:$I$88,5,0)</f>
        <v>-3.2366642699344083E-13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470.57532875732056</v>
      </c>
      <c r="BJ182" s="62">
        <f t="shared" si="146"/>
        <v>286.63787681165888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projet'!$B$11,Paramètres!$A$1:$I$88,3,0)*0.475*44/12</f>
        <v>50.486956420507866</v>
      </c>
      <c r="BQ182" s="23">
        <f>EXP(-LN(2)/25)*BQ181+(1-EXP(-LN(2)/25))/(LN(2)/25)*Calculateur!BL182*Calculateur!BN182*VLOOKUP('Données projet'!$B$11,Paramètres!$A$1:$I$88,3,0)*0.475*44/12</f>
        <v>0</v>
      </c>
      <c r="BR182" s="23">
        <f>EXP(-LN(2)/2)*BR181+(1-EXP(-LN(2)/2))/(LN(2)/2)*BL182*BO182*VLOOKUP('Données projet'!$B$11,Paramètres!$A$1:$I$88,3,0)*0.475*44/12</f>
        <v>0</v>
      </c>
      <c r="BS182" s="24">
        <f t="shared" si="169"/>
        <v>50.486956420507866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69.640228726072351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-2.2737367544323206E-13</v>
      </c>
      <c r="BZ182" s="14">
        <f>BY182*VLOOKUP('Données projet'!$B$12,Paramètres!$A$1:$I$88,3,0)*VLOOKUP('Données projet'!$B$12,Paramètres!$A$1:$I$88,5,0)</f>
        <v>-1.4897523215040565E-13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305.38855494899906</v>
      </c>
      <c r="CE182" s="62">
        <f t="shared" si="148"/>
        <v>298.48106301229177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projet'!$B$12,Paramètres!$A$1:$I$88,3,0)*0.475*44/12</f>
        <v>11.935899667591331</v>
      </c>
      <c r="CL182" s="23">
        <f>EXP(-LN(2)/25)*CL181+(1-EXP(-LN(2)/25))/(LN(2)/25)*Calculateur!CG182*Calculateur!CI182*VLOOKUP('Données projet'!$B$12,Paramètres!$A$1:$I$88,3,0)*0.475*44/12</f>
        <v>0</v>
      </c>
      <c r="CM182" s="23">
        <f>EXP(-LN(2)/2)*CM181+(1-EXP(-LN(2)/2))/(LN(2)/2)*CG182*CJ182*VLOOKUP('Données projet'!$B$12,Paramètres!$A$1:$I$88,3,0)*0.475*44/12</f>
        <v>0</v>
      </c>
      <c r="CN182" s="24">
        <f t="shared" si="172"/>
        <v>11.935899667591331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69.640228726072351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-2.2737367544323206E-13</v>
      </c>
      <c r="CU182" s="18">
        <f>CT182*VLOOKUP('Données projet'!$B$13,Paramètres!$A$1:$I$88,3,0)*VLOOKUP('Données projet'!$B$13,Paramètres!$A$1:$I$88,5,0)</f>
        <v>-1.8089849618263545E-13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361.30066984973894</v>
      </c>
      <c r="CZ182" s="62">
        <f t="shared" si="150"/>
        <v>351.78053157121622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projet'!$B$13,Paramètres!$A$1:$I$88,3,0)*0.475*44/12</f>
        <v>17.864195349667408</v>
      </c>
      <c r="DG182" s="23">
        <f>EXP(-LN(2)/25)*DG181+(1-EXP(-LN(2)/25))/(LN(2)/25)*Calculateur!DB182*Calculateur!DD182*VLOOKUP('Données projet'!$B$13,Paramètres!$A$1:$I$88,3,0)*0.475*44/12</f>
        <v>0</v>
      </c>
      <c r="DH182" s="23">
        <f>EXP(-LN(2)/2)*DH181+(1-EXP(-LN(2)/2))/(LN(2)/2)*DB182*DE182*VLOOKUP('Données projet'!$B$13,Paramètres!$A$1:$I$88,3,0)*0.475*44/12</f>
        <v>0</v>
      </c>
      <c r="DI182" s="24">
        <f t="shared" si="175"/>
        <v>17.864195349667408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69.640228726072351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>
        <f>DO182*VLOOKUP('Données projet'!$B$14,Paramètres!$A$1:$I$88,3,0)*VLOOKUP('Données projet'!$B$14,Paramètres!$A$1:$I$88,5,0)</f>
        <v>0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91.201152634762423</v>
      </c>
      <c r="DU182" s="62">
        <f t="shared" si="152"/>
        <v>233.36981992862445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projet'!$B$14,Paramètres!$A$1:$I$88,3,0)*0.475*44/12</f>
        <v>2.1680460339926642</v>
      </c>
      <c r="EB182" s="23">
        <f>EXP(-LN(2)/25)*EB181+(1-EXP(-LN(2)/25))/(LN(2)/25)*Calculateur!DW182*Calculateur!DY182*VLOOKUP('Données projet'!$B$14,Paramètres!$A$1:$I$88,3,0)*0.475*44/12</f>
        <v>0</v>
      </c>
      <c r="EC182" s="23">
        <f>EXP(-LN(2)/2)*EC181+(1-EXP(-LN(2)/2))/(LN(2)/2)*DW182*DZ182*VLOOKUP('Données projet'!$B$14,Paramètres!$A$1:$I$88,3,0)*0.475*44/12</f>
        <v>0</v>
      </c>
      <c r="ED182" s="24">
        <f t="shared" si="178"/>
        <v>2.1680460339926642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69.640228726072351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projet'!$B$15,Paramètres!$A$1:$I$88,3,0)*0.475*44/12</f>
        <v>#N/A</v>
      </c>
      <c r="EW182" s="23" t="e">
        <f>EXP(-LN(2)/25)*EW181+(1-EXP(-LN(2)/25))/(LN(2)/25)*Calculateur!ER182*Calculateur!ET182*VLOOKUP('Données projet'!$B$15,Paramètres!$A$1:$I$88,3,0)*0.475*44/12</f>
        <v>#N/A</v>
      </c>
      <c r="EX182" s="23" t="e">
        <f>EXP(-LN(2)/2)*EX181+(1-EXP(-LN(2)/2))/(LN(2)/2)*ER182*EU182*VLOOKUP('Données projet'!$B$15,Paramètres!$A$1:$I$88,3,0)*0.475*44/12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69.640228726072351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projet'!$B$16,Paramètres!$A$1:$I$88,3,0)*0.475*44/12</f>
        <v>#N/A</v>
      </c>
      <c r="FR182" s="23" t="e">
        <f>EXP(-LN(2)/25)*FR181+(1-EXP(-LN(2)/25))/(LN(2)/25)*Calculateur!FM182*Calculateur!FO182*VLOOKUP('Données projet'!$B$16,Paramètres!$A$1:$I$88,3,0)*0.475*44/12</f>
        <v>#N/A</v>
      </c>
      <c r="FS182" s="23" t="e">
        <f>EXP(-LN(2)/2)*FS181+(1-EXP(-LN(2)/2))/(LN(2)/2)*FM182*FP182*VLOOKUP('Données projet'!$B$16,Paramètres!$A$1:$I$88,3,0)*0.475*44/12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69.640228726072351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projet'!$B$17,Paramètres!$A$1:$I$88,3,0)*0.475*44/12</f>
        <v>#N/A</v>
      </c>
      <c r="GM182" s="23" t="e">
        <f>EXP(-LN(2)/25)*GM181+(1-EXP(-LN(2)/25))/(LN(2)/25)*Calculateur!GH182*Calculateur!GJ182*VLOOKUP('Données projet'!$B$17,Paramètres!$A$1:$I$88,3,0)*0.475*44/12</f>
        <v>#N/A</v>
      </c>
      <c r="GN182" s="23" t="e">
        <f>EXP(-LN(2)/2)*GN181+(1-EXP(-LN(2)/2))/(LN(2)/2)*GH182*GK182*VLOOKUP('Données projet'!$B$17,Paramètres!$A$1:$I$88,3,0)*0.475*44/12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69.640228726072351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projet'!$B$18,Paramètres!$A$1:$I$88,3,0)*0.475*44/12</f>
        <v>#N/A</v>
      </c>
      <c r="HH182" s="23" t="e">
        <f>EXP(-LN(2)/25)*HH181+(1-EXP(-LN(2)/25))/(LN(2)/25)*Calculateur!HC182*Calculateur!HE182*VLOOKUP('Données projet'!$B$18,Paramètres!$A$1:$I$88,3,0)*0.475*44/12</f>
        <v>#N/A</v>
      </c>
      <c r="HI182" s="23" t="e">
        <f>EXP(-LN(2)/2)*HI181+(1-EXP(-LN(2)/2))/(LN(2)/2)*HC182*HF182*VLOOKUP('Données projet'!$B$18,Paramètres!$A$1:$I$88,3,0)*0.475*44/12</f>
        <v>#N/A</v>
      </c>
      <c r="HJ182" s="24" t="e">
        <f t="shared" si="190"/>
        <v>#N/A</v>
      </c>
    </row>
    <row r="183" spans="1:218" x14ac:dyDescent="0.2">
      <c r="A183" s="11">
        <f t="shared" si="161"/>
        <v>180</v>
      </c>
      <c r="B183" s="77">
        <f>'Scénario référence'!$B$16*5+'Scénario référence'!$B$17*0+'Scénario référence'!$B$18*5</f>
        <v>1.6500000000000001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6.0500000000000007</v>
      </c>
      <c r="H183" s="70">
        <f t="shared" si="110"/>
        <v>232.4666666666667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69.646469953346923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projet'!$B$9,Paramètres!$A$1:$I$88,3,0)*VLOOKUP('Données projet'!$B$9,Paramètres!$A$1:$I$88,5,0)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292.03705649560737</v>
      </c>
      <c r="S183" s="62">
        <f ca="1">AVERAGE(OFFSET($R$3,0,0,'Données projet'!$E$9+1,1))-AVERAGE(OFFSET($H$3,0,0,'Données projet'!$E$9+1,1))</f>
        <v>354.71367224254021</v>
      </c>
      <c r="T183" s="62">
        <f t="shared" si="142"/>
        <v>490.074370133397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16.089860241712604</v>
      </c>
      <c r="AA183" s="23">
        <f>EXP(-LN(2)/25)*AA182+(1-EXP(-LN(2)/25))/(LN(2)/25)*Calculateur!V183*Calculateur!X183*VLOOKUP('Données projet'!$B$9,Paramètres!$A$1:$I$88,3,0)*0.475*44/12</f>
        <v>1.329872732745307</v>
      </c>
      <c r="AB183" s="23">
        <f>EXP(-LN(2)/2)*AB182+(1-EXP(-LN(2)/2))/(LN(2)/2)*V183*Y183*VLOOKUP('Données projet'!$B$9,Paramètres!$A$1:$I$88,3,0)*0.475*44/12</f>
        <v>4.9371231487952437E-19</v>
      </c>
      <c r="AC183" s="24">
        <f t="shared" si="163"/>
        <v>17.419732974457911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69.646469953346923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2.2737367544323206E-13</v>
      </c>
      <c r="AJ183" s="14">
        <f>AI183*VLOOKUP('Données projet'!$B$10,Paramètres!$A$1:$I$88,3,0)*VLOOKUP('Données projet'!$B$10,Paramètres!$A$1:$I$88,5,0)</f>
        <v>1.3596945791505279E-13</v>
      </c>
      <c r="AK183" s="14">
        <f t="shared" si="164"/>
        <v>1.9708830566360721E-12</v>
      </c>
      <c r="AL183" s="22">
        <f t="shared" si="165"/>
        <v>3.669434796176543E-12</v>
      </c>
      <c r="AM183" s="62">
        <f t="shared" si="113"/>
        <v>292.03705649560908</v>
      </c>
      <c r="AN183" s="62">
        <f ca="1">AVERAGE(OFFSET($AM$3,0,0,'Données projet'!$E$10+1,1))-AVERAGE(OFFSET($H$3,0,0,'Données projet'!$E$10+1,1))</f>
        <v>264.73276096087574</v>
      </c>
      <c r="AO183" s="62">
        <f t="shared" si="144"/>
        <v>381.84464918049662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projet'!$B$10,Paramètres!$A$1:$I$88,3,0)*0.475*44/12</f>
        <v>11.28392122727587</v>
      </c>
      <c r="AV183" s="23">
        <f>EXP(-LN(2)/25)*AV182+(1-EXP(-LN(2)/25))/(LN(2)/25)*Calculateur!AQ183*Calculateur!AS183*VLOOKUP('Données projet'!$B$10,Paramètres!$A$1:$I$88,3,0)*0.475*44/12</f>
        <v>0.93427836954532628</v>
      </c>
      <c r="AW183" s="23">
        <f>EXP(-LN(2)/2)*AW182+(1-EXP(-LN(2)/2))/(LN(2)/2)*AQ183*AT183*VLOOKUP('Données projet'!$B$10,Paramètres!$A$1:$I$88,3,0)*0.475*44/12</f>
        <v>3.4570145373316535E-19</v>
      </c>
      <c r="AX183" s="23">
        <f t="shared" si="166"/>
        <v>12.218199596821197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69.646469953346923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-2.8421709430404007E-13</v>
      </c>
      <c r="BE183" s="14">
        <f>BD183*VLOOKUP('Données projet'!$B$11,Paramètres!$A$1:$I$88,3,0)*VLOOKUP('Données projet'!$B$11,Paramètres!$A$1:$I$88,5,0)</f>
        <v>-3.2366642699344083E-13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470.57532875732056</v>
      </c>
      <c r="BJ183" s="62">
        <f t="shared" si="146"/>
        <v>286.63787681165888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projet'!$B$11,Paramètres!$A$1:$I$88,3,0)*0.475*44/12</f>
        <v>49.496937999104468</v>
      </c>
      <c r="BQ183" s="23">
        <f>EXP(-LN(2)/25)*BQ182+(1-EXP(-LN(2)/25))/(LN(2)/25)*Calculateur!BL183*Calculateur!BN183*VLOOKUP('Données projet'!$B$11,Paramètres!$A$1:$I$88,3,0)*0.475*44/12</f>
        <v>0</v>
      </c>
      <c r="BR183" s="23">
        <f>EXP(-LN(2)/2)*BR182+(1-EXP(-LN(2)/2))/(LN(2)/2)*BL183*BO183*VLOOKUP('Données projet'!$B$11,Paramètres!$A$1:$I$88,3,0)*0.475*44/12</f>
        <v>0</v>
      </c>
      <c r="BS183" s="24">
        <f t="shared" si="169"/>
        <v>49.496937999104468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69.646469953346923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-2.2737367544323206E-13</v>
      </c>
      <c r="BZ183" s="14">
        <f>BY183*VLOOKUP('Données projet'!$B$12,Paramètres!$A$1:$I$88,3,0)*VLOOKUP('Données projet'!$B$12,Paramètres!$A$1:$I$88,5,0)</f>
        <v>-1.4897523215040565E-13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305.38855494899906</v>
      </c>
      <c r="CE183" s="62">
        <f t="shared" si="148"/>
        <v>298.48106301229177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projet'!$B$12,Paramètres!$A$1:$I$88,3,0)*0.475*44/12</f>
        <v>11.701843955289803</v>
      </c>
      <c r="CL183" s="23">
        <f>EXP(-LN(2)/25)*CL182+(1-EXP(-LN(2)/25))/(LN(2)/25)*Calculateur!CG183*Calculateur!CI183*VLOOKUP('Données projet'!$B$12,Paramètres!$A$1:$I$88,3,0)*0.475*44/12</f>
        <v>0</v>
      </c>
      <c r="CM183" s="23">
        <f>EXP(-LN(2)/2)*CM182+(1-EXP(-LN(2)/2))/(LN(2)/2)*CG183*CJ183*VLOOKUP('Données projet'!$B$12,Paramètres!$A$1:$I$88,3,0)*0.475*44/12</f>
        <v>0</v>
      </c>
      <c r="CN183" s="24">
        <f t="shared" si="172"/>
        <v>11.701843955289803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69.646469953346923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-2.2737367544323206E-13</v>
      </c>
      <c r="CU183" s="18">
        <f>CT183*VLOOKUP('Données projet'!$B$13,Paramètres!$A$1:$I$88,3,0)*VLOOKUP('Données projet'!$B$13,Paramètres!$A$1:$I$88,5,0)</f>
        <v>-1.8089849618263545E-13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361.30066984973894</v>
      </c>
      <c r="CZ183" s="62">
        <f t="shared" si="150"/>
        <v>351.78053157121622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projet'!$B$13,Paramètres!$A$1:$I$88,3,0)*0.475*44/12</f>
        <v>17.513889374943695</v>
      </c>
      <c r="DG183" s="23">
        <f>EXP(-LN(2)/25)*DG182+(1-EXP(-LN(2)/25))/(LN(2)/25)*Calculateur!DB183*Calculateur!DD183*VLOOKUP('Données projet'!$B$13,Paramètres!$A$1:$I$88,3,0)*0.475*44/12</f>
        <v>0</v>
      </c>
      <c r="DH183" s="23">
        <f>EXP(-LN(2)/2)*DH182+(1-EXP(-LN(2)/2))/(LN(2)/2)*DB183*DE183*VLOOKUP('Données projet'!$B$13,Paramètres!$A$1:$I$88,3,0)*0.475*44/12</f>
        <v>0</v>
      </c>
      <c r="DI183" s="24">
        <f t="shared" si="175"/>
        <v>17.513889374943695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69.646469953346923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>
        <f>DO183*VLOOKUP('Données projet'!$B$14,Paramètres!$A$1:$I$88,3,0)*VLOOKUP('Données projet'!$B$14,Paramètres!$A$1:$I$88,5,0)</f>
        <v>0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91.201152634762423</v>
      </c>
      <c r="DU183" s="62">
        <f t="shared" si="152"/>
        <v>233.36981992862445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projet'!$B$14,Paramètres!$A$1:$I$88,3,0)*0.475*44/12</f>
        <v>2.1255319736435747</v>
      </c>
      <c r="EB183" s="23">
        <f>EXP(-LN(2)/25)*EB182+(1-EXP(-LN(2)/25))/(LN(2)/25)*Calculateur!DW183*Calculateur!DY183*VLOOKUP('Données projet'!$B$14,Paramètres!$A$1:$I$88,3,0)*0.475*44/12</f>
        <v>0</v>
      </c>
      <c r="EC183" s="23">
        <f>EXP(-LN(2)/2)*EC182+(1-EXP(-LN(2)/2))/(LN(2)/2)*DW183*DZ183*VLOOKUP('Données projet'!$B$14,Paramètres!$A$1:$I$88,3,0)*0.475*44/12</f>
        <v>0</v>
      </c>
      <c r="ED183" s="24">
        <f t="shared" si="178"/>
        <v>2.1255319736435747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69.646469953346923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projet'!$B$15,Paramètres!$A$1:$I$88,3,0)*0.475*44/12</f>
        <v>#N/A</v>
      </c>
      <c r="EW183" s="23" t="e">
        <f>EXP(-LN(2)/25)*EW182+(1-EXP(-LN(2)/25))/(LN(2)/25)*Calculateur!ER183*Calculateur!ET183*VLOOKUP('Données projet'!$B$15,Paramètres!$A$1:$I$88,3,0)*0.475*44/12</f>
        <v>#N/A</v>
      </c>
      <c r="EX183" s="23" t="e">
        <f>EXP(-LN(2)/2)*EX182+(1-EXP(-LN(2)/2))/(LN(2)/2)*ER183*EU183*VLOOKUP('Données projet'!$B$15,Paramètres!$A$1:$I$88,3,0)*0.475*44/12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69.646469953346923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projet'!$B$16,Paramètres!$A$1:$I$88,3,0)*0.475*44/12</f>
        <v>#N/A</v>
      </c>
      <c r="FR183" s="23" t="e">
        <f>EXP(-LN(2)/25)*FR182+(1-EXP(-LN(2)/25))/(LN(2)/25)*Calculateur!FM183*Calculateur!FO183*VLOOKUP('Données projet'!$B$16,Paramètres!$A$1:$I$88,3,0)*0.475*44/12</f>
        <v>#N/A</v>
      </c>
      <c r="FS183" s="23" t="e">
        <f>EXP(-LN(2)/2)*FS182+(1-EXP(-LN(2)/2))/(LN(2)/2)*FM183*FP183*VLOOKUP('Données projet'!$B$16,Paramètres!$A$1:$I$88,3,0)*0.475*44/12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69.646469953346923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projet'!$B$17,Paramètres!$A$1:$I$88,3,0)*0.475*44/12</f>
        <v>#N/A</v>
      </c>
      <c r="GM183" s="23" t="e">
        <f>EXP(-LN(2)/25)*GM182+(1-EXP(-LN(2)/25))/(LN(2)/25)*Calculateur!GH183*Calculateur!GJ183*VLOOKUP('Données projet'!$B$17,Paramètres!$A$1:$I$88,3,0)*0.475*44/12</f>
        <v>#N/A</v>
      </c>
      <c r="GN183" s="23" t="e">
        <f>EXP(-LN(2)/2)*GN182+(1-EXP(-LN(2)/2))/(LN(2)/2)*GH183*GK183*VLOOKUP('Données projet'!$B$17,Paramètres!$A$1:$I$88,3,0)*0.475*44/12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69.646469953346923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projet'!$B$18,Paramètres!$A$1:$I$88,3,0)*0.475*44/12</f>
        <v>#N/A</v>
      </c>
      <c r="HH183" s="23" t="e">
        <f>EXP(-LN(2)/25)*HH182+(1-EXP(-LN(2)/25))/(LN(2)/25)*Calculateur!HC183*Calculateur!HE183*VLOOKUP('Données projet'!$B$18,Paramètres!$A$1:$I$88,3,0)*0.475*44/12</f>
        <v>#N/A</v>
      </c>
      <c r="HI183" s="23" t="e">
        <f>EXP(-LN(2)/2)*HI182+(1-EXP(-LN(2)/2))/(LN(2)/2)*HC183*HF183*VLOOKUP('Données projet'!$B$18,Paramètres!$A$1:$I$88,3,0)*0.475*44/12</f>
        <v>#N/A</v>
      </c>
      <c r="HJ183" s="24" t="e">
        <f t="shared" si="190"/>
        <v>#N/A</v>
      </c>
    </row>
    <row r="184" spans="1:218" x14ac:dyDescent="0.2">
      <c r="A184" s="11">
        <f t="shared" si="161"/>
        <v>181</v>
      </c>
      <c r="B184" s="77">
        <f>'Scénario référence'!$B$16*5+'Scénario référence'!$B$17*0+'Scénario référence'!$B$18*5</f>
        <v>1.6500000000000001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6.0500000000000007</v>
      </c>
      <c r="H184" s="70">
        <f t="shared" si="110"/>
        <v>232.4666666666667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69.652602909281569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projet'!$B$9,Paramètres!$A$1:$I$88,3,0)*VLOOKUP('Données projet'!$B$9,Paramètres!$A$1:$I$88,5,0)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292.05954400070107</v>
      </c>
      <c r="S184" s="62">
        <f ca="1">AVERAGE(OFFSET($R$3,0,0,'Données projet'!$E$9+1,1))-AVERAGE(OFFSET($H$3,0,0,'Données projet'!$E$9+1,1))</f>
        <v>354.71367224254021</v>
      </c>
      <c r="T184" s="62">
        <f t="shared" si="142"/>
        <v>490.074370133397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15.77434789621833</v>
      </c>
      <c r="AA184" s="23">
        <f>EXP(-LN(2)/25)*AA183+(1-EXP(-LN(2)/25))/(LN(2)/25)*Calculateur!V184*Calculateur!X184*VLOOKUP('Données projet'!$B$9,Paramètres!$A$1:$I$88,3,0)*0.475*44/12</f>
        <v>1.293507292933419</v>
      </c>
      <c r="AB184" s="23">
        <f>EXP(-LN(2)/2)*AB183+(1-EXP(-LN(2)/2))/(LN(2)/2)*V184*Y184*VLOOKUP('Données projet'!$B$9,Paramètres!$A$1:$I$88,3,0)*0.475*44/12</f>
        <v>3.4910732580661969E-19</v>
      </c>
      <c r="AC184" s="24">
        <f t="shared" si="163"/>
        <v>17.06785518915175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69.652602909281569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2.2737367544323206E-13</v>
      </c>
      <c r="AJ184" s="14">
        <f>AI184*VLOOKUP('Données projet'!$B$10,Paramètres!$A$1:$I$88,3,0)*VLOOKUP('Données projet'!$B$10,Paramètres!$A$1:$I$88,5,0)</f>
        <v>1.3596945791505279E-13</v>
      </c>
      <c r="AK184" s="14">
        <f t="shared" si="164"/>
        <v>1.9708830566360721E-12</v>
      </c>
      <c r="AL184" s="22">
        <f t="shared" si="165"/>
        <v>3.669434796176543E-12</v>
      </c>
      <c r="AM184" s="62">
        <f t="shared" si="113"/>
        <v>292.05954400070277</v>
      </c>
      <c r="AN184" s="62">
        <f ca="1">AVERAGE(OFFSET($AM$3,0,0,'Données projet'!$E$10+1,1))-AVERAGE(OFFSET($H$3,0,0,'Données projet'!$E$10+1,1))</f>
        <v>264.73276096087574</v>
      </c>
      <c r="AO184" s="62">
        <f t="shared" si="144"/>
        <v>381.84464918049662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projet'!$B$10,Paramètres!$A$1:$I$88,3,0)*0.475*44/12</f>
        <v>11.062650414521348</v>
      </c>
      <c r="AV184" s="23">
        <f>EXP(-LN(2)/25)*AV183+(1-EXP(-LN(2)/25))/(LN(2)/25)*Calculateur!AQ184*Calculateur!AS184*VLOOKUP('Données projet'!$B$10,Paramètres!$A$1:$I$88,3,0)*0.475*44/12</f>
        <v>0.90873047839854515</v>
      </c>
      <c r="AW184" s="23">
        <f>EXP(-LN(2)/2)*AW183+(1-EXP(-LN(2)/2))/(LN(2)/2)*AQ184*AT184*VLOOKUP('Données projet'!$B$10,Paramètres!$A$1:$I$88,3,0)*0.475*44/12</f>
        <v>2.4444784220076873E-19</v>
      </c>
      <c r="AX184" s="23">
        <f t="shared" si="166"/>
        <v>11.971380892919894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69.652602909281569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-2.8421709430404007E-13</v>
      </c>
      <c r="BE184" s="14">
        <f>BD184*VLOOKUP('Données projet'!$B$11,Paramètres!$A$1:$I$88,3,0)*VLOOKUP('Données projet'!$B$11,Paramètres!$A$1:$I$88,5,0)</f>
        <v>-3.2366642699344083E-13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470.57532875732056</v>
      </c>
      <c r="BJ184" s="62">
        <f t="shared" si="146"/>
        <v>286.63787681165888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projet'!$B$11,Paramètres!$A$1:$I$88,3,0)*0.475*44/12</f>
        <v>48.526333235093176</v>
      </c>
      <c r="BQ184" s="23">
        <f>EXP(-LN(2)/25)*BQ183+(1-EXP(-LN(2)/25))/(LN(2)/25)*Calculateur!BL184*Calculateur!BN184*VLOOKUP('Données projet'!$B$11,Paramètres!$A$1:$I$88,3,0)*0.475*44/12</f>
        <v>0</v>
      </c>
      <c r="BR184" s="23">
        <f>EXP(-LN(2)/2)*BR183+(1-EXP(-LN(2)/2))/(LN(2)/2)*BL184*BO184*VLOOKUP('Données projet'!$B$11,Paramètres!$A$1:$I$88,3,0)*0.475*44/12</f>
        <v>0</v>
      </c>
      <c r="BS184" s="24">
        <f t="shared" si="169"/>
        <v>48.526333235093176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69.652602909281569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-2.2737367544323206E-13</v>
      </c>
      <c r="BZ184" s="14">
        <f>BY184*VLOOKUP('Données projet'!$B$12,Paramètres!$A$1:$I$88,3,0)*VLOOKUP('Données projet'!$B$12,Paramètres!$A$1:$I$88,5,0)</f>
        <v>-1.4897523215040565E-13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305.38855494899906</v>
      </c>
      <c r="CE184" s="62">
        <f t="shared" si="148"/>
        <v>298.48106301229177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projet'!$B$12,Paramètres!$A$1:$I$88,3,0)*0.475*44/12</f>
        <v>11.472377932746621</v>
      </c>
      <c r="CL184" s="23">
        <f>EXP(-LN(2)/25)*CL183+(1-EXP(-LN(2)/25))/(LN(2)/25)*Calculateur!CG184*Calculateur!CI184*VLOOKUP('Données projet'!$B$12,Paramètres!$A$1:$I$88,3,0)*0.475*44/12</f>
        <v>0</v>
      </c>
      <c r="CM184" s="23">
        <f>EXP(-LN(2)/2)*CM183+(1-EXP(-LN(2)/2))/(LN(2)/2)*CG184*CJ184*VLOOKUP('Données projet'!$B$12,Paramètres!$A$1:$I$88,3,0)*0.475*44/12</f>
        <v>0</v>
      </c>
      <c r="CN184" s="24">
        <f t="shared" si="172"/>
        <v>11.472377932746621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69.652602909281569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-2.2737367544323206E-13</v>
      </c>
      <c r="CU184" s="18">
        <f>CT184*VLOOKUP('Données projet'!$B$13,Paramètres!$A$1:$I$88,3,0)*VLOOKUP('Données projet'!$B$13,Paramètres!$A$1:$I$88,5,0)</f>
        <v>-1.8089849618263545E-13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361.30066984973894</v>
      </c>
      <c r="CZ184" s="62">
        <f t="shared" si="150"/>
        <v>351.78053157121622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projet'!$B$13,Paramètres!$A$1:$I$88,3,0)*0.475*44/12</f>
        <v>17.170452686718765</v>
      </c>
      <c r="DG184" s="23">
        <f>EXP(-LN(2)/25)*DG183+(1-EXP(-LN(2)/25))/(LN(2)/25)*Calculateur!DB184*Calculateur!DD184*VLOOKUP('Données projet'!$B$13,Paramètres!$A$1:$I$88,3,0)*0.475*44/12</f>
        <v>0</v>
      </c>
      <c r="DH184" s="23">
        <f>EXP(-LN(2)/2)*DH183+(1-EXP(-LN(2)/2))/(LN(2)/2)*DB184*DE184*VLOOKUP('Données projet'!$B$13,Paramètres!$A$1:$I$88,3,0)*0.475*44/12</f>
        <v>0</v>
      </c>
      <c r="DI184" s="24">
        <f t="shared" si="175"/>
        <v>17.170452686718765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69.652602909281569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>
        <f>DO184*VLOOKUP('Données projet'!$B$14,Paramètres!$A$1:$I$88,3,0)*VLOOKUP('Données projet'!$B$14,Paramètres!$A$1:$I$88,5,0)</f>
        <v>0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91.201152634762423</v>
      </c>
      <c r="DU184" s="62">
        <f t="shared" si="152"/>
        <v>233.36981992862445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projet'!$B$14,Paramètres!$A$1:$I$88,3,0)*0.475*44/12</f>
        <v>2.0838515880869148</v>
      </c>
      <c r="EB184" s="23">
        <f>EXP(-LN(2)/25)*EB183+(1-EXP(-LN(2)/25))/(LN(2)/25)*Calculateur!DW184*Calculateur!DY184*VLOOKUP('Données projet'!$B$14,Paramètres!$A$1:$I$88,3,0)*0.475*44/12</f>
        <v>0</v>
      </c>
      <c r="EC184" s="23">
        <f>EXP(-LN(2)/2)*EC183+(1-EXP(-LN(2)/2))/(LN(2)/2)*DW184*DZ184*VLOOKUP('Données projet'!$B$14,Paramètres!$A$1:$I$88,3,0)*0.475*44/12</f>
        <v>0</v>
      </c>
      <c r="ED184" s="24">
        <f t="shared" si="178"/>
        <v>2.0838515880869148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69.652602909281569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projet'!$B$15,Paramètres!$A$1:$I$88,3,0)*0.475*44/12</f>
        <v>#N/A</v>
      </c>
      <c r="EW184" s="23" t="e">
        <f>EXP(-LN(2)/25)*EW183+(1-EXP(-LN(2)/25))/(LN(2)/25)*Calculateur!ER184*Calculateur!ET184*VLOOKUP('Données projet'!$B$15,Paramètres!$A$1:$I$88,3,0)*0.475*44/12</f>
        <v>#N/A</v>
      </c>
      <c r="EX184" s="23" t="e">
        <f>EXP(-LN(2)/2)*EX183+(1-EXP(-LN(2)/2))/(LN(2)/2)*ER184*EU184*VLOOKUP('Données projet'!$B$15,Paramètres!$A$1:$I$88,3,0)*0.475*44/12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69.652602909281569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projet'!$B$16,Paramètres!$A$1:$I$88,3,0)*0.475*44/12</f>
        <v>#N/A</v>
      </c>
      <c r="FR184" s="23" t="e">
        <f>EXP(-LN(2)/25)*FR183+(1-EXP(-LN(2)/25))/(LN(2)/25)*Calculateur!FM184*Calculateur!FO184*VLOOKUP('Données projet'!$B$16,Paramètres!$A$1:$I$88,3,0)*0.475*44/12</f>
        <v>#N/A</v>
      </c>
      <c r="FS184" s="23" t="e">
        <f>EXP(-LN(2)/2)*FS183+(1-EXP(-LN(2)/2))/(LN(2)/2)*FM184*FP184*VLOOKUP('Données projet'!$B$16,Paramètres!$A$1:$I$88,3,0)*0.475*44/12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69.652602909281569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projet'!$B$17,Paramètres!$A$1:$I$88,3,0)*0.475*44/12</f>
        <v>#N/A</v>
      </c>
      <c r="GM184" s="23" t="e">
        <f>EXP(-LN(2)/25)*GM183+(1-EXP(-LN(2)/25))/(LN(2)/25)*Calculateur!GH184*Calculateur!GJ184*VLOOKUP('Données projet'!$B$17,Paramètres!$A$1:$I$88,3,0)*0.475*44/12</f>
        <v>#N/A</v>
      </c>
      <c r="GN184" s="23" t="e">
        <f>EXP(-LN(2)/2)*GN183+(1-EXP(-LN(2)/2))/(LN(2)/2)*GH184*GK184*VLOOKUP('Données projet'!$B$17,Paramètres!$A$1:$I$88,3,0)*0.475*44/12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69.652602909281569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projet'!$B$18,Paramètres!$A$1:$I$88,3,0)*0.475*44/12</f>
        <v>#N/A</v>
      </c>
      <c r="HH184" s="23" t="e">
        <f>EXP(-LN(2)/25)*HH183+(1-EXP(-LN(2)/25))/(LN(2)/25)*Calculateur!HC184*Calculateur!HE184*VLOOKUP('Données projet'!$B$18,Paramètres!$A$1:$I$88,3,0)*0.475*44/12</f>
        <v>#N/A</v>
      </c>
      <c r="HI184" s="23" t="e">
        <f>EXP(-LN(2)/2)*HI183+(1-EXP(-LN(2)/2))/(LN(2)/2)*HC184*HF184*VLOOKUP('Données projet'!$B$18,Paramètres!$A$1:$I$88,3,0)*0.475*44/12</f>
        <v>#N/A</v>
      </c>
      <c r="HJ184" s="24" t="e">
        <f t="shared" si="190"/>
        <v>#N/A</v>
      </c>
    </row>
    <row r="185" spans="1:218" x14ac:dyDescent="0.2">
      <c r="A185" s="11">
        <f t="shared" si="161"/>
        <v>182</v>
      </c>
      <c r="B185" s="77">
        <f>'Scénario référence'!$B$16*5+'Scénario référence'!$B$17*0+'Scénario référence'!$B$18*5</f>
        <v>1.6500000000000001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6.0500000000000007</v>
      </c>
      <c r="H185" s="70">
        <f t="shared" si="110"/>
        <v>232.4666666666667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69.658629472141996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projet'!$B$9,Paramètres!$A$1:$I$88,3,0)*VLOOKUP('Données projet'!$B$9,Paramètres!$A$1:$I$88,5,0)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292.08164139785595</v>
      </c>
      <c r="S185" s="62">
        <f ca="1">AVERAGE(OFFSET($R$3,0,0,'Données projet'!$E$9+1,1))-AVERAGE(OFFSET($H$3,0,0,'Données projet'!$E$9+1,1))</f>
        <v>354.71367224254021</v>
      </c>
      <c r="T185" s="62">
        <f t="shared" si="142"/>
        <v>490.074370133397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15.46502255537567</v>
      </c>
      <c r="AA185" s="23">
        <f>EXP(-LN(2)/25)*AA184+(1-EXP(-LN(2)/25))/(LN(2)/25)*Calculateur!V185*Calculateur!X185*VLOOKUP('Données projet'!$B$9,Paramètres!$A$1:$I$88,3,0)*0.475*44/12</f>
        <v>1.2581362679855626</v>
      </c>
      <c r="AB185" s="23">
        <f>EXP(-LN(2)/2)*AB184+(1-EXP(-LN(2)/2))/(LN(2)/2)*V185*Y185*VLOOKUP('Données projet'!$B$9,Paramètres!$A$1:$I$88,3,0)*0.475*44/12</f>
        <v>2.4685615743976218E-19</v>
      </c>
      <c r="AC185" s="24">
        <f t="shared" si="163"/>
        <v>16.723158823361231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69.658629472141996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2.2737367544323206E-13</v>
      </c>
      <c r="AJ185" s="14">
        <f>AI185*VLOOKUP('Données projet'!$B$10,Paramètres!$A$1:$I$88,3,0)*VLOOKUP('Données projet'!$B$10,Paramètres!$A$1:$I$88,5,0)</f>
        <v>1.3596945791505279E-13</v>
      </c>
      <c r="AK185" s="14">
        <f t="shared" si="164"/>
        <v>1.9708830566360721E-12</v>
      </c>
      <c r="AL185" s="22">
        <f t="shared" si="165"/>
        <v>3.669434796176543E-12</v>
      </c>
      <c r="AM185" s="62">
        <f t="shared" si="113"/>
        <v>292.08164139785765</v>
      </c>
      <c r="AN185" s="62">
        <f ca="1">AVERAGE(OFFSET($AM$3,0,0,'Données projet'!$E$10+1,1))-AVERAGE(OFFSET($H$3,0,0,'Données projet'!$E$10+1,1))</f>
        <v>264.73276096087574</v>
      </c>
      <c r="AO185" s="62">
        <f t="shared" si="144"/>
        <v>381.84464918049662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projet'!$B$10,Paramètres!$A$1:$I$88,3,0)*0.475*44/12</f>
        <v>10.845718587443072</v>
      </c>
      <c r="AV185" s="23">
        <f>EXP(-LN(2)/25)*AV184+(1-EXP(-LN(2)/25))/(LN(2)/25)*Calculateur!AQ185*Calculateur!AS185*VLOOKUP('Données projet'!$B$10,Paramètres!$A$1:$I$88,3,0)*0.475*44/12</f>
        <v>0.88388119567867796</v>
      </c>
      <c r="AW185" s="23">
        <f>EXP(-LN(2)/2)*AW184+(1-EXP(-LN(2)/2))/(LN(2)/2)*AQ185*AT185*VLOOKUP('Données projet'!$B$10,Paramètres!$A$1:$I$88,3,0)*0.475*44/12</f>
        <v>1.7285072686658267E-19</v>
      </c>
      <c r="AX185" s="23">
        <f t="shared" si="166"/>
        <v>11.729599783121749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69.658629472141996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-2.8421709430404007E-13</v>
      </c>
      <c r="BE185" s="14">
        <f>BD185*VLOOKUP('Données projet'!$B$11,Paramètres!$A$1:$I$88,3,0)*VLOOKUP('Données projet'!$B$11,Paramètres!$A$1:$I$88,5,0)</f>
        <v>-3.2366642699344083E-13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470.57532875732056</v>
      </c>
      <c r="BJ185" s="62">
        <f t="shared" si="146"/>
        <v>286.63787681165888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projet'!$B$11,Paramètres!$A$1:$I$88,3,0)*0.475*44/12</f>
        <v>47.574761438493702</v>
      </c>
      <c r="BQ185" s="23">
        <f>EXP(-LN(2)/25)*BQ184+(1-EXP(-LN(2)/25))/(LN(2)/25)*Calculateur!BL185*Calculateur!BN185*VLOOKUP('Données projet'!$B$11,Paramètres!$A$1:$I$88,3,0)*0.475*44/12</f>
        <v>0</v>
      </c>
      <c r="BR185" s="23">
        <f>EXP(-LN(2)/2)*BR184+(1-EXP(-LN(2)/2))/(LN(2)/2)*BL185*BO185*VLOOKUP('Données projet'!$B$11,Paramètres!$A$1:$I$88,3,0)*0.475*44/12</f>
        <v>0</v>
      </c>
      <c r="BS185" s="24">
        <f t="shared" si="169"/>
        <v>47.574761438493702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69.658629472141996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-2.2737367544323206E-13</v>
      </c>
      <c r="BZ185" s="14">
        <f>BY185*VLOOKUP('Données projet'!$B$12,Paramètres!$A$1:$I$88,3,0)*VLOOKUP('Données projet'!$B$12,Paramètres!$A$1:$I$88,5,0)</f>
        <v>-1.4897523215040565E-13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305.38855494899906</v>
      </c>
      <c r="CE185" s="62">
        <f t="shared" si="148"/>
        <v>298.48106301229177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projet'!$B$12,Paramètres!$A$1:$I$88,3,0)*0.475*44/12</f>
        <v>11.247411598945057</v>
      </c>
      <c r="CL185" s="23">
        <f>EXP(-LN(2)/25)*CL184+(1-EXP(-LN(2)/25))/(LN(2)/25)*Calculateur!CG185*Calculateur!CI185*VLOOKUP('Données projet'!$B$12,Paramètres!$A$1:$I$88,3,0)*0.475*44/12</f>
        <v>0</v>
      </c>
      <c r="CM185" s="23">
        <f>EXP(-LN(2)/2)*CM184+(1-EXP(-LN(2)/2))/(LN(2)/2)*CG185*CJ185*VLOOKUP('Données projet'!$B$12,Paramètres!$A$1:$I$88,3,0)*0.475*44/12</f>
        <v>0</v>
      </c>
      <c r="CN185" s="24">
        <f t="shared" si="172"/>
        <v>11.247411598945057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69.658629472141996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-2.2737367544323206E-13</v>
      </c>
      <c r="CU185" s="18">
        <f>CT185*VLOOKUP('Données projet'!$B$13,Paramètres!$A$1:$I$88,3,0)*VLOOKUP('Données projet'!$B$13,Paramètres!$A$1:$I$88,5,0)</f>
        <v>-1.8089849618263545E-13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361.30066984973894</v>
      </c>
      <c r="CZ185" s="62">
        <f t="shared" si="150"/>
        <v>351.78053157121622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projet'!$B$13,Paramètres!$A$1:$I$88,3,0)*0.475*44/12</f>
        <v>16.833750582474231</v>
      </c>
      <c r="DG185" s="23">
        <f>EXP(-LN(2)/25)*DG184+(1-EXP(-LN(2)/25))/(LN(2)/25)*Calculateur!DB185*Calculateur!DD185*VLOOKUP('Données projet'!$B$13,Paramètres!$A$1:$I$88,3,0)*0.475*44/12</f>
        <v>0</v>
      </c>
      <c r="DH185" s="23">
        <f>EXP(-LN(2)/2)*DH184+(1-EXP(-LN(2)/2))/(LN(2)/2)*DB185*DE185*VLOOKUP('Données projet'!$B$13,Paramètres!$A$1:$I$88,3,0)*0.475*44/12</f>
        <v>0</v>
      </c>
      <c r="DI185" s="24">
        <f t="shared" si="175"/>
        <v>16.833750582474231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69.658629472141996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>
        <f>DO185*VLOOKUP('Données projet'!$B$14,Paramètres!$A$1:$I$88,3,0)*VLOOKUP('Données projet'!$B$14,Paramètres!$A$1:$I$88,5,0)</f>
        <v>0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91.201152634762423</v>
      </c>
      <c r="DU185" s="62">
        <f t="shared" si="152"/>
        <v>233.36981992862445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projet'!$B$14,Paramètres!$A$1:$I$88,3,0)*0.475*44/12</f>
        <v>2.042988529468496</v>
      </c>
      <c r="EB185" s="23">
        <f>EXP(-LN(2)/25)*EB184+(1-EXP(-LN(2)/25))/(LN(2)/25)*Calculateur!DW185*Calculateur!DY185*VLOOKUP('Données projet'!$B$14,Paramètres!$A$1:$I$88,3,0)*0.475*44/12</f>
        <v>0</v>
      </c>
      <c r="EC185" s="23">
        <f>EXP(-LN(2)/2)*EC184+(1-EXP(-LN(2)/2))/(LN(2)/2)*DW185*DZ185*VLOOKUP('Données projet'!$B$14,Paramètres!$A$1:$I$88,3,0)*0.475*44/12</f>
        <v>0</v>
      </c>
      <c r="ED185" s="24">
        <f t="shared" si="178"/>
        <v>2.042988529468496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69.658629472141996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projet'!$B$15,Paramètres!$A$1:$I$88,3,0)*0.475*44/12</f>
        <v>#N/A</v>
      </c>
      <c r="EW185" s="23" t="e">
        <f>EXP(-LN(2)/25)*EW184+(1-EXP(-LN(2)/25))/(LN(2)/25)*Calculateur!ER185*Calculateur!ET185*VLOOKUP('Données projet'!$B$15,Paramètres!$A$1:$I$88,3,0)*0.475*44/12</f>
        <v>#N/A</v>
      </c>
      <c r="EX185" s="23" t="e">
        <f>EXP(-LN(2)/2)*EX184+(1-EXP(-LN(2)/2))/(LN(2)/2)*ER185*EU185*VLOOKUP('Données projet'!$B$15,Paramètres!$A$1:$I$88,3,0)*0.475*44/12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69.658629472141996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projet'!$B$16,Paramètres!$A$1:$I$88,3,0)*0.475*44/12</f>
        <v>#N/A</v>
      </c>
      <c r="FR185" s="23" t="e">
        <f>EXP(-LN(2)/25)*FR184+(1-EXP(-LN(2)/25))/(LN(2)/25)*Calculateur!FM185*Calculateur!FO185*VLOOKUP('Données projet'!$B$16,Paramètres!$A$1:$I$88,3,0)*0.475*44/12</f>
        <v>#N/A</v>
      </c>
      <c r="FS185" s="23" t="e">
        <f>EXP(-LN(2)/2)*FS184+(1-EXP(-LN(2)/2))/(LN(2)/2)*FM185*FP185*VLOOKUP('Données projet'!$B$16,Paramètres!$A$1:$I$88,3,0)*0.475*44/12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69.658629472141996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projet'!$B$17,Paramètres!$A$1:$I$88,3,0)*0.475*44/12</f>
        <v>#N/A</v>
      </c>
      <c r="GM185" s="23" t="e">
        <f>EXP(-LN(2)/25)*GM184+(1-EXP(-LN(2)/25))/(LN(2)/25)*Calculateur!GH185*Calculateur!GJ185*VLOOKUP('Données projet'!$B$17,Paramètres!$A$1:$I$88,3,0)*0.475*44/12</f>
        <v>#N/A</v>
      </c>
      <c r="GN185" s="23" t="e">
        <f>EXP(-LN(2)/2)*GN184+(1-EXP(-LN(2)/2))/(LN(2)/2)*GH185*GK185*VLOOKUP('Données projet'!$B$17,Paramètres!$A$1:$I$88,3,0)*0.475*44/12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69.658629472141996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projet'!$B$18,Paramètres!$A$1:$I$88,3,0)*0.475*44/12</f>
        <v>#N/A</v>
      </c>
      <c r="HH185" s="23" t="e">
        <f>EXP(-LN(2)/25)*HH184+(1-EXP(-LN(2)/25))/(LN(2)/25)*Calculateur!HC185*Calculateur!HE185*VLOOKUP('Données projet'!$B$18,Paramètres!$A$1:$I$88,3,0)*0.475*44/12</f>
        <v>#N/A</v>
      </c>
      <c r="HI185" s="23" t="e">
        <f>EXP(-LN(2)/2)*HI184+(1-EXP(-LN(2)/2))/(LN(2)/2)*HC185*HF185*VLOOKUP('Données projet'!$B$18,Paramètres!$A$1:$I$88,3,0)*0.475*44/12</f>
        <v>#N/A</v>
      </c>
      <c r="HJ185" s="24" t="e">
        <f t="shared" si="190"/>
        <v>#N/A</v>
      </c>
    </row>
    <row r="186" spans="1:218" x14ac:dyDescent="0.2">
      <c r="A186" s="11">
        <f t="shared" si="161"/>
        <v>183</v>
      </c>
      <c r="B186" s="77">
        <f>'Scénario référence'!$B$16*5+'Scénario référence'!$B$17*0+'Scénario référence'!$B$18*5</f>
        <v>1.6500000000000001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6.0500000000000007</v>
      </c>
      <c r="H186" s="70">
        <f t="shared" si="110"/>
        <v>232.4666666666667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69.664551487610169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projet'!$B$9,Paramètres!$A$1:$I$88,3,0)*VLOOKUP('Données projet'!$B$9,Paramètres!$A$1:$I$88,5,0)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292.10335545457258</v>
      </c>
      <c r="S186" s="62">
        <f ca="1">AVERAGE(OFFSET($R$3,0,0,'Données projet'!$E$9+1,1))-AVERAGE(OFFSET($H$3,0,0,'Données projet'!$E$9+1,1))</f>
        <v>354.71367224254021</v>
      </c>
      <c r="T186" s="62">
        <f t="shared" si="142"/>
        <v>490.074370133397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15.161762895797107</v>
      </c>
      <c r="AA186" s="23">
        <f>EXP(-LN(2)/25)*AA185+(1-EXP(-LN(2)/25))/(LN(2)/25)*Calculateur!V186*Calculateur!X186*VLOOKUP('Données projet'!$B$9,Paramètres!$A$1:$I$88,3,0)*0.475*44/12</f>
        <v>1.2237324655749866</v>
      </c>
      <c r="AB186" s="23">
        <f>EXP(-LN(2)/2)*AB185+(1-EXP(-LN(2)/2))/(LN(2)/2)*V186*Y186*VLOOKUP('Données projet'!$B$9,Paramètres!$A$1:$I$88,3,0)*0.475*44/12</f>
        <v>1.7455366290330985E-19</v>
      </c>
      <c r="AC186" s="24">
        <f t="shared" si="163"/>
        <v>16.385495361372094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69.664551487610169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2.2737367544323206E-13</v>
      </c>
      <c r="AJ186" s="14">
        <f>AI186*VLOOKUP('Données projet'!$B$10,Paramètres!$A$1:$I$88,3,0)*VLOOKUP('Données projet'!$B$10,Paramètres!$A$1:$I$88,5,0)</f>
        <v>1.3596945791505279E-13</v>
      </c>
      <c r="AK186" s="14">
        <f t="shared" si="164"/>
        <v>1.9708830566360721E-12</v>
      </c>
      <c r="AL186" s="22">
        <f t="shared" si="165"/>
        <v>3.669434796176543E-12</v>
      </c>
      <c r="AM186" s="62">
        <f t="shared" si="113"/>
        <v>292.10335545457428</v>
      </c>
      <c r="AN186" s="62">
        <f ca="1">AVERAGE(OFFSET($AM$3,0,0,'Données projet'!$E$10+1,1))-AVERAGE(OFFSET($H$3,0,0,'Données projet'!$E$10+1,1))</f>
        <v>264.73276096087574</v>
      </c>
      <c r="AO186" s="62">
        <f t="shared" si="144"/>
        <v>381.84464918049662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projet'!$B$10,Paramètres!$A$1:$I$88,3,0)*0.475*44/12</f>
        <v>10.633040661178452</v>
      </c>
      <c r="AV186" s="23">
        <f>EXP(-LN(2)/25)*AV185+(1-EXP(-LN(2)/25))/(LN(2)/25)*Calculateur!AQ186*Calculateur!AS186*VLOOKUP('Données projet'!$B$10,Paramètres!$A$1:$I$88,3,0)*0.475*44/12</f>
        <v>0.85971141790155259</v>
      </c>
      <c r="AW186" s="23">
        <f>EXP(-LN(2)/2)*AW185+(1-EXP(-LN(2)/2))/(LN(2)/2)*AQ186*AT186*VLOOKUP('Données projet'!$B$10,Paramètres!$A$1:$I$88,3,0)*0.475*44/12</f>
        <v>1.2222392110038437E-19</v>
      </c>
      <c r="AX186" s="23">
        <f t="shared" si="166"/>
        <v>11.492752079080004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69.664551487610169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-2.8421709430404007E-13</v>
      </c>
      <c r="BE186" s="14">
        <f>BD186*VLOOKUP('Données projet'!$B$11,Paramètres!$A$1:$I$88,3,0)*VLOOKUP('Données projet'!$B$11,Paramètres!$A$1:$I$88,5,0)</f>
        <v>-3.2366642699344083E-13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470.57532875732056</v>
      </c>
      <c r="BJ186" s="62">
        <f t="shared" si="146"/>
        <v>286.63787681165888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projet'!$B$11,Paramètres!$A$1:$I$88,3,0)*0.475*44/12</f>
        <v>46.641849384424056</v>
      </c>
      <c r="BQ186" s="23">
        <f>EXP(-LN(2)/25)*BQ185+(1-EXP(-LN(2)/25))/(LN(2)/25)*Calculateur!BL186*Calculateur!BN186*VLOOKUP('Données projet'!$B$11,Paramètres!$A$1:$I$88,3,0)*0.475*44/12</f>
        <v>0</v>
      </c>
      <c r="BR186" s="23">
        <f>EXP(-LN(2)/2)*BR185+(1-EXP(-LN(2)/2))/(LN(2)/2)*BL186*BO186*VLOOKUP('Données projet'!$B$11,Paramètres!$A$1:$I$88,3,0)*0.475*44/12</f>
        <v>0</v>
      </c>
      <c r="BS186" s="24">
        <f t="shared" si="169"/>
        <v>46.641849384424056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69.664551487610169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-2.2737367544323206E-13</v>
      </c>
      <c r="BZ186" s="14">
        <f>BY186*VLOOKUP('Données projet'!$B$12,Paramètres!$A$1:$I$88,3,0)*VLOOKUP('Données projet'!$B$12,Paramètres!$A$1:$I$88,5,0)</f>
        <v>-1.4897523215040565E-13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305.38855494899906</v>
      </c>
      <c r="CE186" s="62">
        <f t="shared" si="148"/>
        <v>298.48106301229177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projet'!$B$12,Paramètres!$A$1:$I$88,3,0)*0.475*44/12</f>
        <v>11.026856717733427</v>
      </c>
      <c r="CL186" s="23">
        <f>EXP(-LN(2)/25)*CL185+(1-EXP(-LN(2)/25))/(LN(2)/25)*Calculateur!CG186*Calculateur!CI186*VLOOKUP('Données projet'!$B$12,Paramètres!$A$1:$I$88,3,0)*0.475*44/12</f>
        <v>0</v>
      </c>
      <c r="CM186" s="23">
        <f>EXP(-LN(2)/2)*CM185+(1-EXP(-LN(2)/2))/(LN(2)/2)*CG186*CJ186*VLOOKUP('Données projet'!$B$12,Paramètres!$A$1:$I$88,3,0)*0.475*44/12</f>
        <v>0</v>
      </c>
      <c r="CN186" s="24">
        <f t="shared" si="172"/>
        <v>11.026856717733427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69.664551487610169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-2.2737367544323206E-13</v>
      </c>
      <c r="CU186" s="18">
        <f>CT186*VLOOKUP('Données projet'!$B$13,Paramètres!$A$1:$I$88,3,0)*VLOOKUP('Données projet'!$B$13,Paramètres!$A$1:$I$88,5,0)</f>
        <v>-1.8089849618263545E-13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361.30066984973894</v>
      </c>
      <c r="CZ186" s="62">
        <f t="shared" si="150"/>
        <v>351.78053157121622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projet'!$B$13,Paramètres!$A$1:$I$88,3,0)*0.475*44/12</f>
        <v>16.503651001125927</v>
      </c>
      <c r="DG186" s="23">
        <f>EXP(-LN(2)/25)*DG185+(1-EXP(-LN(2)/25))/(LN(2)/25)*Calculateur!DB186*Calculateur!DD186*VLOOKUP('Données projet'!$B$13,Paramètres!$A$1:$I$88,3,0)*0.475*44/12</f>
        <v>0</v>
      </c>
      <c r="DH186" s="23">
        <f>EXP(-LN(2)/2)*DH185+(1-EXP(-LN(2)/2))/(LN(2)/2)*DB186*DE186*VLOOKUP('Données projet'!$B$13,Paramètres!$A$1:$I$88,3,0)*0.475*44/12</f>
        <v>0</v>
      </c>
      <c r="DI186" s="24">
        <f t="shared" si="175"/>
        <v>16.503651001125927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69.664551487610169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>
        <f>DO186*VLOOKUP('Données projet'!$B$14,Paramètres!$A$1:$I$88,3,0)*VLOOKUP('Données projet'!$B$14,Paramètres!$A$1:$I$88,5,0)</f>
        <v>0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91.201152634762423</v>
      </c>
      <c r="DU186" s="62">
        <f t="shared" si="152"/>
        <v>233.36981992862445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projet'!$B$14,Paramètres!$A$1:$I$88,3,0)*0.475*44/12</f>
        <v>2.0029267705055798</v>
      </c>
      <c r="EB186" s="23">
        <f>EXP(-LN(2)/25)*EB185+(1-EXP(-LN(2)/25))/(LN(2)/25)*Calculateur!DW186*Calculateur!DY186*VLOOKUP('Données projet'!$B$14,Paramètres!$A$1:$I$88,3,0)*0.475*44/12</f>
        <v>0</v>
      </c>
      <c r="EC186" s="23">
        <f>EXP(-LN(2)/2)*EC185+(1-EXP(-LN(2)/2))/(LN(2)/2)*DW186*DZ186*VLOOKUP('Données projet'!$B$14,Paramètres!$A$1:$I$88,3,0)*0.475*44/12</f>
        <v>0</v>
      </c>
      <c r="ED186" s="24">
        <f t="shared" si="178"/>
        <v>2.0029267705055798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69.664551487610169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projet'!$B$15,Paramètres!$A$1:$I$88,3,0)*0.475*44/12</f>
        <v>#N/A</v>
      </c>
      <c r="EW186" s="23" t="e">
        <f>EXP(-LN(2)/25)*EW185+(1-EXP(-LN(2)/25))/(LN(2)/25)*Calculateur!ER186*Calculateur!ET186*VLOOKUP('Données projet'!$B$15,Paramètres!$A$1:$I$88,3,0)*0.475*44/12</f>
        <v>#N/A</v>
      </c>
      <c r="EX186" s="23" t="e">
        <f>EXP(-LN(2)/2)*EX185+(1-EXP(-LN(2)/2))/(LN(2)/2)*ER186*EU186*VLOOKUP('Données projet'!$B$15,Paramètres!$A$1:$I$88,3,0)*0.475*44/12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69.664551487610169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projet'!$B$16,Paramètres!$A$1:$I$88,3,0)*0.475*44/12</f>
        <v>#N/A</v>
      </c>
      <c r="FR186" s="23" t="e">
        <f>EXP(-LN(2)/25)*FR185+(1-EXP(-LN(2)/25))/(LN(2)/25)*Calculateur!FM186*Calculateur!FO186*VLOOKUP('Données projet'!$B$16,Paramètres!$A$1:$I$88,3,0)*0.475*44/12</f>
        <v>#N/A</v>
      </c>
      <c r="FS186" s="23" t="e">
        <f>EXP(-LN(2)/2)*FS185+(1-EXP(-LN(2)/2))/(LN(2)/2)*FM186*FP186*VLOOKUP('Données projet'!$B$16,Paramètres!$A$1:$I$88,3,0)*0.475*44/12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69.664551487610169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projet'!$B$17,Paramètres!$A$1:$I$88,3,0)*0.475*44/12</f>
        <v>#N/A</v>
      </c>
      <c r="GM186" s="23" t="e">
        <f>EXP(-LN(2)/25)*GM185+(1-EXP(-LN(2)/25))/(LN(2)/25)*Calculateur!GH186*Calculateur!GJ186*VLOOKUP('Données projet'!$B$17,Paramètres!$A$1:$I$88,3,0)*0.475*44/12</f>
        <v>#N/A</v>
      </c>
      <c r="GN186" s="23" t="e">
        <f>EXP(-LN(2)/2)*GN185+(1-EXP(-LN(2)/2))/(LN(2)/2)*GH186*GK186*VLOOKUP('Données projet'!$B$17,Paramètres!$A$1:$I$88,3,0)*0.475*44/12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69.664551487610169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projet'!$B$18,Paramètres!$A$1:$I$88,3,0)*0.475*44/12</f>
        <v>#N/A</v>
      </c>
      <c r="HH186" s="23" t="e">
        <f>EXP(-LN(2)/25)*HH185+(1-EXP(-LN(2)/25))/(LN(2)/25)*Calculateur!HC186*Calculateur!HE186*VLOOKUP('Données projet'!$B$18,Paramètres!$A$1:$I$88,3,0)*0.475*44/12</f>
        <v>#N/A</v>
      </c>
      <c r="HI186" s="23" t="e">
        <f>EXP(-LN(2)/2)*HI185+(1-EXP(-LN(2)/2))/(LN(2)/2)*HC186*HF186*VLOOKUP('Données projet'!$B$18,Paramètres!$A$1:$I$88,3,0)*0.475*44/12</f>
        <v>#N/A</v>
      </c>
      <c r="HJ186" s="24" t="e">
        <f t="shared" si="190"/>
        <v>#N/A</v>
      </c>
    </row>
    <row r="187" spans="1:218" x14ac:dyDescent="0.2">
      <c r="A187" s="11">
        <f t="shared" si="161"/>
        <v>184</v>
      </c>
      <c r="B187" s="77">
        <f>'Scénario référence'!$B$16*5+'Scénario référence'!$B$17*0+'Scénario référence'!$B$18*5</f>
        <v>1.6500000000000001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6.0500000000000007</v>
      </c>
      <c r="H187" s="70">
        <f t="shared" si="110"/>
        <v>232.4666666666667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69.670370769349617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projet'!$B$9,Paramètres!$A$1:$I$88,3,0)*VLOOKUP('Données projet'!$B$9,Paramètres!$A$1:$I$88,5,0)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292.1246928209506</v>
      </c>
      <c r="S187" s="62">
        <f ca="1">AVERAGE(OFFSET($R$3,0,0,'Données projet'!$E$9+1,1))-AVERAGE(OFFSET($H$3,0,0,'Données projet'!$E$9+1,1))</f>
        <v>354.71367224254021</v>
      </c>
      <c r="T187" s="62">
        <f t="shared" si="142"/>
        <v>490.074370133397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14.864449973172752</v>
      </c>
      <c r="AA187" s="23">
        <f>EXP(-LN(2)/25)*AA186+(1-EXP(-LN(2)/25))/(LN(2)/25)*Calculateur!V187*Calculateur!X187*VLOOKUP('Données projet'!$B$9,Paramètres!$A$1:$I$88,3,0)*0.475*44/12</f>
        <v>1.1902694369505451</v>
      </c>
      <c r="AB187" s="23">
        <f>EXP(-LN(2)/2)*AB186+(1-EXP(-LN(2)/2))/(LN(2)/2)*V187*Y187*VLOOKUP('Données projet'!$B$9,Paramètres!$A$1:$I$88,3,0)*0.475*44/12</f>
        <v>1.2342807871988109E-19</v>
      </c>
      <c r="AC187" s="24">
        <f t="shared" si="163"/>
        <v>16.054719410123298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69.670370769349617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2.2737367544323206E-13</v>
      </c>
      <c r="AJ187" s="14">
        <f>AI187*VLOOKUP('Données projet'!$B$10,Paramètres!$A$1:$I$88,3,0)*VLOOKUP('Données projet'!$B$10,Paramètres!$A$1:$I$88,5,0)</f>
        <v>1.3596945791505279E-13</v>
      </c>
      <c r="AK187" s="14">
        <f t="shared" si="164"/>
        <v>1.9708830566360721E-12</v>
      </c>
      <c r="AL187" s="22">
        <f t="shared" si="165"/>
        <v>3.669434796176543E-12</v>
      </c>
      <c r="AM187" s="62">
        <f t="shared" si="113"/>
        <v>292.1246928209523</v>
      </c>
      <c r="AN187" s="62">
        <f ca="1">AVERAGE(OFFSET($AM$3,0,0,'Données projet'!$E$10+1,1))-AVERAGE(OFFSET($H$3,0,0,'Données projet'!$E$10+1,1))</f>
        <v>264.73276096087574</v>
      </c>
      <c r="AO187" s="62">
        <f t="shared" si="144"/>
        <v>381.84464918049662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projet'!$B$10,Paramètres!$A$1:$I$88,3,0)*0.475*44/12</f>
        <v>10.424533219327154</v>
      </c>
      <c r="AV187" s="23">
        <f>EXP(-LN(2)/25)*AV186+(1-EXP(-LN(2)/25))/(LN(2)/25)*Calculateur!AQ187*Calculateur!AS187*VLOOKUP('Données projet'!$B$10,Paramètres!$A$1:$I$88,3,0)*0.475*44/12</f>
        <v>0.83620256396877601</v>
      </c>
      <c r="AW187" s="23">
        <f>EXP(-LN(2)/2)*AW186+(1-EXP(-LN(2)/2))/(LN(2)/2)*AQ187*AT187*VLOOKUP('Données projet'!$B$10,Paramètres!$A$1:$I$88,3,0)*0.475*44/12</f>
        <v>8.6425363433291337E-20</v>
      </c>
      <c r="AX187" s="23">
        <f t="shared" si="166"/>
        <v>11.26073578329593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69.670370769349617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-2.8421709430404007E-13</v>
      </c>
      <c r="BE187" s="14">
        <f>BD187*VLOOKUP('Données projet'!$B$11,Paramètres!$A$1:$I$88,3,0)*VLOOKUP('Données projet'!$B$11,Paramètres!$A$1:$I$88,5,0)</f>
        <v>-3.2366642699344083E-13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470.57532875732056</v>
      </c>
      <c r="BJ187" s="62">
        <f t="shared" si="146"/>
        <v>286.63787681165888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projet'!$B$11,Paramètres!$A$1:$I$88,3,0)*0.475*44/12</f>
        <v>45.727231166714546</v>
      </c>
      <c r="BQ187" s="23">
        <f>EXP(-LN(2)/25)*BQ186+(1-EXP(-LN(2)/25))/(LN(2)/25)*Calculateur!BL187*Calculateur!BN187*VLOOKUP('Données projet'!$B$11,Paramètres!$A$1:$I$88,3,0)*0.475*44/12</f>
        <v>0</v>
      </c>
      <c r="BR187" s="23">
        <f>EXP(-LN(2)/2)*BR186+(1-EXP(-LN(2)/2))/(LN(2)/2)*BL187*BO187*VLOOKUP('Données projet'!$B$11,Paramètres!$A$1:$I$88,3,0)*0.475*44/12</f>
        <v>0</v>
      </c>
      <c r="BS187" s="24">
        <f t="shared" si="169"/>
        <v>45.727231166714546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69.670370769349617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-2.2737367544323206E-13</v>
      </c>
      <c r="BZ187" s="14">
        <f>BY187*VLOOKUP('Données projet'!$B$12,Paramètres!$A$1:$I$88,3,0)*VLOOKUP('Données projet'!$B$12,Paramètres!$A$1:$I$88,5,0)</f>
        <v>-1.4897523215040565E-13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305.38855494899906</v>
      </c>
      <c r="CE187" s="62">
        <f t="shared" si="148"/>
        <v>298.48106301229177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projet'!$B$12,Paramètres!$A$1:$I$88,3,0)*0.475*44/12</f>
        <v>10.810626783217163</v>
      </c>
      <c r="CL187" s="23">
        <f>EXP(-LN(2)/25)*CL186+(1-EXP(-LN(2)/25))/(LN(2)/25)*Calculateur!CG187*Calculateur!CI187*VLOOKUP('Données projet'!$B$12,Paramètres!$A$1:$I$88,3,0)*0.475*44/12</f>
        <v>0</v>
      </c>
      <c r="CM187" s="23">
        <f>EXP(-LN(2)/2)*CM186+(1-EXP(-LN(2)/2))/(LN(2)/2)*CG187*CJ187*VLOOKUP('Données projet'!$B$12,Paramètres!$A$1:$I$88,3,0)*0.475*44/12</f>
        <v>0</v>
      </c>
      <c r="CN187" s="24">
        <f t="shared" si="172"/>
        <v>10.810626783217163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69.670370769349617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-2.2737367544323206E-13</v>
      </c>
      <c r="CU187" s="18">
        <f>CT187*VLOOKUP('Données projet'!$B$13,Paramètres!$A$1:$I$88,3,0)*VLOOKUP('Données projet'!$B$13,Paramètres!$A$1:$I$88,5,0)</f>
        <v>-1.8089849618263545E-13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361.30066984973894</v>
      </c>
      <c r="CZ187" s="62">
        <f t="shared" si="150"/>
        <v>351.78053157121622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projet'!$B$13,Paramètres!$A$1:$I$88,3,0)*0.475*44/12</f>
        <v>16.180024471227</v>
      </c>
      <c r="DG187" s="23">
        <f>EXP(-LN(2)/25)*DG186+(1-EXP(-LN(2)/25))/(LN(2)/25)*Calculateur!DB187*Calculateur!DD187*VLOOKUP('Données projet'!$B$13,Paramètres!$A$1:$I$88,3,0)*0.475*44/12</f>
        <v>0</v>
      </c>
      <c r="DH187" s="23">
        <f>EXP(-LN(2)/2)*DH186+(1-EXP(-LN(2)/2))/(LN(2)/2)*DB187*DE187*VLOOKUP('Données projet'!$B$13,Paramètres!$A$1:$I$88,3,0)*0.475*44/12</f>
        <v>0</v>
      </c>
      <c r="DI187" s="24">
        <f t="shared" si="175"/>
        <v>16.180024471227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69.670370769349617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>
        <f>DO187*VLOOKUP('Données projet'!$B$14,Paramètres!$A$1:$I$88,3,0)*VLOOKUP('Données projet'!$B$14,Paramètres!$A$1:$I$88,5,0)</f>
        <v>0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91.201152634762423</v>
      </c>
      <c r="DU187" s="62">
        <f t="shared" si="152"/>
        <v>233.36981992862445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projet'!$B$14,Paramètres!$A$1:$I$88,3,0)*0.475*44/12</f>
        <v>1.963650598200666</v>
      </c>
      <c r="EB187" s="23">
        <f>EXP(-LN(2)/25)*EB186+(1-EXP(-LN(2)/25))/(LN(2)/25)*Calculateur!DW187*Calculateur!DY187*VLOOKUP('Données projet'!$B$14,Paramètres!$A$1:$I$88,3,0)*0.475*44/12</f>
        <v>0</v>
      </c>
      <c r="EC187" s="23">
        <f>EXP(-LN(2)/2)*EC186+(1-EXP(-LN(2)/2))/(LN(2)/2)*DW187*DZ187*VLOOKUP('Données projet'!$B$14,Paramètres!$A$1:$I$88,3,0)*0.475*44/12</f>
        <v>0</v>
      </c>
      <c r="ED187" s="24">
        <f t="shared" si="178"/>
        <v>1.963650598200666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69.670370769349617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projet'!$B$15,Paramètres!$A$1:$I$88,3,0)*0.475*44/12</f>
        <v>#N/A</v>
      </c>
      <c r="EW187" s="23" t="e">
        <f>EXP(-LN(2)/25)*EW186+(1-EXP(-LN(2)/25))/(LN(2)/25)*Calculateur!ER187*Calculateur!ET187*VLOOKUP('Données projet'!$B$15,Paramètres!$A$1:$I$88,3,0)*0.475*44/12</f>
        <v>#N/A</v>
      </c>
      <c r="EX187" s="23" t="e">
        <f>EXP(-LN(2)/2)*EX186+(1-EXP(-LN(2)/2))/(LN(2)/2)*ER187*EU187*VLOOKUP('Données projet'!$B$15,Paramètres!$A$1:$I$88,3,0)*0.475*44/12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69.670370769349617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projet'!$B$16,Paramètres!$A$1:$I$88,3,0)*0.475*44/12</f>
        <v>#N/A</v>
      </c>
      <c r="FR187" s="23" t="e">
        <f>EXP(-LN(2)/25)*FR186+(1-EXP(-LN(2)/25))/(LN(2)/25)*Calculateur!FM187*Calculateur!FO187*VLOOKUP('Données projet'!$B$16,Paramètres!$A$1:$I$88,3,0)*0.475*44/12</f>
        <v>#N/A</v>
      </c>
      <c r="FS187" s="23" t="e">
        <f>EXP(-LN(2)/2)*FS186+(1-EXP(-LN(2)/2))/(LN(2)/2)*FM187*FP187*VLOOKUP('Données projet'!$B$16,Paramètres!$A$1:$I$88,3,0)*0.475*44/12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69.670370769349617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projet'!$B$17,Paramètres!$A$1:$I$88,3,0)*0.475*44/12</f>
        <v>#N/A</v>
      </c>
      <c r="GM187" s="23" t="e">
        <f>EXP(-LN(2)/25)*GM186+(1-EXP(-LN(2)/25))/(LN(2)/25)*Calculateur!GH187*Calculateur!GJ187*VLOOKUP('Données projet'!$B$17,Paramètres!$A$1:$I$88,3,0)*0.475*44/12</f>
        <v>#N/A</v>
      </c>
      <c r="GN187" s="23" t="e">
        <f>EXP(-LN(2)/2)*GN186+(1-EXP(-LN(2)/2))/(LN(2)/2)*GH187*GK187*VLOOKUP('Données projet'!$B$17,Paramètres!$A$1:$I$88,3,0)*0.475*44/12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69.670370769349617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projet'!$B$18,Paramètres!$A$1:$I$88,3,0)*0.475*44/12</f>
        <v>#N/A</v>
      </c>
      <c r="HH187" s="23" t="e">
        <f>EXP(-LN(2)/25)*HH186+(1-EXP(-LN(2)/25))/(LN(2)/25)*Calculateur!HC187*Calculateur!HE187*VLOOKUP('Données projet'!$B$18,Paramètres!$A$1:$I$88,3,0)*0.475*44/12</f>
        <v>#N/A</v>
      </c>
      <c r="HI187" s="23" t="e">
        <f>EXP(-LN(2)/2)*HI186+(1-EXP(-LN(2)/2))/(LN(2)/2)*HC187*HF187*VLOOKUP('Données projet'!$B$18,Paramètres!$A$1:$I$88,3,0)*0.475*44/12</f>
        <v>#N/A</v>
      </c>
      <c r="HJ187" s="24" t="e">
        <f t="shared" si="190"/>
        <v>#N/A</v>
      </c>
    </row>
    <row r="188" spans="1:218" x14ac:dyDescent="0.2">
      <c r="A188" s="11">
        <f t="shared" si="161"/>
        <v>185</v>
      </c>
      <c r="B188" s="77">
        <f>'Scénario référence'!$B$16*5+'Scénario référence'!$B$17*0+'Scénario référence'!$B$18*5</f>
        <v>1.6500000000000001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6.0500000000000007</v>
      </c>
      <c r="H188" s="70">
        <f t="shared" si="110"/>
        <v>232.4666666666667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69.676089099560841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projet'!$B$9,Paramètres!$A$1:$I$88,3,0)*VLOOKUP('Données projet'!$B$9,Paramètres!$A$1:$I$88,5,0)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292.14566003172507</v>
      </c>
      <c r="S188" s="62">
        <f ca="1">AVERAGE(OFFSET($R$3,0,0,'Données projet'!$E$9+1,1))-AVERAGE(OFFSET($H$3,0,0,'Données projet'!$E$9+1,1))</f>
        <v>354.71367224254021</v>
      </c>
      <c r="T188" s="62">
        <f t="shared" si="142"/>
        <v>490.074370133397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14.572967175618084</v>
      </c>
      <c r="AA188" s="23">
        <f>EXP(-LN(2)/25)*AA187+(1-EXP(-LN(2)/25))/(LN(2)/25)*Calculateur!V188*Calculateur!X188*VLOOKUP('Données projet'!$B$9,Paramètres!$A$1:$I$88,3,0)*0.475*44/12</f>
        <v>1.1577214566035832</v>
      </c>
      <c r="AB188" s="23">
        <f>EXP(-LN(2)/2)*AB187+(1-EXP(-LN(2)/2))/(LN(2)/2)*V188*Y188*VLOOKUP('Données projet'!$B$9,Paramètres!$A$1:$I$88,3,0)*0.475*44/12</f>
        <v>8.7276831451654924E-20</v>
      </c>
      <c r="AC188" s="24">
        <f t="shared" si="163"/>
        <v>15.730688632221668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69.676089099560841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2.2737367544323206E-13</v>
      </c>
      <c r="AJ188" s="14">
        <f>AI188*VLOOKUP('Données projet'!$B$10,Paramètres!$A$1:$I$88,3,0)*VLOOKUP('Données projet'!$B$10,Paramètres!$A$1:$I$88,5,0)</f>
        <v>1.3596945791505279E-13</v>
      </c>
      <c r="AK188" s="14">
        <f t="shared" si="164"/>
        <v>1.9708830566360721E-12</v>
      </c>
      <c r="AL188" s="22">
        <f t="shared" si="165"/>
        <v>3.669434796176543E-12</v>
      </c>
      <c r="AM188" s="62">
        <f t="shared" si="113"/>
        <v>292.14566003172678</v>
      </c>
      <c r="AN188" s="62">
        <f ca="1">AVERAGE(OFFSET($AM$3,0,0,'Données projet'!$E$10+1,1))-AVERAGE(OFFSET($H$3,0,0,'Données projet'!$E$10+1,1))</f>
        <v>264.73276096087574</v>
      </c>
      <c r="AO188" s="62">
        <f t="shared" si="144"/>
        <v>381.84464918049662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projet'!$B$10,Paramètres!$A$1:$I$88,3,0)*0.475*44/12</f>
        <v>10.220114481233578</v>
      </c>
      <c r="AV188" s="23">
        <f>EXP(-LN(2)/25)*AV187+(1-EXP(-LN(2)/25))/(LN(2)/25)*Calculateur!AQ188*Calculateur!AS188*VLOOKUP('Données projet'!$B$10,Paramètres!$A$1:$I$88,3,0)*0.475*44/12</f>
        <v>0.81333656088306816</v>
      </c>
      <c r="AW188" s="23">
        <f>EXP(-LN(2)/2)*AW187+(1-EXP(-LN(2)/2))/(LN(2)/2)*AQ188*AT188*VLOOKUP('Données projet'!$B$10,Paramètres!$A$1:$I$88,3,0)*0.475*44/12</f>
        <v>6.1111960550192183E-20</v>
      </c>
      <c r="AX188" s="23">
        <f t="shared" si="166"/>
        <v>11.033451042116646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69.676089099560841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-2.8421709430404007E-13</v>
      </c>
      <c r="BE188" s="14">
        <f>BD188*VLOOKUP('Données projet'!$B$11,Paramètres!$A$1:$I$88,3,0)*VLOOKUP('Données projet'!$B$11,Paramètres!$A$1:$I$88,5,0)</f>
        <v>-3.2366642699344083E-13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470.57532875732056</v>
      </c>
      <c r="BJ188" s="62">
        <f t="shared" si="146"/>
        <v>286.63787681165888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projet'!$B$11,Paramètres!$A$1:$I$88,3,0)*0.475*44/12</f>
        <v>44.830548054392295</v>
      </c>
      <c r="BQ188" s="23">
        <f>EXP(-LN(2)/25)*BQ187+(1-EXP(-LN(2)/25))/(LN(2)/25)*Calculateur!BL188*Calculateur!BN188*VLOOKUP('Données projet'!$B$11,Paramètres!$A$1:$I$88,3,0)*0.475*44/12</f>
        <v>0</v>
      </c>
      <c r="BR188" s="23">
        <f>EXP(-LN(2)/2)*BR187+(1-EXP(-LN(2)/2))/(LN(2)/2)*BL188*BO188*VLOOKUP('Données projet'!$B$11,Paramètres!$A$1:$I$88,3,0)*0.475*44/12</f>
        <v>0</v>
      </c>
      <c r="BS188" s="24">
        <f t="shared" si="169"/>
        <v>44.830548054392295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69.676089099560841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-2.2737367544323206E-13</v>
      </c>
      <c r="BZ188" s="14">
        <f>BY188*VLOOKUP('Données projet'!$B$12,Paramètres!$A$1:$I$88,3,0)*VLOOKUP('Données projet'!$B$12,Paramètres!$A$1:$I$88,5,0)</f>
        <v>-1.4897523215040565E-13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305.38855494899906</v>
      </c>
      <c r="CE188" s="62">
        <f t="shared" si="148"/>
        <v>298.48106301229177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projet'!$B$12,Paramètres!$A$1:$I$88,3,0)*0.475*44/12</f>
        <v>10.598636985829526</v>
      </c>
      <c r="CL188" s="23">
        <f>EXP(-LN(2)/25)*CL187+(1-EXP(-LN(2)/25))/(LN(2)/25)*Calculateur!CG188*Calculateur!CI188*VLOOKUP('Données projet'!$B$12,Paramètres!$A$1:$I$88,3,0)*0.475*44/12</f>
        <v>0</v>
      </c>
      <c r="CM188" s="23">
        <f>EXP(-LN(2)/2)*CM187+(1-EXP(-LN(2)/2))/(LN(2)/2)*CG188*CJ188*VLOOKUP('Données projet'!$B$12,Paramètres!$A$1:$I$88,3,0)*0.475*44/12</f>
        <v>0</v>
      </c>
      <c r="CN188" s="24">
        <f t="shared" si="172"/>
        <v>10.598636985829526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69.676089099560841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-2.2737367544323206E-13</v>
      </c>
      <c r="CU188" s="18">
        <f>CT188*VLOOKUP('Données projet'!$B$13,Paramètres!$A$1:$I$88,3,0)*VLOOKUP('Données projet'!$B$13,Paramètres!$A$1:$I$88,5,0)</f>
        <v>-1.8089849618263545E-13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361.30066984973894</v>
      </c>
      <c r="CZ188" s="62">
        <f t="shared" si="150"/>
        <v>351.78053157121622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projet'!$B$13,Paramètres!$A$1:$I$88,3,0)*0.475*44/12</f>
        <v>15.862744060186699</v>
      </c>
      <c r="DG188" s="23">
        <f>EXP(-LN(2)/25)*DG187+(1-EXP(-LN(2)/25))/(LN(2)/25)*Calculateur!DB188*Calculateur!DD188*VLOOKUP('Données projet'!$B$13,Paramètres!$A$1:$I$88,3,0)*0.475*44/12</f>
        <v>0</v>
      </c>
      <c r="DH188" s="23">
        <f>EXP(-LN(2)/2)*DH187+(1-EXP(-LN(2)/2))/(LN(2)/2)*DB188*DE188*VLOOKUP('Données projet'!$B$13,Paramètres!$A$1:$I$88,3,0)*0.475*44/12</f>
        <v>0</v>
      </c>
      <c r="DI188" s="24">
        <f t="shared" si="175"/>
        <v>15.862744060186699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69.676089099560841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>
        <f>DO188*VLOOKUP('Données projet'!$B$14,Paramètres!$A$1:$I$88,3,0)*VLOOKUP('Données projet'!$B$14,Paramètres!$A$1:$I$88,5,0)</f>
        <v>0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91.201152634762423</v>
      </c>
      <c r="DU188" s="62">
        <f t="shared" si="152"/>
        <v>233.36981992862445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projet'!$B$14,Paramètres!$A$1:$I$88,3,0)*0.475*44/12</f>
        <v>1.9251446076785519</v>
      </c>
      <c r="EB188" s="23">
        <f>EXP(-LN(2)/25)*EB187+(1-EXP(-LN(2)/25))/(LN(2)/25)*Calculateur!DW188*Calculateur!DY188*VLOOKUP('Données projet'!$B$14,Paramètres!$A$1:$I$88,3,0)*0.475*44/12</f>
        <v>0</v>
      </c>
      <c r="EC188" s="23">
        <f>EXP(-LN(2)/2)*EC187+(1-EXP(-LN(2)/2))/(LN(2)/2)*DW188*DZ188*VLOOKUP('Données projet'!$B$14,Paramètres!$A$1:$I$88,3,0)*0.475*44/12</f>
        <v>0</v>
      </c>
      <c r="ED188" s="24">
        <f t="shared" si="178"/>
        <v>1.9251446076785519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69.676089099560841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projet'!$B$15,Paramètres!$A$1:$I$88,3,0)*0.475*44/12</f>
        <v>#N/A</v>
      </c>
      <c r="EW188" s="23" t="e">
        <f>EXP(-LN(2)/25)*EW187+(1-EXP(-LN(2)/25))/(LN(2)/25)*Calculateur!ER188*Calculateur!ET188*VLOOKUP('Données projet'!$B$15,Paramètres!$A$1:$I$88,3,0)*0.475*44/12</f>
        <v>#N/A</v>
      </c>
      <c r="EX188" s="23" t="e">
        <f>EXP(-LN(2)/2)*EX187+(1-EXP(-LN(2)/2))/(LN(2)/2)*ER188*EU188*VLOOKUP('Données projet'!$B$15,Paramètres!$A$1:$I$88,3,0)*0.475*44/12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69.676089099560841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projet'!$B$16,Paramètres!$A$1:$I$88,3,0)*0.475*44/12</f>
        <v>#N/A</v>
      </c>
      <c r="FR188" s="23" t="e">
        <f>EXP(-LN(2)/25)*FR187+(1-EXP(-LN(2)/25))/(LN(2)/25)*Calculateur!FM188*Calculateur!FO188*VLOOKUP('Données projet'!$B$16,Paramètres!$A$1:$I$88,3,0)*0.475*44/12</f>
        <v>#N/A</v>
      </c>
      <c r="FS188" s="23" t="e">
        <f>EXP(-LN(2)/2)*FS187+(1-EXP(-LN(2)/2))/(LN(2)/2)*FM188*FP188*VLOOKUP('Données projet'!$B$16,Paramètres!$A$1:$I$88,3,0)*0.475*44/12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69.676089099560841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projet'!$B$17,Paramètres!$A$1:$I$88,3,0)*0.475*44/12</f>
        <v>#N/A</v>
      </c>
      <c r="GM188" s="23" t="e">
        <f>EXP(-LN(2)/25)*GM187+(1-EXP(-LN(2)/25))/(LN(2)/25)*Calculateur!GH188*Calculateur!GJ188*VLOOKUP('Données projet'!$B$17,Paramètres!$A$1:$I$88,3,0)*0.475*44/12</f>
        <v>#N/A</v>
      </c>
      <c r="GN188" s="23" t="e">
        <f>EXP(-LN(2)/2)*GN187+(1-EXP(-LN(2)/2))/(LN(2)/2)*GH188*GK188*VLOOKUP('Données projet'!$B$17,Paramètres!$A$1:$I$88,3,0)*0.475*44/12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69.676089099560841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projet'!$B$18,Paramètres!$A$1:$I$88,3,0)*0.475*44/12</f>
        <v>#N/A</v>
      </c>
      <c r="HH188" s="23" t="e">
        <f>EXP(-LN(2)/25)*HH187+(1-EXP(-LN(2)/25))/(LN(2)/25)*Calculateur!HC188*Calculateur!HE188*VLOOKUP('Données projet'!$B$18,Paramètres!$A$1:$I$88,3,0)*0.475*44/12</f>
        <v>#N/A</v>
      </c>
      <c r="HI188" s="23" t="e">
        <f>EXP(-LN(2)/2)*HI187+(1-EXP(-LN(2)/2))/(LN(2)/2)*HC188*HF188*VLOOKUP('Données projet'!$B$18,Paramètres!$A$1:$I$88,3,0)*0.475*44/12</f>
        <v>#N/A</v>
      </c>
      <c r="HJ188" s="24" t="e">
        <f t="shared" si="190"/>
        <v>#N/A</v>
      </c>
    </row>
    <row r="189" spans="1:218" x14ac:dyDescent="0.2">
      <c r="A189" s="11">
        <f t="shared" si="161"/>
        <v>186</v>
      </c>
      <c r="B189" s="77">
        <f>'Scénario référence'!$B$16*5+'Scénario référence'!$B$17*0+'Scénario référence'!$B$18*5</f>
        <v>1.6500000000000001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6.0500000000000007</v>
      </c>
      <c r="H189" s="70">
        <f t="shared" si="110"/>
        <v>232.4666666666667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69.681708229527175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projet'!$B$9,Paramètres!$A$1:$I$88,3,0)*VLOOKUP('Données projet'!$B$9,Paramètres!$A$1:$I$88,5,0)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292.16626350826829</v>
      </c>
      <c r="S189" s="62">
        <f ca="1">AVERAGE(OFFSET($R$3,0,0,'Données projet'!$E$9+1,1))-AVERAGE(OFFSET($H$3,0,0,'Données projet'!$E$9+1,1))</f>
        <v>354.71367224254021</v>
      </c>
      <c r="T189" s="62">
        <f t="shared" si="142"/>
        <v>490.074370133397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14.28720017793651</v>
      </c>
      <c r="AA189" s="23">
        <f>EXP(-LN(2)/25)*AA188+(1-EXP(-LN(2)/25))/(LN(2)/25)*Calculateur!V189*Calculateur!X189*VLOOKUP('Données projet'!$B$9,Paramètres!$A$1:$I$88,3,0)*0.475*44/12</f>
        <v>1.1260635024908328</v>
      </c>
      <c r="AB189" s="23">
        <f>EXP(-LN(2)/2)*AB188+(1-EXP(-LN(2)/2))/(LN(2)/2)*V189*Y189*VLOOKUP('Données projet'!$B$9,Paramètres!$A$1:$I$88,3,0)*0.475*44/12</f>
        <v>6.1714039359940546E-20</v>
      </c>
      <c r="AC189" s="24">
        <f t="shared" si="163"/>
        <v>15.413263680427344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69.681708229527175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2.2737367544323206E-13</v>
      </c>
      <c r="AJ189" s="14">
        <f>AI189*VLOOKUP('Données projet'!$B$10,Paramètres!$A$1:$I$88,3,0)*VLOOKUP('Données projet'!$B$10,Paramètres!$A$1:$I$88,5,0)</f>
        <v>1.3596945791505279E-13</v>
      </c>
      <c r="AK189" s="14">
        <f t="shared" si="164"/>
        <v>1.9708830566360721E-12</v>
      </c>
      <c r="AL189" s="22">
        <f t="shared" si="165"/>
        <v>3.669434796176543E-12</v>
      </c>
      <c r="AM189" s="62">
        <f t="shared" si="113"/>
        <v>292.16626350826999</v>
      </c>
      <c r="AN189" s="62">
        <f ca="1">AVERAGE(OFFSET($AM$3,0,0,'Données projet'!$E$10+1,1))-AVERAGE(OFFSET($H$3,0,0,'Données projet'!$E$10+1,1))</f>
        <v>264.73276096087574</v>
      </c>
      <c r="AO189" s="62">
        <f t="shared" si="144"/>
        <v>381.84464918049662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projet'!$B$10,Paramètres!$A$1:$I$88,3,0)*0.475*44/12</f>
        <v>10.019704269910898</v>
      </c>
      <c r="AV189" s="23">
        <f>EXP(-LN(2)/25)*AV188+(1-EXP(-LN(2)/25))/(LN(2)/25)*Calculateur!AQ189*Calculateur!AS189*VLOOKUP('Données projet'!$B$10,Paramètres!$A$1:$I$88,3,0)*0.475*44/12</f>
        <v>0.79109582985420979</v>
      </c>
      <c r="AW189" s="23">
        <f>EXP(-LN(2)/2)*AW188+(1-EXP(-LN(2)/2))/(LN(2)/2)*AQ189*AT189*VLOOKUP('Données projet'!$B$10,Paramètres!$A$1:$I$88,3,0)*0.475*44/12</f>
        <v>4.3212681716645669E-20</v>
      </c>
      <c r="AX189" s="23">
        <f t="shared" si="166"/>
        <v>10.810800099765109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69.681708229527175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-2.8421709430404007E-13</v>
      </c>
      <c r="BE189" s="14">
        <f>BD189*VLOOKUP('Données projet'!$B$11,Paramètres!$A$1:$I$88,3,0)*VLOOKUP('Données projet'!$B$11,Paramètres!$A$1:$I$88,5,0)</f>
        <v>-3.2366642699344083E-13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470.57532875732056</v>
      </c>
      <c r="BJ189" s="62">
        <f t="shared" si="146"/>
        <v>286.63787681165888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projet'!$B$11,Paramètres!$A$1:$I$88,3,0)*0.475*44/12</f>
        <v>43.951448350979987</v>
      </c>
      <c r="BQ189" s="23">
        <f>EXP(-LN(2)/25)*BQ188+(1-EXP(-LN(2)/25))/(LN(2)/25)*Calculateur!BL189*Calculateur!BN189*VLOOKUP('Données projet'!$B$11,Paramètres!$A$1:$I$88,3,0)*0.475*44/12</f>
        <v>0</v>
      </c>
      <c r="BR189" s="23">
        <f>EXP(-LN(2)/2)*BR188+(1-EXP(-LN(2)/2))/(LN(2)/2)*BL189*BO189*VLOOKUP('Données projet'!$B$11,Paramètres!$A$1:$I$88,3,0)*0.475*44/12</f>
        <v>0</v>
      </c>
      <c r="BS189" s="24">
        <f t="shared" si="169"/>
        <v>43.951448350979987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69.681708229527175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-2.2737367544323206E-13</v>
      </c>
      <c r="BZ189" s="14">
        <f>BY189*VLOOKUP('Données projet'!$B$12,Paramètres!$A$1:$I$88,3,0)*VLOOKUP('Données projet'!$B$12,Paramètres!$A$1:$I$88,5,0)</f>
        <v>-1.4897523215040565E-13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305.38855494899906</v>
      </c>
      <c r="CE189" s="62">
        <f t="shared" si="148"/>
        <v>298.48106301229177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projet'!$B$12,Paramètres!$A$1:$I$88,3,0)*0.475*44/12</f>
        <v>10.390804179067651</v>
      </c>
      <c r="CL189" s="23">
        <f>EXP(-LN(2)/25)*CL188+(1-EXP(-LN(2)/25))/(LN(2)/25)*Calculateur!CG189*Calculateur!CI189*VLOOKUP('Données projet'!$B$12,Paramètres!$A$1:$I$88,3,0)*0.475*44/12</f>
        <v>0</v>
      </c>
      <c r="CM189" s="23">
        <f>EXP(-LN(2)/2)*CM188+(1-EXP(-LN(2)/2))/(LN(2)/2)*CG189*CJ189*VLOOKUP('Données projet'!$B$12,Paramètres!$A$1:$I$88,3,0)*0.475*44/12</f>
        <v>0</v>
      </c>
      <c r="CN189" s="24">
        <f t="shared" si="172"/>
        <v>10.390804179067651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69.681708229527175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-2.2737367544323206E-13</v>
      </c>
      <c r="CU189" s="18">
        <f>CT189*VLOOKUP('Données projet'!$B$13,Paramètres!$A$1:$I$88,3,0)*VLOOKUP('Données projet'!$B$13,Paramètres!$A$1:$I$88,5,0)</f>
        <v>-1.8089849618263545E-13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361.30066984973894</v>
      </c>
      <c r="CZ189" s="62">
        <f t="shared" si="150"/>
        <v>351.78053157121622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projet'!$B$13,Paramètres!$A$1:$I$88,3,0)*0.475*44/12</f>
        <v>15.551685324484957</v>
      </c>
      <c r="DG189" s="23">
        <f>EXP(-LN(2)/25)*DG188+(1-EXP(-LN(2)/25))/(LN(2)/25)*Calculateur!DB189*Calculateur!DD189*VLOOKUP('Données projet'!$B$13,Paramètres!$A$1:$I$88,3,0)*0.475*44/12</f>
        <v>0</v>
      </c>
      <c r="DH189" s="23">
        <f>EXP(-LN(2)/2)*DH188+(1-EXP(-LN(2)/2))/(LN(2)/2)*DB189*DE189*VLOOKUP('Données projet'!$B$13,Paramètres!$A$1:$I$88,3,0)*0.475*44/12</f>
        <v>0</v>
      </c>
      <c r="DI189" s="24">
        <f t="shared" si="175"/>
        <v>15.551685324484957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69.681708229527175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>
        <f>DO189*VLOOKUP('Données projet'!$B$14,Paramètres!$A$1:$I$88,3,0)*VLOOKUP('Données projet'!$B$14,Paramètres!$A$1:$I$88,5,0)</f>
        <v>0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91.201152634762423</v>
      </c>
      <c r="DU189" s="62">
        <f t="shared" si="152"/>
        <v>233.36981992862445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projet'!$B$14,Paramètres!$A$1:$I$88,3,0)*0.475*44/12</f>
        <v>1.8873936961442415</v>
      </c>
      <c r="EB189" s="23">
        <f>EXP(-LN(2)/25)*EB188+(1-EXP(-LN(2)/25))/(LN(2)/25)*Calculateur!DW189*Calculateur!DY189*VLOOKUP('Données projet'!$B$14,Paramètres!$A$1:$I$88,3,0)*0.475*44/12</f>
        <v>0</v>
      </c>
      <c r="EC189" s="23">
        <f>EXP(-LN(2)/2)*EC188+(1-EXP(-LN(2)/2))/(LN(2)/2)*DW189*DZ189*VLOOKUP('Données projet'!$B$14,Paramètres!$A$1:$I$88,3,0)*0.475*44/12</f>
        <v>0</v>
      </c>
      <c r="ED189" s="24">
        <f t="shared" si="178"/>
        <v>1.8873936961442415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69.681708229527175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projet'!$B$15,Paramètres!$A$1:$I$88,3,0)*0.475*44/12</f>
        <v>#N/A</v>
      </c>
      <c r="EW189" s="23" t="e">
        <f>EXP(-LN(2)/25)*EW188+(1-EXP(-LN(2)/25))/(LN(2)/25)*Calculateur!ER189*Calculateur!ET189*VLOOKUP('Données projet'!$B$15,Paramètres!$A$1:$I$88,3,0)*0.475*44/12</f>
        <v>#N/A</v>
      </c>
      <c r="EX189" s="23" t="e">
        <f>EXP(-LN(2)/2)*EX188+(1-EXP(-LN(2)/2))/(LN(2)/2)*ER189*EU189*VLOOKUP('Données projet'!$B$15,Paramètres!$A$1:$I$88,3,0)*0.475*44/12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69.681708229527175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projet'!$B$16,Paramètres!$A$1:$I$88,3,0)*0.475*44/12</f>
        <v>#N/A</v>
      </c>
      <c r="FR189" s="23" t="e">
        <f>EXP(-LN(2)/25)*FR188+(1-EXP(-LN(2)/25))/(LN(2)/25)*Calculateur!FM189*Calculateur!FO189*VLOOKUP('Données projet'!$B$16,Paramètres!$A$1:$I$88,3,0)*0.475*44/12</f>
        <v>#N/A</v>
      </c>
      <c r="FS189" s="23" t="e">
        <f>EXP(-LN(2)/2)*FS188+(1-EXP(-LN(2)/2))/(LN(2)/2)*FM189*FP189*VLOOKUP('Données projet'!$B$16,Paramètres!$A$1:$I$88,3,0)*0.475*44/12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69.681708229527175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projet'!$B$17,Paramètres!$A$1:$I$88,3,0)*0.475*44/12</f>
        <v>#N/A</v>
      </c>
      <c r="GM189" s="23" t="e">
        <f>EXP(-LN(2)/25)*GM188+(1-EXP(-LN(2)/25))/(LN(2)/25)*Calculateur!GH189*Calculateur!GJ189*VLOOKUP('Données projet'!$B$17,Paramètres!$A$1:$I$88,3,0)*0.475*44/12</f>
        <v>#N/A</v>
      </c>
      <c r="GN189" s="23" t="e">
        <f>EXP(-LN(2)/2)*GN188+(1-EXP(-LN(2)/2))/(LN(2)/2)*GH189*GK189*VLOOKUP('Données projet'!$B$17,Paramètres!$A$1:$I$88,3,0)*0.475*44/12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69.681708229527175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projet'!$B$18,Paramètres!$A$1:$I$88,3,0)*0.475*44/12</f>
        <v>#N/A</v>
      </c>
      <c r="HH189" s="23" t="e">
        <f>EXP(-LN(2)/25)*HH188+(1-EXP(-LN(2)/25))/(LN(2)/25)*Calculateur!HC189*Calculateur!HE189*VLOOKUP('Données projet'!$B$18,Paramètres!$A$1:$I$88,3,0)*0.475*44/12</f>
        <v>#N/A</v>
      </c>
      <c r="HI189" s="23" t="e">
        <f>EXP(-LN(2)/2)*HI188+(1-EXP(-LN(2)/2))/(LN(2)/2)*HC189*HF189*VLOOKUP('Données projet'!$B$18,Paramètres!$A$1:$I$88,3,0)*0.475*44/12</f>
        <v>#N/A</v>
      </c>
      <c r="HJ189" s="24" t="e">
        <f t="shared" si="190"/>
        <v>#N/A</v>
      </c>
    </row>
    <row r="190" spans="1:218" x14ac:dyDescent="0.2">
      <c r="A190" s="11">
        <f t="shared" si="161"/>
        <v>187</v>
      </c>
      <c r="B190" s="77">
        <f>'Scénario référence'!$B$16*5+'Scénario référence'!$B$17*0+'Scénario référence'!$B$18*5</f>
        <v>1.6500000000000001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6.0500000000000007</v>
      </c>
      <c r="H190" s="70">
        <f t="shared" si="110"/>
        <v>232.4666666666667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69.687229880151079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projet'!$B$9,Paramètres!$A$1:$I$88,3,0)*VLOOKUP('Données projet'!$B$9,Paramètres!$A$1:$I$88,5,0)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292.18650956055592</v>
      </c>
      <c r="S190" s="62">
        <f ca="1">AVERAGE(OFFSET($R$3,0,0,'Données projet'!$E$9+1,1))-AVERAGE(OFFSET($H$3,0,0,'Données projet'!$E$9+1,1))</f>
        <v>354.71367224254021</v>
      </c>
      <c r="T190" s="62">
        <f t="shared" si="142"/>
        <v>490.074370133397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14.007036896778816</v>
      </c>
      <c r="AA190" s="23">
        <f>EXP(-LN(2)/25)*AA189+(1-EXP(-LN(2)/25))/(LN(2)/25)*Calculateur!V190*Calculateur!X190*VLOOKUP('Données projet'!$B$9,Paramètres!$A$1:$I$88,3,0)*0.475*44/12</f>
        <v>1.095271236798115</v>
      </c>
      <c r="AB190" s="23">
        <f>EXP(-LN(2)/2)*AB189+(1-EXP(-LN(2)/2))/(LN(2)/2)*V190*Y190*VLOOKUP('Données projet'!$B$9,Paramètres!$A$1:$I$88,3,0)*0.475*44/12</f>
        <v>4.3638415725827462E-20</v>
      </c>
      <c r="AC190" s="24">
        <f t="shared" si="163"/>
        <v>15.102308133576932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69.687229880151079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2.2737367544323206E-13</v>
      </c>
      <c r="AJ190" s="14">
        <f>AI190*VLOOKUP('Données projet'!$B$10,Paramètres!$A$1:$I$88,3,0)*VLOOKUP('Données projet'!$B$10,Paramètres!$A$1:$I$88,5,0)</f>
        <v>1.3596945791505279E-13</v>
      </c>
      <c r="AK190" s="14">
        <f t="shared" si="164"/>
        <v>1.9708830566360721E-12</v>
      </c>
      <c r="AL190" s="22">
        <f t="shared" si="165"/>
        <v>3.669434796176543E-12</v>
      </c>
      <c r="AM190" s="62">
        <f t="shared" si="113"/>
        <v>292.18650956055762</v>
      </c>
      <c r="AN190" s="62">
        <f ca="1">AVERAGE(OFFSET($AM$3,0,0,'Données projet'!$E$10+1,1))-AVERAGE(OFFSET($H$3,0,0,'Données projet'!$E$10+1,1))</f>
        <v>264.73276096087574</v>
      </c>
      <c r="AO190" s="62">
        <f t="shared" si="144"/>
        <v>381.84464918049662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projet'!$B$10,Paramètres!$A$1:$I$88,3,0)*0.475*44/12</f>
        <v>9.8232239805940971</v>
      </c>
      <c r="AV190" s="23">
        <f>EXP(-LN(2)/25)*AV189+(1-EXP(-LN(2)/25))/(LN(2)/25)*Calculateur!AQ190*Calculateur!AS190*VLOOKUP('Données projet'!$B$10,Paramètres!$A$1:$I$88,3,0)*0.475*44/12</f>
        <v>0.76946327278492477</v>
      </c>
      <c r="AW190" s="23">
        <f>EXP(-LN(2)/2)*AW189+(1-EXP(-LN(2)/2))/(LN(2)/2)*AQ190*AT190*VLOOKUP('Données projet'!$B$10,Paramètres!$A$1:$I$88,3,0)*0.475*44/12</f>
        <v>3.0555980275096091E-20</v>
      </c>
      <c r="AX190" s="23">
        <f t="shared" si="166"/>
        <v>10.592687253379022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69.687229880151079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-2.8421709430404007E-13</v>
      </c>
      <c r="BE190" s="14">
        <f>BD190*VLOOKUP('Données projet'!$B$11,Paramètres!$A$1:$I$88,3,0)*VLOOKUP('Données projet'!$B$11,Paramètres!$A$1:$I$88,5,0)</f>
        <v>-3.2366642699344083E-13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470.57532875732056</v>
      </c>
      <c r="BJ190" s="62">
        <f t="shared" si="146"/>
        <v>286.63787681165888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projet'!$B$11,Paramètres!$A$1:$I$88,3,0)*0.475*44/12</f>
        <v>43.08958725655372</v>
      </c>
      <c r="BQ190" s="23">
        <f>EXP(-LN(2)/25)*BQ189+(1-EXP(-LN(2)/25))/(LN(2)/25)*Calculateur!BL190*Calculateur!BN190*VLOOKUP('Données projet'!$B$11,Paramètres!$A$1:$I$88,3,0)*0.475*44/12</f>
        <v>0</v>
      </c>
      <c r="BR190" s="23">
        <f>EXP(-LN(2)/2)*BR189+(1-EXP(-LN(2)/2))/(LN(2)/2)*BL190*BO190*VLOOKUP('Données projet'!$B$11,Paramètres!$A$1:$I$88,3,0)*0.475*44/12</f>
        <v>0</v>
      </c>
      <c r="BS190" s="24">
        <f t="shared" si="169"/>
        <v>43.08958725655372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69.687229880151079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-2.2737367544323206E-13</v>
      </c>
      <c r="BZ190" s="14">
        <f>BY190*VLOOKUP('Données projet'!$B$12,Paramètres!$A$1:$I$88,3,0)*VLOOKUP('Données projet'!$B$12,Paramètres!$A$1:$I$88,5,0)</f>
        <v>-1.4897523215040565E-13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305.38855494899906</v>
      </c>
      <c r="CE190" s="62">
        <f t="shared" si="148"/>
        <v>298.48106301229177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projet'!$B$12,Paramètres!$A$1:$I$88,3,0)*0.475*44/12</f>
        <v>10.187046846880881</v>
      </c>
      <c r="CL190" s="23">
        <f>EXP(-LN(2)/25)*CL189+(1-EXP(-LN(2)/25))/(LN(2)/25)*Calculateur!CG190*Calculateur!CI190*VLOOKUP('Données projet'!$B$12,Paramètres!$A$1:$I$88,3,0)*0.475*44/12</f>
        <v>0</v>
      </c>
      <c r="CM190" s="23">
        <f>EXP(-LN(2)/2)*CM189+(1-EXP(-LN(2)/2))/(LN(2)/2)*CG190*CJ190*VLOOKUP('Données projet'!$B$12,Paramètres!$A$1:$I$88,3,0)*0.475*44/12</f>
        <v>0</v>
      </c>
      <c r="CN190" s="24">
        <f t="shared" si="172"/>
        <v>10.187046846880881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69.687229880151079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-2.2737367544323206E-13</v>
      </c>
      <c r="CU190" s="18">
        <f>CT190*VLOOKUP('Données projet'!$B$13,Paramètres!$A$1:$I$88,3,0)*VLOOKUP('Données projet'!$B$13,Paramètres!$A$1:$I$88,5,0)</f>
        <v>-1.8089849618263545E-13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361.30066984973894</v>
      </c>
      <c r="CZ190" s="62">
        <f t="shared" si="150"/>
        <v>351.78053157121622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projet'!$B$13,Paramètres!$A$1:$I$88,3,0)*0.475*44/12</f>
        <v>15.24672626086323</v>
      </c>
      <c r="DG190" s="23">
        <f>EXP(-LN(2)/25)*DG189+(1-EXP(-LN(2)/25))/(LN(2)/25)*Calculateur!DB190*Calculateur!DD190*VLOOKUP('Données projet'!$B$13,Paramètres!$A$1:$I$88,3,0)*0.475*44/12</f>
        <v>0</v>
      </c>
      <c r="DH190" s="23">
        <f>EXP(-LN(2)/2)*DH189+(1-EXP(-LN(2)/2))/(LN(2)/2)*DB190*DE190*VLOOKUP('Données projet'!$B$13,Paramètres!$A$1:$I$88,3,0)*0.475*44/12</f>
        <v>0</v>
      </c>
      <c r="DI190" s="24">
        <f t="shared" si="175"/>
        <v>15.24672626086323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69.687229880151079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>
        <f>DO190*VLOOKUP('Données projet'!$B$14,Paramètres!$A$1:$I$88,3,0)*VLOOKUP('Données projet'!$B$14,Paramètres!$A$1:$I$88,5,0)</f>
        <v>0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91.201152634762423</v>
      </c>
      <c r="DU190" s="62">
        <f t="shared" si="152"/>
        <v>233.36981992862445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projet'!$B$14,Paramètres!$A$1:$I$88,3,0)*0.475*44/12</f>
        <v>1.8503830569593362</v>
      </c>
      <c r="EB190" s="23">
        <f>EXP(-LN(2)/25)*EB189+(1-EXP(-LN(2)/25))/(LN(2)/25)*Calculateur!DW190*Calculateur!DY190*VLOOKUP('Données projet'!$B$14,Paramètres!$A$1:$I$88,3,0)*0.475*44/12</f>
        <v>0</v>
      </c>
      <c r="EC190" s="23">
        <f>EXP(-LN(2)/2)*EC189+(1-EXP(-LN(2)/2))/(LN(2)/2)*DW190*DZ190*VLOOKUP('Données projet'!$B$14,Paramètres!$A$1:$I$88,3,0)*0.475*44/12</f>
        <v>0</v>
      </c>
      <c r="ED190" s="24">
        <f t="shared" si="178"/>
        <v>1.8503830569593362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69.687229880151079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projet'!$B$15,Paramètres!$A$1:$I$88,3,0)*0.475*44/12</f>
        <v>#N/A</v>
      </c>
      <c r="EW190" s="23" t="e">
        <f>EXP(-LN(2)/25)*EW189+(1-EXP(-LN(2)/25))/(LN(2)/25)*Calculateur!ER190*Calculateur!ET190*VLOOKUP('Données projet'!$B$15,Paramètres!$A$1:$I$88,3,0)*0.475*44/12</f>
        <v>#N/A</v>
      </c>
      <c r="EX190" s="23" t="e">
        <f>EXP(-LN(2)/2)*EX189+(1-EXP(-LN(2)/2))/(LN(2)/2)*ER190*EU190*VLOOKUP('Données projet'!$B$15,Paramètres!$A$1:$I$88,3,0)*0.475*44/12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69.687229880151079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projet'!$B$16,Paramètres!$A$1:$I$88,3,0)*0.475*44/12</f>
        <v>#N/A</v>
      </c>
      <c r="FR190" s="23" t="e">
        <f>EXP(-LN(2)/25)*FR189+(1-EXP(-LN(2)/25))/(LN(2)/25)*Calculateur!FM190*Calculateur!FO190*VLOOKUP('Données projet'!$B$16,Paramètres!$A$1:$I$88,3,0)*0.475*44/12</f>
        <v>#N/A</v>
      </c>
      <c r="FS190" s="23" t="e">
        <f>EXP(-LN(2)/2)*FS189+(1-EXP(-LN(2)/2))/(LN(2)/2)*FM190*FP190*VLOOKUP('Données projet'!$B$16,Paramètres!$A$1:$I$88,3,0)*0.475*44/12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69.687229880151079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projet'!$B$17,Paramètres!$A$1:$I$88,3,0)*0.475*44/12</f>
        <v>#N/A</v>
      </c>
      <c r="GM190" s="23" t="e">
        <f>EXP(-LN(2)/25)*GM189+(1-EXP(-LN(2)/25))/(LN(2)/25)*Calculateur!GH190*Calculateur!GJ190*VLOOKUP('Données projet'!$B$17,Paramètres!$A$1:$I$88,3,0)*0.475*44/12</f>
        <v>#N/A</v>
      </c>
      <c r="GN190" s="23" t="e">
        <f>EXP(-LN(2)/2)*GN189+(1-EXP(-LN(2)/2))/(LN(2)/2)*GH190*GK190*VLOOKUP('Données projet'!$B$17,Paramètres!$A$1:$I$88,3,0)*0.475*44/12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69.687229880151079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projet'!$B$18,Paramètres!$A$1:$I$88,3,0)*0.475*44/12</f>
        <v>#N/A</v>
      </c>
      <c r="HH190" s="23" t="e">
        <f>EXP(-LN(2)/25)*HH189+(1-EXP(-LN(2)/25))/(LN(2)/25)*Calculateur!HC190*Calculateur!HE190*VLOOKUP('Données projet'!$B$18,Paramètres!$A$1:$I$88,3,0)*0.475*44/12</f>
        <v>#N/A</v>
      </c>
      <c r="HI190" s="23" t="e">
        <f>EXP(-LN(2)/2)*HI189+(1-EXP(-LN(2)/2))/(LN(2)/2)*HC190*HF190*VLOOKUP('Données projet'!$B$18,Paramètres!$A$1:$I$88,3,0)*0.475*44/12</f>
        <v>#N/A</v>
      </c>
      <c r="HJ190" s="24" t="e">
        <f t="shared" si="190"/>
        <v>#N/A</v>
      </c>
    </row>
    <row r="191" spans="1:218" x14ac:dyDescent="0.2">
      <c r="A191" s="11">
        <f t="shared" si="161"/>
        <v>188</v>
      </c>
      <c r="B191" s="77">
        <f>'Scénario référence'!$B$16*5+'Scénario référence'!$B$17*0+'Scénario référence'!$B$18*5</f>
        <v>1.6500000000000001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6.0500000000000007</v>
      </c>
      <c r="H191" s="70">
        <f t="shared" si="110"/>
        <v>232.4666666666667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69.692655742481236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projet'!$B$9,Paramètres!$A$1:$I$88,3,0)*VLOOKUP('Données projet'!$B$9,Paramètres!$A$1:$I$88,5,0)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292.20640438909982</v>
      </c>
      <c r="S191" s="62">
        <f ca="1">AVERAGE(OFFSET($R$3,0,0,'Données projet'!$E$9+1,1))-AVERAGE(OFFSET($H$3,0,0,'Données projet'!$E$9+1,1))</f>
        <v>354.71367224254021</v>
      </c>
      <c r="T191" s="62">
        <f t="shared" si="142"/>
        <v>490.074370133397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13.732367446681895</v>
      </c>
      <c r="AA191" s="23">
        <f>EXP(-LN(2)/25)*AA190+(1-EXP(-LN(2)/25))/(LN(2)/25)*Calculateur!V191*Calculateur!X191*VLOOKUP('Données projet'!$B$9,Paramètres!$A$1:$I$88,3,0)*0.475*44/12</f>
        <v>1.0653209872300595</v>
      </c>
      <c r="AB191" s="23">
        <f>EXP(-LN(2)/2)*AB190+(1-EXP(-LN(2)/2))/(LN(2)/2)*V191*Y191*VLOOKUP('Données projet'!$B$9,Paramètres!$A$1:$I$88,3,0)*0.475*44/12</f>
        <v>3.0857019679970273E-20</v>
      </c>
      <c r="AC191" s="24">
        <f t="shared" si="163"/>
        <v>14.797688433911954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69.692655742481236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2.2737367544323206E-13</v>
      </c>
      <c r="AJ191" s="14">
        <f>AI191*VLOOKUP('Données projet'!$B$10,Paramètres!$A$1:$I$88,3,0)*VLOOKUP('Données projet'!$B$10,Paramètres!$A$1:$I$88,5,0)</f>
        <v>1.3596945791505279E-13</v>
      </c>
      <c r="AK191" s="14">
        <f t="shared" si="164"/>
        <v>1.9708830566360721E-12</v>
      </c>
      <c r="AL191" s="22">
        <f t="shared" si="165"/>
        <v>3.669434796176543E-12</v>
      </c>
      <c r="AM191" s="62">
        <f t="shared" si="113"/>
        <v>292.20640438910152</v>
      </c>
      <c r="AN191" s="62">
        <f ca="1">AVERAGE(OFFSET($AM$3,0,0,'Données projet'!$E$10+1,1))-AVERAGE(OFFSET($H$3,0,0,'Données projet'!$E$10+1,1))</f>
        <v>264.73276096087574</v>
      </c>
      <c r="AO191" s="62">
        <f t="shared" si="144"/>
        <v>381.84464918049662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projet'!$B$10,Paramètres!$A$1:$I$88,3,0)*0.475*44/12</f>
        <v>9.6305965499096562</v>
      </c>
      <c r="AV191" s="23">
        <f>EXP(-LN(2)/25)*AV190+(1-EXP(-LN(2)/25))/(LN(2)/25)*Calculateur!AQ191*Calculateur!AS191*VLOOKUP('Données projet'!$B$10,Paramètres!$A$1:$I$88,3,0)*0.475*44/12</f>
        <v>0.74842225912630611</v>
      </c>
      <c r="AW191" s="23">
        <f>EXP(-LN(2)/2)*AW190+(1-EXP(-LN(2)/2))/(LN(2)/2)*AQ191*AT191*VLOOKUP('Données projet'!$B$10,Paramètres!$A$1:$I$88,3,0)*0.475*44/12</f>
        <v>2.1606340858322834E-20</v>
      </c>
      <c r="AX191" s="23">
        <f t="shared" si="166"/>
        <v>10.379018809035962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69.692655742481236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-2.8421709430404007E-13</v>
      </c>
      <c r="BE191" s="14">
        <f>BD191*VLOOKUP('Données projet'!$B$11,Paramètres!$A$1:$I$88,3,0)*VLOOKUP('Données projet'!$B$11,Paramètres!$A$1:$I$88,5,0)</f>
        <v>-3.2366642699344083E-13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470.57532875732056</v>
      </c>
      <c r="BJ191" s="62">
        <f t="shared" si="146"/>
        <v>286.63787681165888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projet'!$B$11,Paramètres!$A$1:$I$88,3,0)*0.475*44/12</f>
        <v>42.244626732505793</v>
      </c>
      <c r="BQ191" s="23">
        <f>EXP(-LN(2)/25)*BQ190+(1-EXP(-LN(2)/25))/(LN(2)/25)*Calculateur!BL191*Calculateur!BN191*VLOOKUP('Données projet'!$B$11,Paramètres!$A$1:$I$88,3,0)*0.475*44/12</f>
        <v>0</v>
      </c>
      <c r="BR191" s="23">
        <f>EXP(-LN(2)/2)*BR190+(1-EXP(-LN(2)/2))/(LN(2)/2)*BL191*BO191*VLOOKUP('Données projet'!$B$11,Paramètres!$A$1:$I$88,3,0)*0.475*44/12</f>
        <v>0</v>
      </c>
      <c r="BS191" s="24">
        <f t="shared" si="169"/>
        <v>42.244626732505793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69.692655742481236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-2.2737367544323206E-13</v>
      </c>
      <c r="BZ191" s="14">
        <f>BY191*VLOOKUP('Données projet'!$B$12,Paramètres!$A$1:$I$88,3,0)*VLOOKUP('Données projet'!$B$12,Paramètres!$A$1:$I$88,5,0)</f>
        <v>-1.4897523215040565E-13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305.38855494899906</v>
      </c>
      <c r="CE191" s="62">
        <f t="shared" si="148"/>
        <v>298.48106301229177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projet'!$B$12,Paramètres!$A$1:$I$88,3,0)*0.475*44/12</f>
        <v>9.9872850716985919</v>
      </c>
      <c r="CL191" s="23">
        <f>EXP(-LN(2)/25)*CL190+(1-EXP(-LN(2)/25))/(LN(2)/25)*Calculateur!CG191*Calculateur!CI191*VLOOKUP('Données projet'!$B$12,Paramètres!$A$1:$I$88,3,0)*0.475*44/12</f>
        <v>0</v>
      </c>
      <c r="CM191" s="23">
        <f>EXP(-LN(2)/2)*CM190+(1-EXP(-LN(2)/2))/(LN(2)/2)*CG191*CJ191*VLOOKUP('Données projet'!$B$12,Paramètres!$A$1:$I$88,3,0)*0.475*44/12</f>
        <v>0</v>
      </c>
      <c r="CN191" s="24">
        <f t="shared" si="172"/>
        <v>9.9872850716985919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69.692655742481236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-2.2737367544323206E-13</v>
      </c>
      <c r="CU191" s="18">
        <f>CT191*VLOOKUP('Données projet'!$B$13,Paramètres!$A$1:$I$88,3,0)*VLOOKUP('Données projet'!$B$13,Paramètres!$A$1:$I$88,5,0)</f>
        <v>-1.8089849618263545E-13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361.30066984973894</v>
      </c>
      <c r="CZ191" s="62">
        <f t="shared" si="150"/>
        <v>351.78053157121622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projet'!$B$13,Paramètres!$A$1:$I$88,3,0)*0.475*44/12</f>
        <v>14.947747258472464</v>
      </c>
      <c r="DG191" s="23">
        <f>EXP(-LN(2)/25)*DG190+(1-EXP(-LN(2)/25))/(LN(2)/25)*Calculateur!DB191*Calculateur!DD191*VLOOKUP('Données projet'!$B$13,Paramètres!$A$1:$I$88,3,0)*0.475*44/12</f>
        <v>0</v>
      </c>
      <c r="DH191" s="23">
        <f>EXP(-LN(2)/2)*DH190+(1-EXP(-LN(2)/2))/(LN(2)/2)*DB191*DE191*VLOOKUP('Données projet'!$B$13,Paramètres!$A$1:$I$88,3,0)*0.475*44/12</f>
        <v>0</v>
      </c>
      <c r="DI191" s="24">
        <f t="shared" si="175"/>
        <v>14.947747258472464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69.692655742481236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>
        <f>DO191*VLOOKUP('Données projet'!$B$14,Paramètres!$A$1:$I$88,3,0)*VLOOKUP('Données projet'!$B$14,Paramètres!$A$1:$I$88,5,0)</f>
        <v>0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91.201152634762423</v>
      </c>
      <c r="DU191" s="62">
        <f t="shared" si="152"/>
        <v>233.36981992862445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projet'!$B$14,Paramètres!$A$1:$I$88,3,0)*0.475*44/12</f>
        <v>1.8140981738345863</v>
      </c>
      <c r="EB191" s="23">
        <f>EXP(-LN(2)/25)*EB190+(1-EXP(-LN(2)/25))/(LN(2)/25)*Calculateur!DW191*Calculateur!DY191*VLOOKUP('Données projet'!$B$14,Paramètres!$A$1:$I$88,3,0)*0.475*44/12</f>
        <v>0</v>
      </c>
      <c r="EC191" s="23">
        <f>EXP(-LN(2)/2)*EC190+(1-EXP(-LN(2)/2))/(LN(2)/2)*DW191*DZ191*VLOOKUP('Données projet'!$B$14,Paramètres!$A$1:$I$88,3,0)*0.475*44/12</f>
        <v>0</v>
      </c>
      <c r="ED191" s="24">
        <f t="shared" si="178"/>
        <v>1.8140981738345863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69.692655742481236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projet'!$B$15,Paramètres!$A$1:$I$88,3,0)*0.475*44/12</f>
        <v>#N/A</v>
      </c>
      <c r="EW191" s="23" t="e">
        <f>EXP(-LN(2)/25)*EW190+(1-EXP(-LN(2)/25))/(LN(2)/25)*Calculateur!ER191*Calculateur!ET191*VLOOKUP('Données projet'!$B$15,Paramètres!$A$1:$I$88,3,0)*0.475*44/12</f>
        <v>#N/A</v>
      </c>
      <c r="EX191" s="23" t="e">
        <f>EXP(-LN(2)/2)*EX190+(1-EXP(-LN(2)/2))/(LN(2)/2)*ER191*EU191*VLOOKUP('Données projet'!$B$15,Paramètres!$A$1:$I$88,3,0)*0.475*44/12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69.692655742481236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projet'!$B$16,Paramètres!$A$1:$I$88,3,0)*0.475*44/12</f>
        <v>#N/A</v>
      </c>
      <c r="FR191" s="23" t="e">
        <f>EXP(-LN(2)/25)*FR190+(1-EXP(-LN(2)/25))/(LN(2)/25)*Calculateur!FM191*Calculateur!FO191*VLOOKUP('Données projet'!$B$16,Paramètres!$A$1:$I$88,3,0)*0.475*44/12</f>
        <v>#N/A</v>
      </c>
      <c r="FS191" s="23" t="e">
        <f>EXP(-LN(2)/2)*FS190+(1-EXP(-LN(2)/2))/(LN(2)/2)*FM191*FP191*VLOOKUP('Données projet'!$B$16,Paramètres!$A$1:$I$88,3,0)*0.475*44/12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69.692655742481236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projet'!$B$17,Paramètres!$A$1:$I$88,3,0)*0.475*44/12</f>
        <v>#N/A</v>
      </c>
      <c r="GM191" s="23" t="e">
        <f>EXP(-LN(2)/25)*GM190+(1-EXP(-LN(2)/25))/(LN(2)/25)*Calculateur!GH191*Calculateur!GJ191*VLOOKUP('Données projet'!$B$17,Paramètres!$A$1:$I$88,3,0)*0.475*44/12</f>
        <v>#N/A</v>
      </c>
      <c r="GN191" s="23" t="e">
        <f>EXP(-LN(2)/2)*GN190+(1-EXP(-LN(2)/2))/(LN(2)/2)*GH191*GK191*VLOOKUP('Données projet'!$B$17,Paramètres!$A$1:$I$88,3,0)*0.475*44/12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69.692655742481236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projet'!$B$18,Paramètres!$A$1:$I$88,3,0)*0.475*44/12</f>
        <v>#N/A</v>
      </c>
      <c r="HH191" s="23" t="e">
        <f>EXP(-LN(2)/25)*HH190+(1-EXP(-LN(2)/25))/(LN(2)/25)*Calculateur!HC191*Calculateur!HE191*VLOOKUP('Données projet'!$B$18,Paramètres!$A$1:$I$88,3,0)*0.475*44/12</f>
        <v>#N/A</v>
      </c>
      <c r="HI191" s="23" t="e">
        <f>EXP(-LN(2)/2)*HI190+(1-EXP(-LN(2)/2))/(LN(2)/2)*HC191*HF191*VLOOKUP('Données projet'!$B$18,Paramètres!$A$1:$I$88,3,0)*0.475*44/12</f>
        <v>#N/A</v>
      </c>
      <c r="HJ191" s="24" t="e">
        <f t="shared" si="190"/>
        <v>#N/A</v>
      </c>
    </row>
    <row r="192" spans="1:218" x14ac:dyDescent="0.2">
      <c r="A192" s="11">
        <f t="shared" si="161"/>
        <v>189</v>
      </c>
      <c r="B192" s="77">
        <f>'Scénario référence'!$B$16*5+'Scénario référence'!$B$17*0+'Scénario référence'!$B$18*5</f>
        <v>1.6500000000000001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6.0500000000000007</v>
      </c>
      <c r="H192" s="70">
        <f t="shared" si="110"/>
        <v>232.4666666666667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69.69798747823036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projet'!$B$9,Paramètres!$A$1:$I$88,3,0)*VLOOKUP('Données projet'!$B$9,Paramètres!$A$1:$I$88,5,0)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292.22595408684663</v>
      </c>
      <c r="S192" s="62">
        <f ca="1">AVERAGE(OFFSET($R$3,0,0,'Données projet'!$E$9+1,1))-AVERAGE(OFFSET($H$3,0,0,'Données projet'!$E$9+1,1))</f>
        <v>354.71367224254021</v>
      </c>
      <c r="T192" s="62">
        <f t="shared" si="142"/>
        <v>490.074370133397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13.463084096969553</v>
      </c>
      <c r="AA192" s="23">
        <f>EXP(-LN(2)/25)*AA191+(1-EXP(-LN(2)/25))/(LN(2)/25)*Calculateur!V192*Calculateur!X192*VLOOKUP('Données projet'!$B$9,Paramètres!$A$1:$I$88,3,0)*0.475*44/12</f>
        <v>1.0361897288114577</v>
      </c>
      <c r="AB192" s="23">
        <f>EXP(-LN(2)/2)*AB191+(1-EXP(-LN(2)/2))/(LN(2)/2)*V192*Y192*VLOOKUP('Données projet'!$B$9,Paramètres!$A$1:$I$88,3,0)*0.475*44/12</f>
        <v>2.1819207862913731E-20</v>
      </c>
      <c r="AC192" s="24">
        <f t="shared" si="163"/>
        <v>14.49927382578101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69.69798747823036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2.2737367544323206E-13</v>
      </c>
      <c r="AJ192" s="14">
        <f>AI192*VLOOKUP('Données projet'!$B$10,Paramètres!$A$1:$I$88,3,0)*VLOOKUP('Données projet'!$B$10,Paramètres!$A$1:$I$88,5,0)</f>
        <v>1.3596945791505279E-13</v>
      </c>
      <c r="AK192" s="14">
        <f t="shared" si="164"/>
        <v>1.9708830566360721E-12</v>
      </c>
      <c r="AL192" s="22">
        <f t="shared" si="165"/>
        <v>3.669434796176543E-12</v>
      </c>
      <c r="AM192" s="62">
        <f t="shared" si="113"/>
        <v>292.22595408684833</v>
      </c>
      <c r="AN192" s="62">
        <f ca="1">AVERAGE(OFFSET($AM$3,0,0,'Données projet'!$E$10+1,1))-AVERAGE(OFFSET($H$3,0,0,'Données projet'!$E$10+1,1))</f>
        <v>264.73276096087574</v>
      </c>
      <c r="AO192" s="62">
        <f t="shared" si="144"/>
        <v>381.84464918049662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projet'!$B$10,Paramètres!$A$1:$I$88,3,0)*0.475*44/12</f>
        <v>9.4417464256498054</v>
      </c>
      <c r="AV192" s="23">
        <f>EXP(-LN(2)/25)*AV191+(1-EXP(-LN(2)/25))/(LN(2)/25)*Calculateur!AQ192*Calculateur!AS192*VLOOKUP('Données projet'!$B$10,Paramètres!$A$1:$I$88,3,0)*0.475*44/12</f>
        <v>0.72795661309268123</v>
      </c>
      <c r="AW192" s="23">
        <f>EXP(-LN(2)/2)*AW191+(1-EXP(-LN(2)/2))/(LN(2)/2)*AQ192*AT192*VLOOKUP('Données projet'!$B$10,Paramètres!$A$1:$I$88,3,0)*0.475*44/12</f>
        <v>1.5277990137548046E-20</v>
      </c>
      <c r="AX192" s="23">
        <f t="shared" si="166"/>
        <v>10.169703038742487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69.69798747823036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-2.8421709430404007E-13</v>
      </c>
      <c r="BE192" s="14">
        <f>BD192*VLOOKUP('Données projet'!$B$11,Paramètres!$A$1:$I$88,3,0)*VLOOKUP('Données projet'!$B$11,Paramètres!$A$1:$I$88,5,0)</f>
        <v>-3.2366642699344083E-13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470.57532875732056</v>
      </c>
      <c r="BJ192" s="62">
        <f t="shared" si="146"/>
        <v>286.63787681165888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projet'!$B$11,Paramètres!$A$1:$I$88,3,0)*0.475*44/12</f>
        <v>41.416235368959413</v>
      </c>
      <c r="BQ192" s="23">
        <f>EXP(-LN(2)/25)*BQ191+(1-EXP(-LN(2)/25))/(LN(2)/25)*Calculateur!BL192*Calculateur!BN192*VLOOKUP('Données projet'!$B$11,Paramètres!$A$1:$I$88,3,0)*0.475*44/12</f>
        <v>0</v>
      </c>
      <c r="BR192" s="23">
        <f>EXP(-LN(2)/2)*BR191+(1-EXP(-LN(2)/2))/(LN(2)/2)*BL192*BO192*VLOOKUP('Données projet'!$B$11,Paramètres!$A$1:$I$88,3,0)*0.475*44/12</f>
        <v>0</v>
      </c>
      <c r="BS192" s="24">
        <f t="shared" si="169"/>
        <v>41.416235368959413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69.69798747823036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-2.2737367544323206E-13</v>
      </c>
      <c r="BZ192" s="14">
        <f>BY192*VLOOKUP('Données projet'!$B$12,Paramètres!$A$1:$I$88,3,0)*VLOOKUP('Données projet'!$B$12,Paramètres!$A$1:$I$88,5,0)</f>
        <v>-1.4897523215040565E-13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305.38855494899906</v>
      </c>
      <c r="CE192" s="62">
        <f t="shared" si="148"/>
        <v>298.48106301229177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projet'!$B$12,Paramètres!$A$1:$I$88,3,0)*0.475*44/12</f>
        <v>9.791440503084976</v>
      </c>
      <c r="CL192" s="23">
        <f>EXP(-LN(2)/25)*CL191+(1-EXP(-LN(2)/25))/(LN(2)/25)*Calculateur!CG192*Calculateur!CI192*VLOOKUP('Données projet'!$B$12,Paramètres!$A$1:$I$88,3,0)*0.475*44/12</f>
        <v>0</v>
      </c>
      <c r="CM192" s="23">
        <f>EXP(-LN(2)/2)*CM191+(1-EXP(-LN(2)/2))/(LN(2)/2)*CG192*CJ192*VLOOKUP('Données projet'!$B$12,Paramètres!$A$1:$I$88,3,0)*0.475*44/12</f>
        <v>0</v>
      </c>
      <c r="CN192" s="24">
        <f t="shared" si="172"/>
        <v>9.791440503084976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69.69798747823036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-2.2737367544323206E-13</v>
      </c>
      <c r="CU192" s="18">
        <f>CT192*VLOOKUP('Données projet'!$B$13,Paramètres!$A$1:$I$88,3,0)*VLOOKUP('Données projet'!$B$13,Paramètres!$A$1:$I$88,5,0)</f>
        <v>-1.8089849618263545E-13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361.30066984973894</v>
      </c>
      <c r="CZ192" s="62">
        <f t="shared" si="150"/>
        <v>351.78053157121622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projet'!$B$13,Paramètres!$A$1:$I$88,3,0)*0.475*44/12</f>
        <v>14.654631051959395</v>
      </c>
      <c r="DG192" s="23">
        <f>EXP(-LN(2)/25)*DG191+(1-EXP(-LN(2)/25))/(LN(2)/25)*Calculateur!DB192*Calculateur!DD192*VLOOKUP('Données projet'!$B$13,Paramètres!$A$1:$I$88,3,0)*0.475*44/12</f>
        <v>0</v>
      </c>
      <c r="DH192" s="23">
        <f>EXP(-LN(2)/2)*DH191+(1-EXP(-LN(2)/2))/(LN(2)/2)*DB192*DE192*VLOOKUP('Données projet'!$B$13,Paramètres!$A$1:$I$88,3,0)*0.475*44/12</f>
        <v>0</v>
      </c>
      <c r="DI192" s="24">
        <f t="shared" si="175"/>
        <v>14.654631051959395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69.69798747823036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>
        <f>DO192*VLOOKUP('Données projet'!$B$14,Paramètres!$A$1:$I$88,3,0)*VLOOKUP('Données projet'!$B$14,Paramètres!$A$1:$I$88,5,0)</f>
        <v>0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91.201152634762423</v>
      </c>
      <c r="DU192" s="62">
        <f t="shared" si="152"/>
        <v>233.36981992862445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projet'!$B$14,Paramètres!$A$1:$I$88,3,0)*0.475*44/12</f>
        <v>1.7785248151363191</v>
      </c>
      <c r="EB192" s="23">
        <f>EXP(-LN(2)/25)*EB191+(1-EXP(-LN(2)/25))/(LN(2)/25)*Calculateur!DW192*Calculateur!DY192*VLOOKUP('Données projet'!$B$14,Paramètres!$A$1:$I$88,3,0)*0.475*44/12</f>
        <v>0</v>
      </c>
      <c r="EC192" s="23">
        <f>EXP(-LN(2)/2)*EC191+(1-EXP(-LN(2)/2))/(LN(2)/2)*DW192*DZ192*VLOOKUP('Données projet'!$B$14,Paramètres!$A$1:$I$88,3,0)*0.475*44/12</f>
        <v>0</v>
      </c>
      <c r="ED192" s="24">
        <f t="shared" si="178"/>
        <v>1.7785248151363191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69.69798747823036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projet'!$B$15,Paramètres!$A$1:$I$88,3,0)*0.475*44/12</f>
        <v>#N/A</v>
      </c>
      <c r="EW192" s="23" t="e">
        <f>EXP(-LN(2)/25)*EW191+(1-EXP(-LN(2)/25))/(LN(2)/25)*Calculateur!ER192*Calculateur!ET192*VLOOKUP('Données projet'!$B$15,Paramètres!$A$1:$I$88,3,0)*0.475*44/12</f>
        <v>#N/A</v>
      </c>
      <c r="EX192" s="23" t="e">
        <f>EXP(-LN(2)/2)*EX191+(1-EXP(-LN(2)/2))/(LN(2)/2)*ER192*EU192*VLOOKUP('Données projet'!$B$15,Paramètres!$A$1:$I$88,3,0)*0.475*44/12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69.69798747823036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projet'!$B$16,Paramètres!$A$1:$I$88,3,0)*0.475*44/12</f>
        <v>#N/A</v>
      </c>
      <c r="FR192" s="23" t="e">
        <f>EXP(-LN(2)/25)*FR191+(1-EXP(-LN(2)/25))/(LN(2)/25)*Calculateur!FM192*Calculateur!FO192*VLOOKUP('Données projet'!$B$16,Paramètres!$A$1:$I$88,3,0)*0.475*44/12</f>
        <v>#N/A</v>
      </c>
      <c r="FS192" s="23" t="e">
        <f>EXP(-LN(2)/2)*FS191+(1-EXP(-LN(2)/2))/(LN(2)/2)*FM192*FP192*VLOOKUP('Données projet'!$B$16,Paramètres!$A$1:$I$88,3,0)*0.475*44/12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69.69798747823036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projet'!$B$17,Paramètres!$A$1:$I$88,3,0)*0.475*44/12</f>
        <v>#N/A</v>
      </c>
      <c r="GM192" s="23" t="e">
        <f>EXP(-LN(2)/25)*GM191+(1-EXP(-LN(2)/25))/(LN(2)/25)*Calculateur!GH192*Calculateur!GJ192*VLOOKUP('Données projet'!$B$17,Paramètres!$A$1:$I$88,3,0)*0.475*44/12</f>
        <v>#N/A</v>
      </c>
      <c r="GN192" s="23" t="e">
        <f>EXP(-LN(2)/2)*GN191+(1-EXP(-LN(2)/2))/(LN(2)/2)*GH192*GK192*VLOOKUP('Données projet'!$B$17,Paramètres!$A$1:$I$88,3,0)*0.475*44/12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69.69798747823036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projet'!$B$18,Paramètres!$A$1:$I$88,3,0)*0.475*44/12</f>
        <v>#N/A</v>
      </c>
      <c r="HH192" s="23" t="e">
        <f>EXP(-LN(2)/25)*HH191+(1-EXP(-LN(2)/25))/(LN(2)/25)*Calculateur!HC192*Calculateur!HE192*VLOOKUP('Données projet'!$B$18,Paramètres!$A$1:$I$88,3,0)*0.475*44/12</f>
        <v>#N/A</v>
      </c>
      <c r="HI192" s="23" t="e">
        <f>EXP(-LN(2)/2)*HI191+(1-EXP(-LN(2)/2))/(LN(2)/2)*HC192*HF192*VLOOKUP('Données projet'!$B$18,Paramètres!$A$1:$I$88,3,0)*0.475*44/12</f>
        <v>#N/A</v>
      </c>
      <c r="HJ192" s="24" t="e">
        <f t="shared" si="190"/>
        <v>#N/A</v>
      </c>
    </row>
    <row r="193" spans="1:218" x14ac:dyDescent="0.2">
      <c r="A193" s="11">
        <f t="shared" si="161"/>
        <v>190</v>
      </c>
      <c r="B193" s="77">
        <f>'Scénario référence'!$B$16*5+'Scénario référence'!$B$17*0+'Scénario référence'!$B$18*5</f>
        <v>1.6500000000000001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6.0500000000000007</v>
      </c>
      <c r="H193" s="70">
        <f t="shared" si="110"/>
        <v>232.4666666666667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69.703226720284206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projet'!$B$9,Paramètres!$A$1:$I$88,3,0)*VLOOKUP('Données projet'!$B$9,Paramètres!$A$1:$I$88,5,0)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292.24516464104408</v>
      </c>
      <c r="S193" s="62">
        <f ca="1">AVERAGE(OFFSET($R$3,0,0,'Données projet'!$E$9+1,1))-AVERAGE(OFFSET($H$3,0,0,'Données projet'!$E$9+1,1))</f>
        <v>354.71367224254021</v>
      </c>
      <c r="T193" s="62">
        <f t="shared" si="142"/>
        <v>490.074370133397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13.199081229498443</v>
      </c>
      <c r="AA193" s="23">
        <f>EXP(-LN(2)/25)*AA192+(1-EXP(-LN(2)/25))/(LN(2)/25)*Calculateur!V193*Calculateur!X193*VLOOKUP('Données projet'!$B$9,Paramètres!$A$1:$I$88,3,0)*0.475*44/12</f>
        <v>1.0078550661862586</v>
      </c>
      <c r="AB193" s="23">
        <f>EXP(-LN(2)/2)*AB192+(1-EXP(-LN(2)/2))/(LN(2)/2)*V193*Y193*VLOOKUP('Données projet'!$B$9,Paramètres!$A$1:$I$88,3,0)*0.475*44/12</f>
        <v>1.5428509839985136E-20</v>
      </c>
      <c r="AC193" s="24">
        <f t="shared" si="163"/>
        <v>14.206936295684702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69.703226720284206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2.2737367544323206E-13</v>
      </c>
      <c r="AJ193" s="14">
        <f>AI193*VLOOKUP('Données projet'!$B$10,Paramètres!$A$1:$I$88,3,0)*VLOOKUP('Données projet'!$B$10,Paramètres!$A$1:$I$88,5,0)</f>
        <v>1.3596945791505279E-13</v>
      </c>
      <c r="AK193" s="14">
        <f t="shared" si="164"/>
        <v>1.9708830566360721E-12</v>
      </c>
      <c r="AL193" s="22">
        <f t="shared" si="165"/>
        <v>3.669434796176543E-12</v>
      </c>
      <c r="AM193" s="62">
        <f t="shared" si="113"/>
        <v>292.24516464104579</v>
      </c>
      <c r="AN193" s="62">
        <f ca="1">AVERAGE(OFFSET($AM$3,0,0,'Données projet'!$E$10+1,1))-AVERAGE(OFFSET($H$3,0,0,'Données projet'!$E$10+1,1))</f>
        <v>264.73276096087574</v>
      </c>
      <c r="AO193" s="62">
        <f t="shared" si="144"/>
        <v>381.84464918049662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projet'!$B$10,Paramètres!$A$1:$I$88,3,0)*0.475*44/12</f>
        <v>9.256599537139488</v>
      </c>
      <c r="AV193" s="23">
        <f>EXP(-LN(2)/25)*AV192+(1-EXP(-LN(2)/25))/(LN(2)/25)*Calculateur!AQ193*Calculateur!AS193*VLOOKUP('Données projet'!$B$10,Paramètres!$A$1:$I$88,3,0)*0.475*44/12</f>
        <v>0.70805060122608732</v>
      </c>
      <c r="AW193" s="23">
        <f>EXP(-LN(2)/2)*AW192+(1-EXP(-LN(2)/2))/(LN(2)/2)*AQ193*AT193*VLOOKUP('Données projet'!$B$10,Paramètres!$A$1:$I$88,3,0)*0.475*44/12</f>
        <v>1.0803170429161417E-20</v>
      </c>
      <c r="AX193" s="23">
        <f t="shared" si="166"/>
        <v>9.9646501383655757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69.703226720284206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-2.8421709430404007E-13</v>
      </c>
      <c r="BE193" s="14">
        <f>BD193*VLOOKUP('Données projet'!$B$11,Paramètres!$A$1:$I$88,3,0)*VLOOKUP('Données projet'!$B$11,Paramètres!$A$1:$I$88,5,0)</f>
        <v>-3.2366642699344083E-13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470.57532875732056</v>
      </c>
      <c r="BJ193" s="62">
        <f t="shared" si="146"/>
        <v>286.63787681165888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projet'!$B$11,Paramètres!$A$1:$I$88,3,0)*0.475*44/12</f>
        <v>40.604088254783335</v>
      </c>
      <c r="BQ193" s="23">
        <f>EXP(-LN(2)/25)*BQ192+(1-EXP(-LN(2)/25))/(LN(2)/25)*Calculateur!BL193*Calculateur!BN193*VLOOKUP('Données projet'!$B$11,Paramètres!$A$1:$I$88,3,0)*0.475*44/12</f>
        <v>0</v>
      </c>
      <c r="BR193" s="23">
        <f>EXP(-LN(2)/2)*BR192+(1-EXP(-LN(2)/2))/(LN(2)/2)*BL193*BO193*VLOOKUP('Données projet'!$B$11,Paramètres!$A$1:$I$88,3,0)*0.475*44/12</f>
        <v>0</v>
      </c>
      <c r="BS193" s="24">
        <f t="shared" si="169"/>
        <v>40.604088254783335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69.703226720284206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-2.2737367544323206E-13</v>
      </c>
      <c r="BZ193" s="14">
        <f>BY193*VLOOKUP('Données projet'!$B$12,Paramètres!$A$1:$I$88,3,0)*VLOOKUP('Données projet'!$B$12,Paramètres!$A$1:$I$88,5,0)</f>
        <v>-1.4897523215040565E-13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305.38855494899906</v>
      </c>
      <c r="CE193" s="62">
        <f t="shared" si="148"/>
        <v>298.48106301229177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projet'!$B$12,Paramètres!$A$1:$I$88,3,0)*0.475*44/12</f>
        <v>9.5994363270084815</v>
      </c>
      <c r="CL193" s="23">
        <f>EXP(-LN(2)/25)*CL192+(1-EXP(-LN(2)/25))/(LN(2)/25)*Calculateur!CG193*Calculateur!CI193*VLOOKUP('Données projet'!$B$12,Paramètres!$A$1:$I$88,3,0)*0.475*44/12</f>
        <v>0</v>
      </c>
      <c r="CM193" s="23">
        <f>EXP(-LN(2)/2)*CM192+(1-EXP(-LN(2)/2))/(LN(2)/2)*CG193*CJ193*VLOOKUP('Données projet'!$B$12,Paramètres!$A$1:$I$88,3,0)*0.475*44/12</f>
        <v>0</v>
      </c>
      <c r="CN193" s="24">
        <f t="shared" si="172"/>
        <v>9.5994363270084815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69.703226720284206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-2.2737367544323206E-13</v>
      </c>
      <c r="CU193" s="18">
        <f>CT193*VLOOKUP('Données projet'!$B$13,Paramètres!$A$1:$I$88,3,0)*VLOOKUP('Données projet'!$B$13,Paramètres!$A$1:$I$88,5,0)</f>
        <v>-1.8089849618263545E-13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361.30066984973894</v>
      </c>
      <c r="CZ193" s="62">
        <f t="shared" si="150"/>
        <v>351.78053157121622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projet'!$B$13,Paramètres!$A$1:$I$88,3,0)*0.475*44/12</f>
        <v>14.367262675472816</v>
      </c>
      <c r="DG193" s="23">
        <f>EXP(-LN(2)/25)*DG192+(1-EXP(-LN(2)/25))/(LN(2)/25)*Calculateur!DB193*Calculateur!DD193*VLOOKUP('Données projet'!$B$13,Paramètres!$A$1:$I$88,3,0)*0.475*44/12</f>
        <v>0</v>
      </c>
      <c r="DH193" s="23">
        <f>EXP(-LN(2)/2)*DH192+(1-EXP(-LN(2)/2))/(LN(2)/2)*DB193*DE193*VLOOKUP('Données projet'!$B$13,Paramètres!$A$1:$I$88,3,0)*0.475*44/12</f>
        <v>0</v>
      </c>
      <c r="DI193" s="24">
        <f t="shared" si="175"/>
        <v>14.367262675472816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69.703226720284206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>
        <f>DO193*VLOOKUP('Données projet'!$B$14,Paramètres!$A$1:$I$88,3,0)*VLOOKUP('Données projet'!$B$14,Paramètres!$A$1:$I$88,5,0)</f>
        <v>0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91.201152634762423</v>
      </c>
      <c r="DU193" s="62">
        <f t="shared" si="152"/>
        <v>233.36981992862445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projet'!$B$14,Paramètres!$A$1:$I$88,3,0)*0.475*44/12</f>
        <v>1.7436490283045187</v>
      </c>
      <c r="EB193" s="23">
        <f>EXP(-LN(2)/25)*EB192+(1-EXP(-LN(2)/25))/(LN(2)/25)*Calculateur!DW193*Calculateur!DY193*VLOOKUP('Données projet'!$B$14,Paramètres!$A$1:$I$88,3,0)*0.475*44/12</f>
        <v>0</v>
      </c>
      <c r="EC193" s="23">
        <f>EXP(-LN(2)/2)*EC192+(1-EXP(-LN(2)/2))/(LN(2)/2)*DW193*DZ193*VLOOKUP('Données projet'!$B$14,Paramètres!$A$1:$I$88,3,0)*0.475*44/12</f>
        <v>0</v>
      </c>
      <c r="ED193" s="24">
        <f t="shared" si="178"/>
        <v>1.7436490283045187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69.703226720284206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projet'!$B$15,Paramètres!$A$1:$I$88,3,0)*0.475*44/12</f>
        <v>#N/A</v>
      </c>
      <c r="EW193" s="23" t="e">
        <f>EXP(-LN(2)/25)*EW192+(1-EXP(-LN(2)/25))/(LN(2)/25)*Calculateur!ER193*Calculateur!ET193*VLOOKUP('Données projet'!$B$15,Paramètres!$A$1:$I$88,3,0)*0.475*44/12</f>
        <v>#N/A</v>
      </c>
      <c r="EX193" s="23" t="e">
        <f>EXP(-LN(2)/2)*EX192+(1-EXP(-LN(2)/2))/(LN(2)/2)*ER193*EU193*VLOOKUP('Données projet'!$B$15,Paramètres!$A$1:$I$88,3,0)*0.475*44/12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69.703226720284206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projet'!$B$16,Paramètres!$A$1:$I$88,3,0)*0.475*44/12</f>
        <v>#N/A</v>
      </c>
      <c r="FR193" s="23" t="e">
        <f>EXP(-LN(2)/25)*FR192+(1-EXP(-LN(2)/25))/(LN(2)/25)*Calculateur!FM193*Calculateur!FO193*VLOOKUP('Données projet'!$B$16,Paramètres!$A$1:$I$88,3,0)*0.475*44/12</f>
        <v>#N/A</v>
      </c>
      <c r="FS193" s="23" t="e">
        <f>EXP(-LN(2)/2)*FS192+(1-EXP(-LN(2)/2))/(LN(2)/2)*FM193*FP193*VLOOKUP('Données projet'!$B$16,Paramètres!$A$1:$I$88,3,0)*0.475*44/12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69.703226720284206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projet'!$B$17,Paramètres!$A$1:$I$88,3,0)*0.475*44/12</f>
        <v>#N/A</v>
      </c>
      <c r="GM193" s="23" t="e">
        <f>EXP(-LN(2)/25)*GM192+(1-EXP(-LN(2)/25))/(LN(2)/25)*Calculateur!GH193*Calculateur!GJ193*VLOOKUP('Données projet'!$B$17,Paramètres!$A$1:$I$88,3,0)*0.475*44/12</f>
        <v>#N/A</v>
      </c>
      <c r="GN193" s="23" t="e">
        <f>EXP(-LN(2)/2)*GN192+(1-EXP(-LN(2)/2))/(LN(2)/2)*GH193*GK193*VLOOKUP('Données projet'!$B$17,Paramètres!$A$1:$I$88,3,0)*0.475*44/12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69.703226720284206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projet'!$B$18,Paramètres!$A$1:$I$88,3,0)*0.475*44/12</f>
        <v>#N/A</v>
      </c>
      <c r="HH193" s="23" t="e">
        <f>EXP(-LN(2)/25)*HH192+(1-EXP(-LN(2)/25))/(LN(2)/25)*Calculateur!HC193*Calculateur!HE193*VLOOKUP('Données projet'!$B$18,Paramètres!$A$1:$I$88,3,0)*0.475*44/12</f>
        <v>#N/A</v>
      </c>
      <c r="HI193" s="23" t="e">
        <f>EXP(-LN(2)/2)*HI192+(1-EXP(-LN(2)/2))/(LN(2)/2)*HC193*HF193*VLOOKUP('Données projet'!$B$18,Paramètres!$A$1:$I$88,3,0)*0.475*44/12</f>
        <v>#N/A</v>
      </c>
      <c r="HJ193" s="24" t="e">
        <f t="shared" si="190"/>
        <v>#N/A</v>
      </c>
    </row>
    <row r="194" spans="1:218" x14ac:dyDescent="0.2">
      <c r="A194" s="11">
        <f t="shared" si="161"/>
        <v>191</v>
      </c>
      <c r="B194" s="77">
        <f>'Scénario référence'!$B$16*5+'Scénario référence'!$B$17*0+'Scénario référence'!$B$18*5</f>
        <v>1.6500000000000001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6.0500000000000007</v>
      </c>
      <c r="H194" s="70">
        <f t="shared" si="110"/>
        <v>232.4666666666667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69.708375073201623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projet'!$B$9,Paramètres!$A$1:$I$88,3,0)*VLOOKUP('Données projet'!$B$9,Paramètres!$A$1:$I$88,5,0)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292.2640419350746</v>
      </c>
      <c r="S194" s="62">
        <f ca="1">AVERAGE(OFFSET($R$3,0,0,'Données projet'!$E$9+1,1))-AVERAGE(OFFSET($H$3,0,0,'Données projet'!$E$9+1,1))</f>
        <v>354.71367224254021</v>
      </c>
      <c r="T194" s="62">
        <f t="shared" si="142"/>
        <v>490.074370133397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12.940255297232593</v>
      </c>
      <c r="AA194" s="23">
        <f>EXP(-LN(2)/25)*AA193+(1-EXP(-LN(2)/25))/(LN(2)/25)*Calculateur!V194*Calculateur!X194*VLOOKUP('Données projet'!$B$9,Paramètres!$A$1:$I$88,3,0)*0.475*44/12</f>
        <v>0.98029521640060091</v>
      </c>
      <c r="AB194" s="23">
        <f>EXP(-LN(2)/2)*AB193+(1-EXP(-LN(2)/2))/(LN(2)/2)*V194*Y194*VLOOKUP('Données projet'!$B$9,Paramètres!$A$1:$I$88,3,0)*0.475*44/12</f>
        <v>1.0909603931456865E-20</v>
      </c>
      <c r="AC194" s="24">
        <f t="shared" si="163"/>
        <v>13.920550513633193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69.708375073201623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2.2737367544323206E-13</v>
      </c>
      <c r="AJ194" s="14">
        <f>AI194*VLOOKUP('Données projet'!$B$10,Paramètres!$A$1:$I$88,3,0)*VLOOKUP('Données projet'!$B$10,Paramètres!$A$1:$I$88,5,0)</f>
        <v>1.3596945791505279E-13</v>
      </c>
      <c r="AK194" s="14">
        <f t="shared" si="164"/>
        <v>1.9708830566360721E-12</v>
      </c>
      <c r="AL194" s="22">
        <f t="shared" si="165"/>
        <v>3.669434796176543E-12</v>
      </c>
      <c r="AM194" s="62">
        <f t="shared" si="113"/>
        <v>292.26404193507631</v>
      </c>
      <c r="AN194" s="62">
        <f ca="1">AVERAGE(OFFSET($AM$3,0,0,'Données projet'!$E$10+1,1))-AVERAGE(OFFSET($H$3,0,0,'Données projet'!$E$10+1,1))</f>
        <v>264.73276096087574</v>
      </c>
      <c r="AO194" s="62">
        <f t="shared" si="144"/>
        <v>381.84464918049662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projet'!$B$10,Paramètres!$A$1:$I$88,3,0)*0.475*44/12</f>
        <v>9.0750832661844072</v>
      </c>
      <c r="AV194" s="23">
        <f>EXP(-LN(2)/25)*AV193+(1-EXP(-LN(2)/25))/(LN(2)/25)*Calculateur!AQ194*Calculateur!AS194*VLOOKUP('Données projet'!$B$10,Paramètres!$A$1:$I$88,3,0)*0.475*44/12</f>
        <v>0.68868892030079709</v>
      </c>
      <c r="AW194" s="23">
        <f>EXP(-LN(2)/2)*AW193+(1-EXP(-LN(2)/2))/(LN(2)/2)*AQ194*AT194*VLOOKUP('Données projet'!$B$10,Paramètres!$A$1:$I$88,3,0)*0.475*44/12</f>
        <v>7.6389950687740229E-21</v>
      </c>
      <c r="AX194" s="23">
        <f t="shared" si="166"/>
        <v>9.7637721864852036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69.708375073201623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-2.8421709430404007E-13</v>
      </c>
      <c r="BE194" s="14">
        <f>BD194*VLOOKUP('Données projet'!$B$11,Paramètres!$A$1:$I$88,3,0)*VLOOKUP('Données projet'!$B$11,Paramètres!$A$1:$I$88,5,0)</f>
        <v>-3.2366642699344083E-13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470.57532875732056</v>
      </c>
      <c r="BJ194" s="62">
        <f t="shared" si="146"/>
        <v>286.63787681165888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projet'!$B$11,Paramètres!$A$1:$I$88,3,0)*0.475*44/12</f>
        <v>39.807866850155428</v>
      </c>
      <c r="BQ194" s="23">
        <f>EXP(-LN(2)/25)*BQ193+(1-EXP(-LN(2)/25))/(LN(2)/25)*Calculateur!BL194*Calculateur!BN194*VLOOKUP('Données projet'!$B$11,Paramètres!$A$1:$I$88,3,0)*0.475*44/12</f>
        <v>0</v>
      </c>
      <c r="BR194" s="23">
        <f>EXP(-LN(2)/2)*BR193+(1-EXP(-LN(2)/2))/(LN(2)/2)*BL194*BO194*VLOOKUP('Données projet'!$B$11,Paramètres!$A$1:$I$88,3,0)*0.475*44/12</f>
        <v>0</v>
      </c>
      <c r="BS194" s="24">
        <f t="shared" si="169"/>
        <v>39.807866850155428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69.708375073201623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-2.2737367544323206E-13</v>
      </c>
      <c r="BZ194" s="14">
        <f>BY194*VLOOKUP('Données projet'!$B$12,Paramètres!$A$1:$I$88,3,0)*VLOOKUP('Données projet'!$B$12,Paramètres!$A$1:$I$88,5,0)</f>
        <v>-1.4897523215040565E-13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305.38855494899906</v>
      </c>
      <c r="CE194" s="62">
        <f t="shared" si="148"/>
        <v>298.48106301229177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projet'!$B$12,Paramètres!$A$1:$I$88,3,0)*0.475*44/12</f>
        <v>9.411197235713864</v>
      </c>
      <c r="CL194" s="23">
        <f>EXP(-LN(2)/25)*CL193+(1-EXP(-LN(2)/25))/(LN(2)/25)*Calculateur!CG194*Calculateur!CI194*VLOOKUP('Données projet'!$B$12,Paramètres!$A$1:$I$88,3,0)*0.475*44/12</f>
        <v>0</v>
      </c>
      <c r="CM194" s="23">
        <f>EXP(-LN(2)/2)*CM193+(1-EXP(-LN(2)/2))/(LN(2)/2)*CG194*CJ194*VLOOKUP('Données projet'!$B$12,Paramètres!$A$1:$I$88,3,0)*0.475*44/12</f>
        <v>0</v>
      </c>
      <c r="CN194" s="24">
        <f t="shared" si="172"/>
        <v>9.411197235713864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69.708375073201623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-2.2737367544323206E-13</v>
      </c>
      <c r="CU194" s="18">
        <f>CT194*VLOOKUP('Données projet'!$B$13,Paramètres!$A$1:$I$88,3,0)*VLOOKUP('Données projet'!$B$13,Paramètres!$A$1:$I$88,5,0)</f>
        <v>-1.8089849618263545E-13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361.30066984973894</v>
      </c>
      <c r="CZ194" s="62">
        <f t="shared" si="150"/>
        <v>351.78053157121622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projet'!$B$13,Paramètres!$A$1:$I$88,3,0)*0.475*44/12</f>
        <v>14.085529417571735</v>
      </c>
      <c r="DG194" s="23">
        <f>EXP(-LN(2)/25)*DG193+(1-EXP(-LN(2)/25))/(LN(2)/25)*Calculateur!DB194*Calculateur!DD194*VLOOKUP('Données projet'!$B$13,Paramètres!$A$1:$I$88,3,0)*0.475*44/12</f>
        <v>0</v>
      </c>
      <c r="DH194" s="23">
        <f>EXP(-LN(2)/2)*DH193+(1-EXP(-LN(2)/2))/(LN(2)/2)*DB194*DE194*VLOOKUP('Données projet'!$B$13,Paramètres!$A$1:$I$88,3,0)*0.475*44/12</f>
        <v>0</v>
      </c>
      <c r="DI194" s="24">
        <f t="shared" si="175"/>
        <v>14.085529417571735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69.708375073201623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>
        <f>DO194*VLOOKUP('Données projet'!$B$14,Paramètres!$A$1:$I$88,3,0)*VLOOKUP('Données projet'!$B$14,Paramètres!$A$1:$I$88,5,0)</f>
        <v>0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91.201152634762423</v>
      </c>
      <c r="DU194" s="62">
        <f t="shared" si="152"/>
        <v>233.36981992862445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projet'!$B$14,Paramètres!$A$1:$I$88,3,0)*0.475*44/12</f>
        <v>1.7094571343803604</v>
      </c>
      <c r="EB194" s="23">
        <f>EXP(-LN(2)/25)*EB193+(1-EXP(-LN(2)/25))/(LN(2)/25)*Calculateur!DW194*Calculateur!DY194*VLOOKUP('Données projet'!$B$14,Paramètres!$A$1:$I$88,3,0)*0.475*44/12</f>
        <v>0</v>
      </c>
      <c r="EC194" s="23">
        <f>EXP(-LN(2)/2)*EC193+(1-EXP(-LN(2)/2))/(LN(2)/2)*DW194*DZ194*VLOOKUP('Données projet'!$B$14,Paramètres!$A$1:$I$88,3,0)*0.475*44/12</f>
        <v>0</v>
      </c>
      <c r="ED194" s="24">
        <f t="shared" si="178"/>
        <v>1.7094571343803604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69.708375073201623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projet'!$B$15,Paramètres!$A$1:$I$88,3,0)*0.475*44/12</f>
        <v>#N/A</v>
      </c>
      <c r="EW194" s="23" t="e">
        <f>EXP(-LN(2)/25)*EW193+(1-EXP(-LN(2)/25))/(LN(2)/25)*Calculateur!ER194*Calculateur!ET194*VLOOKUP('Données projet'!$B$15,Paramètres!$A$1:$I$88,3,0)*0.475*44/12</f>
        <v>#N/A</v>
      </c>
      <c r="EX194" s="23" t="e">
        <f>EXP(-LN(2)/2)*EX193+(1-EXP(-LN(2)/2))/(LN(2)/2)*ER194*EU194*VLOOKUP('Données projet'!$B$15,Paramètres!$A$1:$I$88,3,0)*0.475*44/12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69.708375073201623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projet'!$B$16,Paramètres!$A$1:$I$88,3,0)*0.475*44/12</f>
        <v>#N/A</v>
      </c>
      <c r="FR194" s="23" t="e">
        <f>EXP(-LN(2)/25)*FR193+(1-EXP(-LN(2)/25))/(LN(2)/25)*Calculateur!FM194*Calculateur!FO194*VLOOKUP('Données projet'!$B$16,Paramètres!$A$1:$I$88,3,0)*0.475*44/12</f>
        <v>#N/A</v>
      </c>
      <c r="FS194" s="23" t="e">
        <f>EXP(-LN(2)/2)*FS193+(1-EXP(-LN(2)/2))/(LN(2)/2)*FM194*FP194*VLOOKUP('Données projet'!$B$16,Paramètres!$A$1:$I$88,3,0)*0.475*44/12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69.708375073201623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projet'!$B$17,Paramètres!$A$1:$I$88,3,0)*0.475*44/12</f>
        <v>#N/A</v>
      </c>
      <c r="GM194" s="23" t="e">
        <f>EXP(-LN(2)/25)*GM193+(1-EXP(-LN(2)/25))/(LN(2)/25)*Calculateur!GH194*Calculateur!GJ194*VLOOKUP('Données projet'!$B$17,Paramètres!$A$1:$I$88,3,0)*0.475*44/12</f>
        <v>#N/A</v>
      </c>
      <c r="GN194" s="23" t="e">
        <f>EXP(-LN(2)/2)*GN193+(1-EXP(-LN(2)/2))/(LN(2)/2)*GH194*GK194*VLOOKUP('Données projet'!$B$17,Paramètres!$A$1:$I$88,3,0)*0.475*44/12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69.708375073201623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projet'!$B$18,Paramètres!$A$1:$I$88,3,0)*0.475*44/12</f>
        <v>#N/A</v>
      </c>
      <c r="HH194" s="23" t="e">
        <f>EXP(-LN(2)/25)*HH193+(1-EXP(-LN(2)/25))/(LN(2)/25)*Calculateur!HC194*Calculateur!HE194*VLOOKUP('Données projet'!$B$18,Paramètres!$A$1:$I$88,3,0)*0.475*44/12</f>
        <v>#N/A</v>
      </c>
      <c r="HI194" s="23" t="e">
        <f>EXP(-LN(2)/2)*HI193+(1-EXP(-LN(2)/2))/(LN(2)/2)*HC194*HF194*VLOOKUP('Données projet'!$B$18,Paramètres!$A$1:$I$88,3,0)*0.475*44/12</f>
        <v>#N/A</v>
      </c>
      <c r="HJ194" s="24" t="e">
        <f t="shared" si="190"/>
        <v>#N/A</v>
      </c>
    </row>
    <row r="195" spans="1:218" x14ac:dyDescent="0.2">
      <c r="A195" s="11">
        <f t="shared" si="161"/>
        <v>192</v>
      </c>
      <c r="B195" s="77">
        <f>'Scénario référence'!$B$16*5+'Scénario référence'!$B$17*0+'Scénario référence'!$B$18*5</f>
        <v>1.6500000000000001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6.0500000000000007</v>
      </c>
      <c r="H195" s="70">
        <f t="shared" si="110"/>
        <v>232.4666666666667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69.713434113705915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projet'!$B$9,Paramètres!$A$1:$I$88,3,0)*VLOOKUP('Données projet'!$B$9,Paramètres!$A$1:$I$88,5,0)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292.28259175025698</v>
      </c>
      <c r="S195" s="62">
        <f ca="1">AVERAGE(OFFSET($R$3,0,0,'Données projet'!$E$9+1,1))-AVERAGE(OFFSET($H$3,0,0,'Données projet'!$E$9+1,1))</f>
        <v>354.71367224254021</v>
      </c>
      <c r="T195" s="62">
        <f t="shared" si="142"/>
        <v>490.074370133397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12.686504783630246</v>
      </c>
      <c r="AA195" s="23">
        <f>EXP(-LN(2)/25)*AA194+(1-EXP(-LN(2)/25))/(LN(2)/25)*Calculateur!V195*Calculateur!X195*VLOOKUP('Données projet'!$B$9,Paramètres!$A$1:$I$88,3,0)*0.475*44/12</f>
        <v>0.95348899215664151</v>
      </c>
      <c r="AB195" s="23">
        <f>EXP(-LN(2)/2)*AB194+(1-EXP(-LN(2)/2))/(LN(2)/2)*V195*Y195*VLOOKUP('Données projet'!$B$9,Paramètres!$A$1:$I$88,3,0)*0.475*44/12</f>
        <v>7.7142549199925682E-21</v>
      </c>
      <c r="AC195" s="24">
        <f t="shared" si="163"/>
        <v>13.639993775786888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69.713434113705915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2.2737367544323206E-13</v>
      </c>
      <c r="AJ195" s="14">
        <f>AI195*VLOOKUP('Données projet'!$B$10,Paramètres!$A$1:$I$88,3,0)*VLOOKUP('Données projet'!$B$10,Paramètres!$A$1:$I$88,5,0)</f>
        <v>1.3596945791505279E-13</v>
      </c>
      <c r="AK195" s="14">
        <f t="shared" si="164"/>
        <v>1.9708830566360721E-12</v>
      </c>
      <c r="AL195" s="22">
        <f t="shared" si="165"/>
        <v>3.669434796176543E-12</v>
      </c>
      <c r="AM195" s="62">
        <f t="shared" si="113"/>
        <v>292.28259175025869</v>
      </c>
      <c r="AN195" s="62">
        <f ca="1">AVERAGE(OFFSET($AM$3,0,0,'Données projet'!$E$10+1,1))-AVERAGE(OFFSET($H$3,0,0,'Données projet'!$E$10+1,1))</f>
        <v>264.73276096087574</v>
      </c>
      <c r="AO195" s="62">
        <f t="shared" si="144"/>
        <v>381.84464918049662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projet'!$B$10,Paramètres!$A$1:$I$88,3,0)*0.475*44/12</f>
        <v>8.897126418588762</v>
      </c>
      <c r="AV195" s="23">
        <f>EXP(-LN(2)/25)*AV194+(1-EXP(-LN(2)/25))/(LN(2)/25)*Calculateur!AQ195*Calculateur!AS195*VLOOKUP('Données projet'!$B$10,Paramètres!$A$1:$I$88,3,0)*0.475*44/12</f>
        <v>0.66985668555859545</v>
      </c>
      <c r="AW195" s="23">
        <f>EXP(-LN(2)/2)*AW194+(1-EXP(-LN(2)/2))/(LN(2)/2)*AQ195*AT195*VLOOKUP('Données projet'!$B$10,Paramètres!$A$1:$I$88,3,0)*0.475*44/12</f>
        <v>5.4015852145807086E-21</v>
      </c>
      <c r="AX195" s="23">
        <f t="shared" si="166"/>
        <v>9.5669831041473579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69.713434113705915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-2.8421709430404007E-13</v>
      </c>
      <c r="BE195" s="14">
        <f>BD195*VLOOKUP('Données projet'!$B$11,Paramètres!$A$1:$I$88,3,0)*VLOOKUP('Données projet'!$B$11,Paramètres!$A$1:$I$88,5,0)</f>
        <v>-3.2366642699344083E-13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470.57532875732056</v>
      </c>
      <c r="BJ195" s="62">
        <f t="shared" si="146"/>
        <v>286.63787681165888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projet'!$B$11,Paramètres!$A$1:$I$88,3,0)*0.475*44/12</f>
        <v>39.027258861625171</v>
      </c>
      <c r="BQ195" s="23">
        <f>EXP(-LN(2)/25)*BQ194+(1-EXP(-LN(2)/25))/(LN(2)/25)*Calculateur!BL195*Calculateur!BN195*VLOOKUP('Données projet'!$B$11,Paramètres!$A$1:$I$88,3,0)*0.475*44/12</f>
        <v>0</v>
      </c>
      <c r="BR195" s="23">
        <f>EXP(-LN(2)/2)*BR194+(1-EXP(-LN(2)/2))/(LN(2)/2)*BL195*BO195*VLOOKUP('Données projet'!$B$11,Paramètres!$A$1:$I$88,3,0)*0.475*44/12</f>
        <v>0</v>
      </c>
      <c r="BS195" s="24">
        <f t="shared" si="169"/>
        <v>39.027258861625171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69.713434113705915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-2.2737367544323206E-13</v>
      </c>
      <c r="BZ195" s="14">
        <f>BY195*VLOOKUP('Données projet'!$B$12,Paramètres!$A$1:$I$88,3,0)*VLOOKUP('Données projet'!$B$12,Paramètres!$A$1:$I$88,5,0)</f>
        <v>-1.4897523215040565E-13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305.38855494899906</v>
      </c>
      <c r="CE195" s="62">
        <f t="shared" si="148"/>
        <v>298.48106301229177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projet'!$B$12,Paramètres!$A$1:$I$88,3,0)*0.475*44/12</f>
        <v>9.2266493981850246</v>
      </c>
      <c r="CL195" s="23">
        <f>EXP(-LN(2)/25)*CL194+(1-EXP(-LN(2)/25))/(LN(2)/25)*Calculateur!CG195*Calculateur!CI195*VLOOKUP('Données projet'!$B$12,Paramètres!$A$1:$I$88,3,0)*0.475*44/12</f>
        <v>0</v>
      </c>
      <c r="CM195" s="23">
        <f>EXP(-LN(2)/2)*CM194+(1-EXP(-LN(2)/2))/(LN(2)/2)*CG195*CJ195*VLOOKUP('Données projet'!$B$12,Paramètres!$A$1:$I$88,3,0)*0.475*44/12</f>
        <v>0</v>
      </c>
      <c r="CN195" s="24">
        <f t="shared" si="172"/>
        <v>9.2266493981850246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69.713434113705915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-2.2737367544323206E-13</v>
      </c>
      <c r="CU195" s="18">
        <f>CT195*VLOOKUP('Données projet'!$B$13,Paramètres!$A$1:$I$88,3,0)*VLOOKUP('Données projet'!$B$13,Paramètres!$A$1:$I$88,5,0)</f>
        <v>-1.8089849618263545E-13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361.30066984973894</v>
      </c>
      <c r="CZ195" s="62">
        <f t="shared" si="150"/>
        <v>351.78053157121622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projet'!$B$13,Paramètres!$A$1:$I$88,3,0)*0.475*44/12</f>
        <v>13.809320777017774</v>
      </c>
      <c r="DG195" s="23">
        <f>EXP(-LN(2)/25)*DG194+(1-EXP(-LN(2)/25))/(LN(2)/25)*Calculateur!DB195*Calculateur!DD195*VLOOKUP('Données projet'!$B$13,Paramètres!$A$1:$I$88,3,0)*0.475*44/12</f>
        <v>0</v>
      </c>
      <c r="DH195" s="23">
        <f>EXP(-LN(2)/2)*DH194+(1-EXP(-LN(2)/2))/(LN(2)/2)*DB195*DE195*VLOOKUP('Données projet'!$B$13,Paramètres!$A$1:$I$88,3,0)*0.475*44/12</f>
        <v>0</v>
      </c>
      <c r="DI195" s="24">
        <f t="shared" si="175"/>
        <v>13.809320777017774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69.713434113705915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>
        <f>DO195*VLOOKUP('Données projet'!$B$14,Paramètres!$A$1:$I$88,3,0)*VLOOKUP('Données projet'!$B$14,Paramètres!$A$1:$I$88,5,0)</f>
        <v>0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91.201152634762423</v>
      </c>
      <c r="DU195" s="62">
        <f t="shared" si="152"/>
        <v>233.36981992862445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projet'!$B$14,Paramètres!$A$1:$I$88,3,0)*0.475*44/12</f>
        <v>1.6759357226410587</v>
      </c>
      <c r="EB195" s="23">
        <f>EXP(-LN(2)/25)*EB194+(1-EXP(-LN(2)/25))/(LN(2)/25)*Calculateur!DW195*Calculateur!DY195*VLOOKUP('Données projet'!$B$14,Paramètres!$A$1:$I$88,3,0)*0.475*44/12</f>
        <v>0</v>
      </c>
      <c r="EC195" s="23">
        <f>EXP(-LN(2)/2)*EC194+(1-EXP(-LN(2)/2))/(LN(2)/2)*DW195*DZ195*VLOOKUP('Données projet'!$B$14,Paramètres!$A$1:$I$88,3,0)*0.475*44/12</f>
        <v>0</v>
      </c>
      <c r="ED195" s="24">
        <f t="shared" si="178"/>
        <v>1.6759357226410587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69.713434113705915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projet'!$B$15,Paramètres!$A$1:$I$88,3,0)*0.475*44/12</f>
        <v>#N/A</v>
      </c>
      <c r="EW195" s="23" t="e">
        <f>EXP(-LN(2)/25)*EW194+(1-EXP(-LN(2)/25))/(LN(2)/25)*Calculateur!ER195*Calculateur!ET195*VLOOKUP('Données projet'!$B$15,Paramètres!$A$1:$I$88,3,0)*0.475*44/12</f>
        <v>#N/A</v>
      </c>
      <c r="EX195" s="23" t="e">
        <f>EXP(-LN(2)/2)*EX194+(1-EXP(-LN(2)/2))/(LN(2)/2)*ER195*EU195*VLOOKUP('Données projet'!$B$15,Paramètres!$A$1:$I$88,3,0)*0.475*44/12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69.713434113705915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projet'!$B$16,Paramètres!$A$1:$I$88,3,0)*0.475*44/12</f>
        <v>#N/A</v>
      </c>
      <c r="FR195" s="23" t="e">
        <f>EXP(-LN(2)/25)*FR194+(1-EXP(-LN(2)/25))/(LN(2)/25)*Calculateur!FM195*Calculateur!FO195*VLOOKUP('Données projet'!$B$16,Paramètres!$A$1:$I$88,3,0)*0.475*44/12</f>
        <v>#N/A</v>
      </c>
      <c r="FS195" s="23" t="e">
        <f>EXP(-LN(2)/2)*FS194+(1-EXP(-LN(2)/2))/(LN(2)/2)*FM195*FP195*VLOOKUP('Données projet'!$B$16,Paramètres!$A$1:$I$88,3,0)*0.475*44/12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69.713434113705915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projet'!$B$17,Paramètres!$A$1:$I$88,3,0)*0.475*44/12</f>
        <v>#N/A</v>
      </c>
      <c r="GM195" s="23" t="e">
        <f>EXP(-LN(2)/25)*GM194+(1-EXP(-LN(2)/25))/(LN(2)/25)*Calculateur!GH195*Calculateur!GJ195*VLOOKUP('Données projet'!$B$17,Paramètres!$A$1:$I$88,3,0)*0.475*44/12</f>
        <v>#N/A</v>
      </c>
      <c r="GN195" s="23" t="e">
        <f>EXP(-LN(2)/2)*GN194+(1-EXP(-LN(2)/2))/(LN(2)/2)*GH195*GK195*VLOOKUP('Données projet'!$B$17,Paramètres!$A$1:$I$88,3,0)*0.475*44/12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69.713434113705915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projet'!$B$18,Paramètres!$A$1:$I$88,3,0)*0.475*44/12</f>
        <v>#N/A</v>
      </c>
      <c r="HH195" s="23" t="e">
        <f>EXP(-LN(2)/25)*HH194+(1-EXP(-LN(2)/25))/(LN(2)/25)*Calculateur!HC195*Calculateur!HE195*VLOOKUP('Données projet'!$B$18,Paramètres!$A$1:$I$88,3,0)*0.475*44/12</f>
        <v>#N/A</v>
      </c>
      <c r="HI195" s="23" t="e">
        <f>EXP(-LN(2)/2)*HI194+(1-EXP(-LN(2)/2))/(LN(2)/2)*HC195*HF195*VLOOKUP('Données projet'!$B$18,Paramètres!$A$1:$I$88,3,0)*0.475*44/12</f>
        <v>#N/A</v>
      </c>
      <c r="HJ195" s="24" t="e">
        <f t="shared" si="190"/>
        <v>#N/A</v>
      </c>
    </row>
    <row r="196" spans="1:218" x14ac:dyDescent="0.2">
      <c r="A196" s="11">
        <f t="shared" si="161"/>
        <v>193</v>
      </c>
      <c r="B196" s="77">
        <f>'Scénario référence'!$B$16*5+'Scénario référence'!$B$17*0+'Scénario référence'!$B$18*5</f>
        <v>1.6500000000000001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6.0500000000000007</v>
      </c>
      <c r="H196" s="70">
        <f t="shared" ref="H196:H203" si="192">(B196+E196+F196)*44/12+(C196+D196)*0.475*44/12</f>
        <v>232.4666666666667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69.718405391167778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projet'!$B$9,Paramètres!$A$1:$I$88,3,0)*VLOOKUP('Données projet'!$B$9,Paramètres!$A$1:$I$88,5,0)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292.30081976761716</v>
      </c>
      <c r="S196" s="62">
        <f ca="1">AVERAGE(OFFSET($R$3,0,0,'Données projet'!$E$9+1,1))-AVERAGE(OFFSET($H$3,0,0,'Données projet'!$E$9+1,1))</f>
        <v>354.71367224254021</v>
      </c>
      <c r="T196" s="62">
        <f t="shared" si="142"/>
        <v>490.074370133397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12.43773016282711</v>
      </c>
      <c r="AA196" s="23">
        <f>EXP(-LN(2)/25)*AA195+(1-EXP(-LN(2)/25))/(LN(2)/25)*Calculateur!V196*Calculateur!X196*VLOOKUP('Données projet'!$B$9,Paramètres!$A$1:$I$88,3,0)*0.475*44/12</f>
        <v>0.92741578552431125</v>
      </c>
      <c r="AB196" s="23">
        <f>EXP(-LN(2)/2)*AB195+(1-EXP(-LN(2)/2))/(LN(2)/2)*V196*Y196*VLOOKUP('Données projet'!$B$9,Paramètres!$A$1:$I$88,3,0)*0.475*44/12</f>
        <v>5.4548019657284327E-21</v>
      </c>
      <c r="AC196" s="24">
        <f t="shared" si="163"/>
        <v>13.365145948351422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69.718405391167778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2.2737367544323206E-13</v>
      </c>
      <c r="AJ196" s="14">
        <f>AI196*VLOOKUP('Données projet'!$B$10,Paramètres!$A$1:$I$88,3,0)*VLOOKUP('Données projet'!$B$10,Paramètres!$A$1:$I$88,5,0)</f>
        <v>1.3596945791505279E-13</v>
      </c>
      <c r="AK196" s="14">
        <f t="shared" si="164"/>
        <v>1.9708830566360721E-12</v>
      </c>
      <c r="AL196" s="22">
        <f t="shared" si="165"/>
        <v>3.669434796176543E-12</v>
      </c>
      <c r="AM196" s="62">
        <f t="shared" ref="AM196:AM203" si="193">AL196+(AD196+AE196)*44/12</f>
        <v>292.30081976761886</v>
      </c>
      <c r="AN196" s="62">
        <f ca="1">AVERAGE(OFFSET($AM$3,0,0,'Données projet'!$E$10+1,1))-AVERAGE(OFFSET($H$3,0,0,'Données projet'!$E$10+1,1))</f>
        <v>264.73276096087574</v>
      </c>
      <c r="AO196" s="62">
        <f t="shared" si="144"/>
        <v>381.84464918049662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projet'!$B$10,Paramètres!$A$1:$I$88,3,0)*0.475*44/12</f>
        <v>8.7226591962315077</v>
      </c>
      <c r="AV196" s="23">
        <f>EXP(-LN(2)/25)*AV195+(1-EXP(-LN(2)/25))/(LN(2)/25)*Calculateur!AQ196*Calculateur!AS196*VLOOKUP('Données projet'!$B$10,Paramètres!$A$1:$I$88,3,0)*0.475*44/12</f>
        <v>0.65153941926576353</v>
      </c>
      <c r="AW196" s="23">
        <f>EXP(-LN(2)/2)*AW195+(1-EXP(-LN(2)/2))/(LN(2)/2)*AQ196*AT196*VLOOKUP('Données projet'!$B$10,Paramètres!$A$1:$I$88,3,0)*0.475*44/12</f>
        <v>3.8194975343870114E-21</v>
      </c>
      <c r="AX196" s="23">
        <f t="shared" si="166"/>
        <v>9.3741986154972707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69.718405391167778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-2.8421709430404007E-13</v>
      </c>
      <c r="BE196" s="14">
        <f>BD196*VLOOKUP('Données projet'!$B$11,Paramètres!$A$1:$I$88,3,0)*VLOOKUP('Données projet'!$B$11,Paramètres!$A$1:$I$88,5,0)</f>
        <v>-3.2366642699344083E-13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470.57532875732056</v>
      </c>
      <c r="BJ196" s="62">
        <f t="shared" si="146"/>
        <v>286.63787681165888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projet'!$B$11,Paramètres!$A$1:$I$88,3,0)*0.475*44/12</f>
        <v>38.261958119626129</v>
      </c>
      <c r="BQ196" s="23">
        <f>EXP(-LN(2)/25)*BQ195+(1-EXP(-LN(2)/25))/(LN(2)/25)*Calculateur!BL196*Calculateur!BN196*VLOOKUP('Données projet'!$B$11,Paramètres!$A$1:$I$88,3,0)*0.475*44/12</f>
        <v>0</v>
      </c>
      <c r="BR196" s="23">
        <f>EXP(-LN(2)/2)*BR195+(1-EXP(-LN(2)/2))/(LN(2)/2)*BL196*BO196*VLOOKUP('Données projet'!$B$11,Paramètres!$A$1:$I$88,3,0)*0.475*44/12</f>
        <v>0</v>
      </c>
      <c r="BS196" s="24">
        <f t="shared" si="169"/>
        <v>38.261958119626129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69.718405391167778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-2.2737367544323206E-13</v>
      </c>
      <c r="BZ196" s="14">
        <f>BY196*VLOOKUP('Données projet'!$B$12,Paramètres!$A$1:$I$88,3,0)*VLOOKUP('Données projet'!$B$12,Paramètres!$A$1:$I$88,5,0)</f>
        <v>-1.4897523215040565E-13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305.38855494899906</v>
      </c>
      <c r="CE196" s="62">
        <f t="shared" si="148"/>
        <v>298.48106301229177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projet'!$B$12,Paramètres!$A$1:$I$88,3,0)*0.475*44/12</f>
        <v>9.0457204311870605</v>
      </c>
      <c r="CL196" s="23">
        <f>EXP(-LN(2)/25)*CL195+(1-EXP(-LN(2)/25))/(LN(2)/25)*Calculateur!CG196*Calculateur!CI196*VLOOKUP('Données projet'!$B$12,Paramètres!$A$1:$I$88,3,0)*0.475*44/12</f>
        <v>0</v>
      </c>
      <c r="CM196" s="23">
        <f>EXP(-LN(2)/2)*CM195+(1-EXP(-LN(2)/2))/(LN(2)/2)*CG196*CJ196*VLOOKUP('Données projet'!$B$12,Paramètres!$A$1:$I$88,3,0)*0.475*44/12</f>
        <v>0</v>
      </c>
      <c r="CN196" s="24">
        <f t="shared" si="172"/>
        <v>9.0457204311870605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69.718405391167778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-2.2737367544323206E-13</v>
      </c>
      <c r="CU196" s="18">
        <f>CT196*VLOOKUP('Données projet'!$B$13,Paramètres!$A$1:$I$88,3,0)*VLOOKUP('Données projet'!$B$13,Paramètres!$A$1:$I$88,5,0)</f>
        <v>-1.8089849618263545E-13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361.30066984973894</v>
      </c>
      <c r="CZ196" s="62">
        <f t="shared" si="150"/>
        <v>351.78053157121622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projet'!$B$13,Paramètres!$A$1:$I$88,3,0)*0.475*44/12</f>
        <v>13.538528419434442</v>
      </c>
      <c r="DG196" s="23">
        <f>EXP(-LN(2)/25)*DG195+(1-EXP(-LN(2)/25))/(LN(2)/25)*Calculateur!DB196*Calculateur!DD196*VLOOKUP('Données projet'!$B$13,Paramètres!$A$1:$I$88,3,0)*0.475*44/12</f>
        <v>0</v>
      </c>
      <c r="DH196" s="23">
        <f>EXP(-LN(2)/2)*DH195+(1-EXP(-LN(2)/2))/(LN(2)/2)*DB196*DE196*VLOOKUP('Données projet'!$B$13,Paramètres!$A$1:$I$88,3,0)*0.475*44/12</f>
        <v>0</v>
      </c>
      <c r="DI196" s="24">
        <f t="shared" si="175"/>
        <v>13.538528419434442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69.718405391167778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>
        <f>DO196*VLOOKUP('Données projet'!$B$14,Paramètres!$A$1:$I$88,3,0)*VLOOKUP('Données projet'!$B$14,Paramètres!$A$1:$I$88,5,0)</f>
        <v>0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91.201152634762423</v>
      </c>
      <c r="DU196" s="62">
        <f t="shared" si="152"/>
        <v>233.36981992862445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projet'!$B$14,Paramètres!$A$1:$I$88,3,0)*0.475*44/12</f>
        <v>1.6430716453399226</v>
      </c>
      <c r="EB196" s="23">
        <f>EXP(-LN(2)/25)*EB195+(1-EXP(-LN(2)/25))/(LN(2)/25)*Calculateur!DW196*Calculateur!DY196*VLOOKUP('Données projet'!$B$14,Paramètres!$A$1:$I$88,3,0)*0.475*44/12</f>
        <v>0</v>
      </c>
      <c r="EC196" s="23">
        <f>EXP(-LN(2)/2)*EC195+(1-EXP(-LN(2)/2))/(LN(2)/2)*DW196*DZ196*VLOOKUP('Données projet'!$B$14,Paramètres!$A$1:$I$88,3,0)*0.475*44/12</f>
        <v>0</v>
      </c>
      <c r="ED196" s="24">
        <f t="shared" si="178"/>
        <v>1.6430716453399226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69.718405391167778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projet'!$B$15,Paramètres!$A$1:$I$88,3,0)*0.475*44/12</f>
        <v>#N/A</v>
      </c>
      <c r="EW196" s="23" t="e">
        <f>EXP(-LN(2)/25)*EW195+(1-EXP(-LN(2)/25))/(LN(2)/25)*Calculateur!ER196*Calculateur!ET196*VLOOKUP('Données projet'!$B$15,Paramètres!$A$1:$I$88,3,0)*0.475*44/12</f>
        <v>#N/A</v>
      </c>
      <c r="EX196" s="23" t="e">
        <f>EXP(-LN(2)/2)*EX195+(1-EXP(-LN(2)/2))/(LN(2)/2)*ER196*EU196*VLOOKUP('Données projet'!$B$15,Paramètres!$A$1:$I$88,3,0)*0.475*44/12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69.718405391167778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projet'!$B$16,Paramètres!$A$1:$I$88,3,0)*0.475*44/12</f>
        <v>#N/A</v>
      </c>
      <c r="FR196" s="23" t="e">
        <f>EXP(-LN(2)/25)*FR195+(1-EXP(-LN(2)/25))/(LN(2)/25)*Calculateur!FM196*Calculateur!FO196*VLOOKUP('Données projet'!$B$16,Paramètres!$A$1:$I$88,3,0)*0.475*44/12</f>
        <v>#N/A</v>
      </c>
      <c r="FS196" s="23" t="e">
        <f>EXP(-LN(2)/2)*FS195+(1-EXP(-LN(2)/2))/(LN(2)/2)*FM196*FP196*VLOOKUP('Données projet'!$B$16,Paramètres!$A$1:$I$88,3,0)*0.475*44/12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69.718405391167778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projet'!$B$17,Paramètres!$A$1:$I$88,3,0)*0.475*44/12</f>
        <v>#N/A</v>
      </c>
      <c r="GM196" s="23" t="e">
        <f>EXP(-LN(2)/25)*GM195+(1-EXP(-LN(2)/25))/(LN(2)/25)*Calculateur!GH196*Calculateur!GJ196*VLOOKUP('Données projet'!$B$17,Paramètres!$A$1:$I$88,3,0)*0.475*44/12</f>
        <v>#N/A</v>
      </c>
      <c r="GN196" s="23" t="e">
        <f>EXP(-LN(2)/2)*GN195+(1-EXP(-LN(2)/2))/(LN(2)/2)*GH196*GK196*VLOOKUP('Données projet'!$B$17,Paramètres!$A$1:$I$88,3,0)*0.475*44/12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69.718405391167778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projet'!$B$18,Paramètres!$A$1:$I$88,3,0)*0.475*44/12</f>
        <v>#N/A</v>
      </c>
      <c r="HH196" s="23" t="e">
        <f>EXP(-LN(2)/25)*HH195+(1-EXP(-LN(2)/25))/(LN(2)/25)*Calculateur!HC196*Calculateur!HE196*VLOOKUP('Données projet'!$B$18,Paramètres!$A$1:$I$88,3,0)*0.475*44/12</f>
        <v>#N/A</v>
      </c>
      <c r="HI196" s="23" t="e">
        <f>EXP(-LN(2)/2)*HI195+(1-EXP(-LN(2)/2))/(LN(2)/2)*HC196*HF196*VLOOKUP('Données projet'!$B$18,Paramètres!$A$1:$I$88,3,0)*0.475*44/12</f>
        <v>#N/A</v>
      </c>
      <c r="HJ196" s="24" t="e">
        <f t="shared" si="190"/>
        <v>#N/A</v>
      </c>
    </row>
    <row r="197" spans="1:218" x14ac:dyDescent="0.2">
      <c r="A197" s="11">
        <f t="shared" si="161"/>
        <v>194</v>
      </c>
      <c r="B197" s="77">
        <f>'Scénario référence'!$B$16*5+'Scénario référence'!$B$17*0+'Scénario référence'!$B$18*5</f>
        <v>1.6500000000000001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6.0500000000000007</v>
      </c>
      <c r="H197" s="70">
        <f t="shared" si="192"/>
        <v>232.4666666666667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69.723290428079778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projet'!$B$9,Paramètres!$A$1:$I$88,3,0)*VLOOKUP('Données projet'!$B$9,Paramètres!$A$1:$I$88,5,0)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292.31873156962786</v>
      </c>
      <c r="S197" s="62">
        <f ca="1">AVERAGE(OFFSET($R$3,0,0,'Données projet'!$E$9+1,1))-AVERAGE(OFFSET($H$3,0,0,'Données projet'!$E$9+1,1))</f>
        <v>354.71367224254021</v>
      </c>
      <c r="T197" s="62">
        <f t="shared" ref="T197:T203" si="204">$T$3</f>
        <v>490.074370133397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12.193833860600389</v>
      </c>
      <c r="AA197" s="23">
        <f>EXP(-LN(2)/25)*AA196+(1-EXP(-LN(2)/25))/(LN(2)/25)*Calculateur!V197*Calculateur!X197*VLOOKUP('Données projet'!$B$9,Paramètres!$A$1:$I$88,3,0)*0.475*44/12</f>
        <v>0.90205555209847244</v>
      </c>
      <c r="AB197" s="23">
        <f>EXP(-LN(2)/2)*AB196+(1-EXP(-LN(2)/2))/(LN(2)/2)*V197*Y197*VLOOKUP('Données projet'!$B$9,Paramètres!$A$1:$I$88,3,0)*0.475*44/12</f>
        <v>3.8571274599962841E-21</v>
      </c>
      <c r="AC197" s="24">
        <f t="shared" si="163"/>
        <v>13.095889412698861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69.723290428079778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2.2737367544323206E-13</v>
      </c>
      <c r="AJ197" s="14">
        <f>AI197*VLOOKUP('Données projet'!$B$10,Paramètres!$A$1:$I$88,3,0)*VLOOKUP('Données projet'!$B$10,Paramètres!$A$1:$I$88,5,0)</f>
        <v>1.3596945791505279E-13</v>
      </c>
      <c r="AK197" s="14">
        <f t="shared" si="164"/>
        <v>1.9708830566360721E-12</v>
      </c>
      <c r="AL197" s="22">
        <f t="shared" si="165"/>
        <v>3.669434796176543E-12</v>
      </c>
      <c r="AM197" s="62">
        <f t="shared" si="193"/>
        <v>292.31873156962956</v>
      </c>
      <c r="AN197" s="62">
        <f ca="1">AVERAGE(OFFSET($AM$3,0,0,'Données projet'!$E$10+1,1))-AVERAGE(OFFSET($H$3,0,0,'Données projet'!$E$10+1,1))</f>
        <v>264.73276096087574</v>
      </c>
      <c r="AO197" s="62">
        <f t="shared" ref="AO197:AO203" si="205">$AO$3</f>
        <v>381.84464918049662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projet'!$B$10,Paramètres!$A$1:$I$88,3,0)*0.475*44/12</f>
        <v>8.5516131696901816</v>
      </c>
      <c r="AV197" s="23">
        <f>EXP(-LN(2)/25)*AV196+(1-EXP(-LN(2)/25))/(LN(2)/25)*Calculateur!AQ197*Calculateur!AS197*VLOOKUP('Données projet'!$B$10,Paramètres!$A$1:$I$88,3,0)*0.475*44/12</f>
        <v>0.63372303958297227</v>
      </c>
      <c r="AW197" s="23">
        <f>EXP(-LN(2)/2)*AW196+(1-EXP(-LN(2)/2))/(LN(2)/2)*AQ197*AT197*VLOOKUP('Données projet'!$B$10,Paramètres!$A$1:$I$88,3,0)*0.475*44/12</f>
        <v>2.7007926072903543E-21</v>
      </c>
      <c r="AX197" s="23">
        <f t="shared" si="166"/>
        <v>9.185336209273153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69.723290428079778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-2.8421709430404007E-13</v>
      </c>
      <c r="BE197" s="14">
        <f>BD197*VLOOKUP('Données projet'!$B$11,Paramètres!$A$1:$I$88,3,0)*VLOOKUP('Données projet'!$B$11,Paramètres!$A$1:$I$88,5,0)</f>
        <v>-3.2366642699344083E-13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470.57532875732056</v>
      </c>
      <c r="BJ197" s="62">
        <f t="shared" ref="BJ197:BJ203" si="206">$BJ$3</f>
        <v>286.63787681165888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projet'!$B$11,Paramètres!$A$1:$I$88,3,0)*0.475*44/12</f>
        <v>37.511664458390328</v>
      </c>
      <c r="BQ197" s="23">
        <f>EXP(-LN(2)/25)*BQ196+(1-EXP(-LN(2)/25))/(LN(2)/25)*Calculateur!BL197*Calculateur!BN197*VLOOKUP('Données projet'!$B$11,Paramètres!$A$1:$I$88,3,0)*0.475*44/12</f>
        <v>0</v>
      </c>
      <c r="BR197" s="23">
        <f>EXP(-LN(2)/2)*BR196+(1-EXP(-LN(2)/2))/(LN(2)/2)*BL197*BO197*VLOOKUP('Données projet'!$B$11,Paramètres!$A$1:$I$88,3,0)*0.475*44/12</f>
        <v>0</v>
      </c>
      <c r="BS197" s="24">
        <f t="shared" si="169"/>
        <v>37.511664458390328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69.723290428079778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-2.2737367544323206E-13</v>
      </c>
      <c r="BZ197" s="14">
        <f>BY197*VLOOKUP('Données projet'!$B$12,Paramètres!$A$1:$I$88,3,0)*VLOOKUP('Données projet'!$B$12,Paramètres!$A$1:$I$88,5,0)</f>
        <v>-1.4897523215040565E-13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305.38855494899906</v>
      </c>
      <c r="CE197" s="62">
        <f t="shared" ref="CE197:CE203" si="207">$CE$3</f>
        <v>298.48106301229177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projet'!$B$12,Paramètres!$A$1:$I$88,3,0)*0.475*44/12</f>
        <v>8.8683393708761535</v>
      </c>
      <c r="CL197" s="23">
        <f>EXP(-LN(2)/25)*CL196+(1-EXP(-LN(2)/25))/(LN(2)/25)*Calculateur!CG197*Calculateur!CI197*VLOOKUP('Données projet'!$B$12,Paramètres!$A$1:$I$88,3,0)*0.475*44/12</f>
        <v>0</v>
      </c>
      <c r="CM197" s="23">
        <f>EXP(-LN(2)/2)*CM196+(1-EXP(-LN(2)/2))/(LN(2)/2)*CG197*CJ197*VLOOKUP('Données projet'!$B$12,Paramètres!$A$1:$I$88,3,0)*0.475*44/12</f>
        <v>0</v>
      </c>
      <c r="CN197" s="24">
        <f t="shared" si="172"/>
        <v>8.8683393708761535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69.723290428079778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-2.2737367544323206E-13</v>
      </c>
      <c r="CU197" s="18">
        <f>CT197*VLOOKUP('Données projet'!$B$13,Paramètres!$A$1:$I$88,3,0)*VLOOKUP('Données projet'!$B$13,Paramètres!$A$1:$I$88,5,0)</f>
        <v>-1.8089849618263545E-13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361.30066984973894</v>
      </c>
      <c r="CZ197" s="62">
        <f t="shared" ref="CZ197:CZ203" si="208">$CZ$3</f>
        <v>351.78053157121622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projet'!$B$13,Paramètres!$A$1:$I$88,3,0)*0.475*44/12</f>
        <v>13.27304613481629</v>
      </c>
      <c r="DG197" s="23">
        <f>EXP(-LN(2)/25)*DG196+(1-EXP(-LN(2)/25))/(LN(2)/25)*Calculateur!DB197*Calculateur!DD197*VLOOKUP('Données projet'!$B$13,Paramètres!$A$1:$I$88,3,0)*0.475*44/12</f>
        <v>0</v>
      </c>
      <c r="DH197" s="23">
        <f>EXP(-LN(2)/2)*DH196+(1-EXP(-LN(2)/2))/(LN(2)/2)*DB197*DE197*VLOOKUP('Données projet'!$B$13,Paramètres!$A$1:$I$88,3,0)*0.475*44/12</f>
        <v>0</v>
      </c>
      <c r="DI197" s="24">
        <f t="shared" si="175"/>
        <v>13.27304613481629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69.723290428079778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>
        <f>DO197*VLOOKUP('Données projet'!$B$14,Paramètres!$A$1:$I$88,3,0)*VLOOKUP('Données projet'!$B$14,Paramètres!$A$1:$I$88,5,0)</f>
        <v>0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91.201152634762423</v>
      </c>
      <c r="DU197" s="62">
        <f t="shared" ref="DU197:DU203" si="209">$DU$3</f>
        <v>233.36981992862445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projet'!$B$14,Paramètres!$A$1:$I$88,3,0)*0.475*44/12</f>
        <v>1.6108520125495538</v>
      </c>
      <c r="EB197" s="23">
        <f>EXP(-LN(2)/25)*EB196+(1-EXP(-LN(2)/25))/(LN(2)/25)*Calculateur!DW197*Calculateur!DY197*VLOOKUP('Données projet'!$B$14,Paramètres!$A$1:$I$88,3,0)*0.475*44/12</f>
        <v>0</v>
      </c>
      <c r="EC197" s="23">
        <f>EXP(-LN(2)/2)*EC196+(1-EXP(-LN(2)/2))/(LN(2)/2)*DW197*DZ197*VLOOKUP('Données projet'!$B$14,Paramètres!$A$1:$I$88,3,0)*0.475*44/12</f>
        <v>0</v>
      </c>
      <c r="ED197" s="24">
        <f t="shared" si="178"/>
        <v>1.6108520125495538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69.723290428079778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projet'!$B$15,Paramètres!$A$1:$I$88,3,0)*0.475*44/12</f>
        <v>#N/A</v>
      </c>
      <c r="EW197" s="23" t="e">
        <f>EXP(-LN(2)/25)*EW196+(1-EXP(-LN(2)/25))/(LN(2)/25)*Calculateur!ER197*Calculateur!ET197*VLOOKUP('Données projet'!$B$15,Paramètres!$A$1:$I$88,3,0)*0.475*44/12</f>
        <v>#N/A</v>
      </c>
      <c r="EX197" s="23" t="e">
        <f>EXP(-LN(2)/2)*EX196+(1-EXP(-LN(2)/2))/(LN(2)/2)*ER197*EU197*VLOOKUP('Données projet'!$B$15,Paramètres!$A$1:$I$88,3,0)*0.475*44/12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69.723290428079778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projet'!$B$16,Paramètres!$A$1:$I$88,3,0)*0.475*44/12</f>
        <v>#N/A</v>
      </c>
      <c r="FR197" s="23" t="e">
        <f>EXP(-LN(2)/25)*FR196+(1-EXP(-LN(2)/25))/(LN(2)/25)*Calculateur!FM197*Calculateur!FO197*VLOOKUP('Données projet'!$B$16,Paramètres!$A$1:$I$88,3,0)*0.475*44/12</f>
        <v>#N/A</v>
      </c>
      <c r="FS197" s="23" t="e">
        <f>EXP(-LN(2)/2)*FS196+(1-EXP(-LN(2)/2))/(LN(2)/2)*FM197*FP197*VLOOKUP('Données projet'!$B$16,Paramètres!$A$1:$I$88,3,0)*0.475*44/12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69.723290428079778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projet'!$B$17,Paramètres!$A$1:$I$88,3,0)*0.475*44/12</f>
        <v>#N/A</v>
      </c>
      <c r="GM197" s="23" t="e">
        <f>EXP(-LN(2)/25)*GM196+(1-EXP(-LN(2)/25))/(LN(2)/25)*Calculateur!GH197*Calculateur!GJ197*VLOOKUP('Données projet'!$B$17,Paramètres!$A$1:$I$88,3,0)*0.475*44/12</f>
        <v>#N/A</v>
      </c>
      <c r="GN197" s="23" t="e">
        <f>EXP(-LN(2)/2)*GN196+(1-EXP(-LN(2)/2))/(LN(2)/2)*GH197*GK197*VLOOKUP('Données projet'!$B$17,Paramètres!$A$1:$I$88,3,0)*0.475*44/12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69.723290428079778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projet'!$B$18,Paramètres!$A$1:$I$88,3,0)*0.475*44/12</f>
        <v>#N/A</v>
      </c>
      <c r="HH197" s="23" t="e">
        <f>EXP(-LN(2)/25)*HH196+(1-EXP(-LN(2)/25))/(LN(2)/25)*Calculateur!HC197*Calculateur!HE197*VLOOKUP('Données projet'!$B$18,Paramètres!$A$1:$I$88,3,0)*0.475*44/12</f>
        <v>#N/A</v>
      </c>
      <c r="HI197" s="23" t="e">
        <f>EXP(-LN(2)/2)*HI196+(1-EXP(-LN(2)/2))/(LN(2)/2)*HC197*HF197*VLOOKUP('Données projet'!$B$18,Paramètres!$A$1:$I$88,3,0)*0.475*44/12</f>
        <v>#N/A</v>
      </c>
      <c r="HJ197" s="24" t="e">
        <f t="shared" si="190"/>
        <v>#N/A</v>
      </c>
    </row>
    <row r="198" spans="1:218" x14ac:dyDescent="0.2">
      <c r="A198" s="11">
        <f t="shared" si="161"/>
        <v>195</v>
      </c>
      <c r="B198" s="77">
        <f>'Scénario référence'!$B$16*5+'Scénario référence'!$B$17*0+'Scénario référence'!$B$18*5</f>
        <v>1.6500000000000001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6.0500000000000007</v>
      </c>
      <c r="H198" s="70">
        <f t="shared" si="192"/>
        <v>232.4666666666667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69.728090720522673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projet'!$B$9,Paramètres!$A$1:$I$88,3,0)*VLOOKUP('Données projet'!$B$9,Paramètres!$A$1:$I$88,5,0)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292.33633264191849</v>
      </c>
      <c r="S198" s="62">
        <f ca="1">AVERAGE(OFFSET($R$3,0,0,'Données projet'!$E$9+1,1))-AVERAGE(OFFSET($H$3,0,0,'Données projet'!$E$9+1,1))</f>
        <v>354.71367224254021</v>
      </c>
      <c r="T198" s="62">
        <f t="shared" si="204"/>
        <v>490.074370133397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11.954720216098277</v>
      </c>
      <c r="AA198" s="23">
        <f>EXP(-LN(2)/25)*AA197+(1-EXP(-LN(2)/25))/(LN(2)/25)*Calculateur!V198*Calculateur!X198*VLOOKUP('Données projet'!$B$9,Paramètres!$A$1:$I$88,3,0)*0.475*44/12</f>
        <v>0.87738879558929994</v>
      </c>
      <c r="AB198" s="23">
        <f>EXP(-LN(2)/2)*AB197+(1-EXP(-LN(2)/2))/(LN(2)/2)*V198*Y198*VLOOKUP('Données projet'!$B$9,Paramètres!$A$1:$I$88,3,0)*0.475*44/12</f>
        <v>2.7274009828642164E-21</v>
      </c>
      <c r="AC198" s="24">
        <f t="shared" si="163"/>
        <v>12.832109011687576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69.728090720522673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2.2737367544323206E-13</v>
      </c>
      <c r="AJ198" s="14">
        <f>AI198*VLOOKUP('Données projet'!$B$10,Paramètres!$A$1:$I$88,3,0)*VLOOKUP('Données projet'!$B$10,Paramètres!$A$1:$I$88,5,0)</f>
        <v>1.3596945791505279E-13</v>
      </c>
      <c r="AK198" s="14">
        <f t="shared" si="164"/>
        <v>1.9708830566360721E-12</v>
      </c>
      <c r="AL198" s="22">
        <f t="shared" si="165"/>
        <v>3.669434796176543E-12</v>
      </c>
      <c r="AM198" s="62">
        <f t="shared" si="193"/>
        <v>292.33633264192019</v>
      </c>
      <c r="AN198" s="62">
        <f ca="1">AVERAGE(OFFSET($AM$3,0,0,'Données projet'!$E$10+1,1))-AVERAGE(OFFSET($H$3,0,0,'Données projet'!$E$10+1,1))</f>
        <v>264.73276096087574</v>
      </c>
      <c r="AO198" s="62">
        <f t="shared" si="205"/>
        <v>381.84464918049662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projet'!$B$10,Paramètres!$A$1:$I$88,3,0)*0.475*44/12</f>
        <v>8.3839212514015564</v>
      </c>
      <c r="AV198" s="23">
        <f>EXP(-LN(2)/25)*AV197+(1-EXP(-LN(2)/25))/(LN(2)/25)*Calculateur!AQ198*Calculateur!AS198*VLOOKUP('Données projet'!$B$10,Paramètres!$A$1:$I$88,3,0)*0.475*44/12</f>
        <v>0.6163938497395296</v>
      </c>
      <c r="AW198" s="23">
        <f>EXP(-LN(2)/2)*AW197+(1-EXP(-LN(2)/2))/(LN(2)/2)*AQ198*AT198*VLOOKUP('Données projet'!$B$10,Paramètres!$A$1:$I$88,3,0)*0.475*44/12</f>
        <v>1.9097487671935057E-21</v>
      </c>
      <c r="AX198" s="23">
        <f t="shared" si="166"/>
        <v>9.0003151011410853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69.728090720522673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-2.8421709430404007E-13</v>
      </c>
      <c r="BE198" s="14">
        <f>BD198*VLOOKUP('Données projet'!$B$11,Paramètres!$A$1:$I$88,3,0)*VLOOKUP('Données projet'!$B$11,Paramètres!$A$1:$I$88,5,0)</f>
        <v>-3.2366642699344083E-13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470.57532875732056</v>
      </c>
      <c r="BJ198" s="62">
        <f t="shared" si="206"/>
        <v>286.63787681165888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projet'!$B$11,Paramètres!$A$1:$I$88,3,0)*0.475*44/12</f>
        <v>36.776083598217419</v>
      </c>
      <c r="BQ198" s="23">
        <f>EXP(-LN(2)/25)*BQ197+(1-EXP(-LN(2)/25))/(LN(2)/25)*Calculateur!BL198*Calculateur!BN198*VLOOKUP('Données projet'!$B$11,Paramètres!$A$1:$I$88,3,0)*0.475*44/12</f>
        <v>0</v>
      </c>
      <c r="BR198" s="23">
        <f>EXP(-LN(2)/2)*BR197+(1-EXP(-LN(2)/2))/(LN(2)/2)*BL198*BO198*VLOOKUP('Données projet'!$B$11,Paramètres!$A$1:$I$88,3,0)*0.475*44/12</f>
        <v>0</v>
      </c>
      <c r="BS198" s="24">
        <f t="shared" si="169"/>
        <v>36.776083598217419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69.728090720522673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-2.2737367544323206E-13</v>
      </c>
      <c r="BZ198" s="14">
        <f>BY198*VLOOKUP('Données projet'!$B$12,Paramètres!$A$1:$I$88,3,0)*VLOOKUP('Données projet'!$B$12,Paramètres!$A$1:$I$88,5,0)</f>
        <v>-1.4897523215040565E-13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305.38855494899906</v>
      </c>
      <c r="CE198" s="62">
        <f t="shared" si="207"/>
        <v>298.48106301229177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projet'!$B$12,Paramètres!$A$1:$I$88,3,0)*0.475*44/12</f>
        <v>8.6944366449661796</v>
      </c>
      <c r="CL198" s="23">
        <f>EXP(-LN(2)/25)*CL197+(1-EXP(-LN(2)/25))/(LN(2)/25)*Calculateur!CG198*Calculateur!CI198*VLOOKUP('Données projet'!$B$12,Paramètres!$A$1:$I$88,3,0)*0.475*44/12</f>
        <v>0</v>
      </c>
      <c r="CM198" s="23">
        <f>EXP(-LN(2)/2)*CM197+(1-EXP(-LN(2)/2))/(LN(2)/2)*CG198*CJ198*VLOOKUP('Données projet'!$B$12,Paramètres!$A$1:$I$88,3,0)*0.475*44/12</f>
        <v>0</v>
      </c>
      <c r="CN198" s="24">
        <f t="shared" si="172"/>
        <v>8.6944366449661796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69.728090720522673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-2.2737367544323206E-13</v>
      </c>
      <c r="CU198" s="18">
        <f>CT198*VLOOKUP('Données projet'!$B$13,Paramètres!$A$1:$I$88,3,0)*VLOOKUP('Données projet'!$B$13,Paramètres!$A$1:$I$88,5,0)</f>
        <v>-1.8089849618263545E-13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361.30066984973894</v>
      </c>
      <c r="CZ198" s="62">
        <f t="shared" si="208"/>
        <v>351.78053157121622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projet'!$B$13,Paramètres!$A$1:$I$88,3,0)*0.475*44/12</f>
        <v>13.012769795871295</v>
      </c>
      <c r="DG198" s="23">
        <f>EXP(-LN(2)/25)*DG197+(1-EXP(-LN(2)/25))/(LN(2)/25)*Calculateur!DB198*Calculateur!DD198*VLOOKUP('Données projet'!$B$13,Paramètres!$A$1:$I$88,3,0)*0.475*44/12</f>
        <v>0</v>
      </c>
      <c r="DH198" s="23">
        <f>EXP(-LN(2)/2)*DH197+(1-EXP(-LN(2)/2))/(LN(2)/2)*DB198*DE198*VLOOKUP('Données projet'!$B$13,Paramètres!$A$1:$I$88,3,0)*0.475*44/12</f>
        <v>0</v>
      </c>
      <c r="DI198" s="24">
        <f t="shared" si="175"/>
        <v>13.012769795871295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69.728090720522673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>
        <f>DO198*VLOOKUP('Données projet'!$B$14,Paramètres!$A$1:$I$88,3,0)*VLOOKUP('Données projet'!$B$14,Paramètres!$A$1:$I$88,5,0)</f>
        <v>0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91.201152634762423</v>
      </c>
      <c r="DU198" s="62">
        <f t="shared" si="209"/>
        <v>233.36981992862445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projet'!$B$14,Paramètres!$A$1:$I$88,3,0)*0.475*44/12</f>
        <v>1.5792641871061686</v>
      </c>
      <c r="EB198" s="23">
        <f>EXP(-LN(2)/25)*EB197+(1-EXP(-LN(2)/25))/(LN(2)/25)*Calculateur!DW198*Calculateur!DY198*VLOOKUP('Données projet'!$B$14,Paramètres!$A$1:$I$88,3,0)*0.475*44/12</f>
        <v>0</v>
      </c>
      <c r="EC198" s="23">
        <f>EXP(-LN(2)/2)*EC197+(1-EXP(-LN(2)/2))/(LN(2)/2)*DW198*DZ198*VLOOKUP('Données projet'!$B$14,Paramètres!$A$1:$I$88,3,0)*0.475*44/12</f>
        <v>0</v>
      </c>
      <c r="ED198" s="24">
        <f t="shared" si="178"/>
        <v>1.5792641871061686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69.728090720522673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projet'!$B$15,Paramètres!$A$1:$I$88,3,0)*0.475*44/12</f>
        <v>#N/A</v>
      </c>
      <c r="EW198" s="23" t="e">
        <f>EXP(-LN(2)/25)*EW197+(1-EXP(-LN(2)/25))/(LN(2)/25)*Calculateur!ER198*Calculateur!ET198*VLOOKUP('Données projet'!$B$15,Paramètres!$A$1:$I$88,3,0)*0.475*44/12</f>
        <v>#N/A</v>
      </c>
      <c r="EX198" s="23" t="e">
        <f>EXP(-LN(2)/2)*EX197+(1-EXP(-LN(2)/2))/(LN(2)/2)*ER198*EU198*VLOOKUP('Données projet'!$B$15,Paramètres!$A$1:$I$88,3,0)*0.475*44/12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69.728090720522673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projet'!$B$16,Paramètres!$A$1:$I$88,3,0)*0.475*44/12</f>
        <v>#N/A</v>
      </c>
      <c r="FR198" s="23" t="e">
        <f>EXP(-LN(2)/25)*FR197+(1-EXP(-LN(2)/25))/(LN(2)/25)*Calculateur!FM198*Calculateur!FO198*VLOOKUP('Données projet'!$B$16,Paramètres!$A$1:$I$88,3,0)*0.475*44/12</f>
        <v>#N/A</v>
      </c>
      <c r="FS198" s="23" t="e">
        <f>EXP(-LN(2)/2)*FS197+(1-EXP(-LN(2)/2))/(LN(2)/2)*FM198*FP198*VLOOKUP('Données projet'!$B$16,Paramètres!$A$1:$I$88,3,0)*0.475*44/12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69.728090720522673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projet'!$B$17,Paramètres!$A$1:$I$88,3,0)*0.475*44/12</f>
        <v>#N/A</v>
      </c>
      <c r="GM198" s="23" t="e">
        <f>EXP(-LN(2)/25)*GM197+(1-EXP(-LN(2)/25))/(LN(2)/25)*Calculateur!GH198*Calculateur!GJ198*VLOOKUP('Données projet'!$B$17,Paramètres!$A$1:$I$88,3,0)*0.475*44/12</f>
        <v>#N/A</v>
      </c>
      <c r="GN198" s="23" t="e">
        <f>EXP(-LN(2)/2)*GN197+(1-EXP(-LN(2)/2))/(LN(2)/2)*GH198*GK198*VLOOKUP('Données projet'!$B$17,Paramètres!$A$1:$I$88,3,0)*0.475*44/12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69.728090720522673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projet'!$B$18,Paramètres!$A$1:$I$88,3,0)*0.475*44/12</f>
        <v>#N/A</v>
      </c>
      <c r="HH198" s="23" t="e">
        <f>EXP(-LN(2)/25)*HH197+(1-EXP(-LN(2)/25))/(LN(2)/25)*Calculateur!HC198*Calculateur!HE198*VLOOKUP('Données projet'!$B$18,Paramètres!$A$1:$I$88,3,0)*0.475*44/12</f>
        <v>#N/A</v>
      </c>
      <c r="HI198" s="23" t="e">
        <f>EXP(-LN(2)/2)*HI197+(1-EXP(-LN(2)/2))/(LN(2)/2)*HC198*HF198*VLOOKUP('Données projet'!$B$18,Paramètres!$A$1:$I$88,3,0)*0.475*44/12</f>
        <v>#N/A</v>
      </c>
      <c r="HJ198" s="24" t="e">
        <f t="shared" si="190"/>
        <v>#N/A</v>
      </c>
    </row>
    <row r="199" spans="1:218" x14ac:dyDescent="0.2">
      <c r="A199" s="11">
        <f t="shared" si="161"/>
        <v>196</v>
      </c>
      <c r="B199" s="77">
        <f>'Scénario référence'!$B$16*5+'Scénario référence'!$B$17*0+'Scénario référence'!$B$18*5</f>
        <v>1.6500000000000001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6.0500000000000007</v>
      </c>
      <c r="H199" s="70">
        <f t="shared" si="192"/>
        <v>232.4666666666667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69.732807738623521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projet'!$B$9,Paramètres!$A$1:$I$88,3,0)*VLOOKUP('Données projet'!$B$9,Paramètres!$A$1:$I$88,5,0)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292.35362837495489</v>
      </c>
      <c r="S199" s="62">
        <f ca="1">AVERAGE(OFFSET($R$3,0,0,'Données projet'!$E$9+1,1))-AVERAGE(OFFSET($H$3,0,0,'Données projet'!$E$9+1,1))</f>
        <v>354.71367224254021</v>
      </c>
      <c r="T199" s="62">
        <f t="shared" si="204"/>
        <v>490.074370133397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11.72029544431993</v>
      </c>
      <c r="AA199" s="23">
        <f>EXP(-LN(2)/25)*AA198+(1-EXP(-LN(2)/25))/(LN(2)/25)*Calculateur!V199*Calculateur!X199*VLOOKUP('Données projet'!$B$9,Paramètres!$A$1:$I$88,3,0)*0.475*44/12</f>
        <v>0.85339655283403903</v>
      </c>
      <c r="AB199" s="23">
        <f>EXP(-LN(2)/2)*AB198+(1-EXP(-LN(2)/2))/(LN(2)/2)*V199*Y199*VLOOKUP('Données projet'!$B$9,Paramètres!$A$1:$I$88,3,0)*0.475*44/12</f>
        <v>1.9285637299981421E-21</v>
      </c>
      <c r="AC199" s="24">
        <f t="shared" si="163"/>
        <v>12.573691997153968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69.732807738623521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2.2737367544323206E-13</v>
      </c>
      <c r="AJ199" s="14">
        <f>AI199*VLOOKUP('Données projet'!$B$10,Paramètres!$A$1:$I$88,3,0)*VLOOKUP('Données projet'!$B$10,Paramètres!$A$1:$I$88,5,0)</f>
        <v>1.3596945791505279E-13</v>
      </c>
      <c r="AK199" s="14">
        <f t="shared" si="164"/>
        <v>1.9708830566360721E-12</v>
      </c>
      <c r="AL199" s="22">
        <f t="shared" si="165"/>
        <v>3.669434796176543E-12</v>
      </c>
      <c r="AM199" s="62">
        <f t="shared" si="193"/>
        <v>292.3536283749566</v>
      </c>
      <c r="AN199" s="62">
        <f ca="1">AVERAGE(OFFSET($AM$3,0,0,'Données projet'!$E$10+1,1))-AVERAGE(OFFSET($H$3,0,0,'Données projet'!$E$10+1,1))</f>
        <v>264.73276096087574</v>
      </c>
      <c r="AO199" s="62">
        <f t="shared" si="205"/>
        <v>381.84464918049662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projet'!$B$10,Paramètres!$A$1:$I$88,3,0)*0.475*44/12</f>
        <v>8.2195176693486012</v>
      </c>
      <c r="AV199" s="23">
        <f>EXP(-LN(2)/25)*AV198+(1-EXP(-LN(2)/25))/(LN(2)/25)*Calculateur!AQ199*Calculateur!AS199*VLOOKUP('Données projet'!$B$10,Paramètres!$A$1:$I$88,3,0)*0.475*44/12</f>
        <v>0.59953852750365844</v>
      </c>
      <c r="AW199" s="23">
        <f>EXP(-LN(2)/2)*AW198+(1-EXP(-LN(2)/2))/(LN(2)/2)*AQ199*AT199*VLOOKUP('Données projet'!$B$10,Paramètres!$A$1:$I$88,3,0)*0.475*44/12</f>
        <v>1.3503963036451771E-21</v>
      </c>
      <c r="AX199" s="23">
        <f t="shared" si="166"/>
        <v>8.8190561968522587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69.732807738623521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-2.8421709430404007E-13</v>
      </c>
      <c r="BE199" s="14">
        <f>BD199*VLOOKUP('Données projet'!$B$11,Paramètres!$A$1:$I$88,3,0)*VLOOKUP('Données projet'!$B$11,Paramètres!$A$1:$I$88,5,0)</f>
        <v>-3.2366642699344083E-13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470.57532875732056</v>
      </c>
      <c r="BJ199" s="62">
        <f t="shared" si="206"/>
        <v>286.63787681165888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projet'!$B$11,Paramètres!$A$1:$I$88,3,0)*0.475*44/12</f>
        <v>36.054927030052475</v>
      </c>
      <c r="BQ199" s="23">
        <f>EXP(-LN(2)/25)*BQ198+(1-EXP(-LN(2)/25))/(LN(2)/25)*Calculateur!BL199*Calculateur!BN199*VLOOKUP('Données projet'!$B$11,Paramètres!$A$1:$I$88,3,0)*0.475*44/12</f>
        <v>0</v>
      </c>
      <c r="BR199" s="23">
        <f>EXP(-LN(2)/2)*BR198+(1-EXP(-LN(2)/2))/(LN(2)/2)*BL199*BO199*VLOOKUP('Données projet'!$B$11,Paramètres!$A$1:$I$88,3,0)*0.475*44/12</f>
        <v>0</v>
      </c>
      <c r="BS199" s="24">
        <f t="shared" si="169"/>
        <v>36.054927030052475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69.732807738623521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-2.2737367544323206E-13</v>
      </c>
      <c r="BZ199" s="14">
        <f>BY199*VLOOKUP('Données projet'!$B$12,Paramètres!$A$1:$I$88,3,0)*VLOOKUP('Données projet'!$B$12,Paramètres!$A$1:$I$88,5,0)</f>
        <v>-1.4897523215040565E-13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305.38855494899906</v>
      </c>
      <c r="CE199" s="62">
        <f t="shared" si="207"/>
        <v>298.48106301229177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projet'!$B$12,Paramètres!$A$1:$I$88,3,0)*0.475*44/12</f>
        <v>8.5239440454411106</v>
      </c>
      <c r="CL199" s="23">
        <f>EXP(-LN(2)/25)*CL198+(1-EXP(-LN(2)/25))/(LN(2)/25)*Calculateur!CG199*Calculateur!CI199*VLOOKUP('Données projet'!$B$12,Paramètres!$A$1:$I$88,3,0)*0.475*44/12</f>
        <v>0</v>
      </c>
      <c r="CM199" s="23">
        <f>EXP(-LN(2)/2)*CM198+(1-EXP(-LN(2)/2))/(LN(2)/2)*CG199*CJ199*VLOOKUP('Données projet'!$B$12,Paramètres!$A$1:$I$88,3,0)*0.475*44/12</f>
        <v>0</v>
      </c>
      <c r="CN199" s="24">
        <f t="shared" si="172"/>
        <v>8.5239440454411106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69.732807738623521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-2.2737367544323206E-13</v>
      </c>
      <c r="CU199" s="18">
        <f>CT199*VLOOKUP('Données projet'!$B$13,Paramètres!$A$1:$I$88,3,0)*VLOOKUP('Données projet'!$B$13,Paramètres!$A$1:$I$88,5,0)</f>
        <v>-1.8089849618263545E-13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361.30066984973894</v>
      </c>
      <c r="CZ199" s="62">
        <f t="shared" si="208"/>
        <v>351.78053157121622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projet'!$B$13,Paramètres!$A$1:$I$88,3,0)*0.475*44/12</f>
        <v>12.757597317180119</v>
      </c>
      <c r="DG199" s="23">
        <f>EXP(-LN(2)/25)*DG198+(1-EXP(-LN(2)/25))/(LN(2)/25)*Calculateur!DB199*Calculateur!DD199*VLOOKUP('Données projet'!$B$13,Paramètres!$A$1:$I$88,3,0)*0.475*44/12</f>
        <v>0</v>
      </c>
      <c r="DH199" s="23">
        <f>EXP(-LN(2)/2)*DH198+(1-EXP(-LN(2)/2))/(LN(2)/2)*DB199*DE199*VLOOKUP('Données projet'!$B$13,Paramètres!$A$1:$I$88,3,0)*0.475*44/12</f>
        <v>0</v>
      </c>
      <c r="DI199" s="24">
        <f t="shared" si="175"/>
        <v>12.757597317180119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69.732807738623521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>
        <f>DO199*VLOOKUP('Données projet'!$B$14,Paramètres!$A$1:$I$88,3,0)*VLOOKUP('Données projet'!$B$14,Paramètres!$A$1:$I$88,5,0)</f>
        <v>0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91.201152634762423</v>
      </c>
      <c r="DU199" s="62">
        <f t="shared" si="209"/>
        <v>233.36981992862445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projet'!$B$14,Paramètres!$A$1:$I$88,3,0)*0.475*44/12</f>
        <v>1.5482957796530572</v>
      </c>
      <c r="EB199" s="23">
        <f>EXP(-LN(2)/25)*EB198+(1-EXP(-LN(2)/25))/(LN(2)/25)*Calculateur!DW199*Calculateur!DY199*VLOOKUP('Données projet'!$B$14,Paramètres!$A$1:$I$88,3,0)*0.475*44/12</f>
        <v>0</v>
      </c>
      <c r="EC199" s="23">
        <f>EXP(-LN(2)/2)*EC198+(1-EXP(-LN(2)/2))/(LN(2)/2)*DW199*DZ199*VLOOKUP('Données projet'!$B$14,Paramètres!$A$1:$I$88,3,0)*0.475*44/12</f>
        <v>0</v>
      </c>
      <c r="ED199" s="24">
        <f t="shared" si="178"/>
        <v>1.5482957796530572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69.732807738623521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projet'!$B$15,Paramètres!$A$1:$I$88,3,0)*0.475*44/12</f>
        <v>#N/A</v>
      </c>
      <c r="EW199" s="23" t="e">
        <f>EXP(-LN(2)/25)*EW198+(1-EXP(-LN(2)/25))/(LN(2)/25)*Calculateur!ER199*Calculateur!ET199*VLOOKUP('Données projet'!$B$15,Paramètres!$A$1:$I$88,3,0)*0.475*44/12</f>
        <v>#N/A</v>
      </c>
      <c r="EX199" s="23" t="e">
        <f>EXP(-LN(2)/2)*EX198+(1-EXP(-LN(2)/2))/(LN(2)/2)*ER199*EU199*VLOOKUP('Données projet'!$B$15,Paramètres!$A$1:$I$88,3,0)*0.475*44/12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69.732807738623521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projet'!$B$16,Paramètres!$A$1:$I$88,3,0)*0.475*44/12</f>
        <v>#N/A</v>
      </c>
      <c r="FR199" s="23" t="e">
        <f>EXP(-LN(2)/25)*FR198+(1-EXP(-LN(2)/25))/(LN(2)/25)*Calculateur!FM199*Calculateur!FO199*VLOOKUP('Données projet'!$B$16,Paramètres!$A$1:$I$88,3,0)*0.475*44/12</f>
        <v>#N/A</v>
      </c>
      <c r="FS199" s="23" t="e">
        <f>EXP(-LN(2)/2)*FS198+(1-EXP(-LN(2)/2))/(LN(2)/2)*FM199*FP199*VLOOKUP('Données projet'!$B$16,Paramètres!$A$1:$I$88,3,0)*0.475*44/12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69.732807738623521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projet'!$B$17,Paramètres!$A$1:$I$88,3,0)*0.475*44/12</f>
        <v>#N/A</v>
      </c>
      <c r="GM199" s="23" t="e">
        <f>EXP(-LN(2)/25)*GM198+(1-EXP(-LN(2)/25))/(LN(2)/25)*Calculateur!GH199*Calculateur!GJ199*VLOOKUP('Données projet'!$B$17,Paramètres!$A$1:$I$88,3,0)*0.475*44/12</f>
        <v>#N/A</v>
      </c>
      <c r="GN199" s="23" t="e">
        <f>EXP(-LN(2)/2)*GN198+(1-EXP(-LN(2)/2))/(LN(2)/2)*GH199*GK199*VLOOKUP('Données projet'!$B$17,Paramètres!$A$1:$I$88,3,0)*0.475*44/12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69.732807738623521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projet'!$B$18,Paramètres!$A$1:$I$88,3,0)*0.475*44/12</f>
        <v>#N/A</v>
      </c>
      <c r="HH199" s="23" t="e">
        <f>EXP(-LN(2)/25)*HH198+(1-EXP(-LN(2)/25))/(LN(2)/25)*Calculateur!HC199*Calculateur!HE199*VLOOKUP('Données projet'!$B$18,Paramètres!$A$1:$I$88,3,0)*0.475*44/12</f>
        <v>#N/A</v>
      </c>
      <c r="HI199" s="23" t="e">
        <f>EXP(-LN(2)/2)*HI198+(1-EXP(-LN(2)/2))/(LN(2)/2)*HC199*HF199*VLOOKUP('Données projet'!$B$18,Paramètres!$A$1:$I$88,3,0)*0.475*44/12</f>
        <v>#N/A</v>
      </c>
      <c r="HJ199" s="24" t="e">
        <f t="shared" si="190"/>
        <v>#N/A</v>
      </c>
    </row>
    <row r="200" spans="1:218" x14ac:dyDescent="0.2">
      <c r="A200" s="11">
        <f t="shared" si="161"/>
        <v>197</v>
      </c>
      <c r="B200" s="77">
        <f>'Scénario référence'!$B$16*5+'Scénario référence'!$B$17*0+'Scénario référence'!$B$18*5</f>
        <v>1.6500000000000001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6.0500000000000007</v>
      </c>
      <c r="H200" s="70">
        <f t="shared" si="192"/>
        <v>232.4666666666667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69.737442927006001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projet'!$B$9,Paramètres!$A$1:$I$88,3,0)*VLOOKUP('Données projet'!$B$9,Paramètres!$A$1:$I$88,5,0)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292.37062406569066</v>
      </c>
      <c r="S200" s="62">
        <f ca="1">AVERAGE(OFFSET($R$3,0,0,'Données projet'!$E$9+1,1))-AVERAGE(OFFSET($H$3,0,0,'Données projet'!$E$9+1,1))</f>
        <v>354.71367224254021</v>
      </c>
      <c r="T200" s="62">
        <f t="shared" si="204"/>
        <v>490.074370133397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11.490467599331165</v>
      </c>
      <c r="AA200" s="23">
        <f>EXP(-LN(2)/25)*AA199+(1-EXP(-LN(2)/25))/(LN(2)/25)*Calculateur!V200*Calculateur!X200*VLOOKUP('Données projet'!$B$9,Paramètres!$A$1:$I$88,3,0)*0.475*44/12</f>
        <v>0.83006037921861797</v>
      </c>
      <c r="AB200" s="23">
        <f>EXP(-LN(2)/2)*AB199+(1-EXP(-LN(2)/2))/(LN(2)/2)*V200*Y200*VLOOKUP('Données projet'!$B$9,Paramètres!$A$1:$I$88,3,0)*0.475*44/12</f>
        <v>1.3637004914321082E-21</v>
      </c>
      <c r="AC200" s="24">
        <f t="shared" si="163"/>
        <v>12.320527978549784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69.737442927006001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2.2737367544323206E-13</v>
      </c>
      <c r="AJ200" s="14">
        <f>AI200*VLOOKUP('Données projet'!$B$10,Paramètres!$A$1:$I$88,3,0)*VLOOKUP('Données projet'!$B$10,Paramètres!$A$1:$I$88,5,0)</f>
        <v>1.3596945791505279E-13</v>
      </c>
      <c r="AK200" s="14">
        <f t="shared" si="164"/>
        <v>1.9708830566360721E-12</v>
      </c>
      <c r="AL200" s="22">
        <f t="shared" si="165"/>
        <v>3.669434796176543E-12</v>
      </c>
      <c r="AM200" s="62">
        <f t="shared" si="193"/>
        <v>292.37062406569237</v>
      </c>
      <c r="AN200" s="62">
        <f ca="1">AVERAGE(OFFSET($AM$3,0,0,'Données projet'!$E$10+1,1))-AVERAGE(OFFSET($H$3,0,0,'Données projet'!$E$10+1,1))</f>
        <v>264.73276096087574</v>
      </c>
      <c r="AO200" s="62">
        <f t="shared" si="205"/>
        <v>381.84464918049662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projet'!$B$10,Paramètres!$A$1:$I$88,3,0)*0.475*44/12</f>
        <v>8.0583379412634208</v>
      </c>
      <c r="AV200" s="23">
        <f>EXP(-LN(2)/25)*AV199+(1-EXP(-LN(2)/25))/(LN(2)/25)*Calculateur!AQ200*Calculateur!AS200*VLOOKUP('Données projet'!$B$10,Paramètres!$A$1:$I$88,3,0)*0.475*44/12</f>
        <v>0.58314411494070995</v>
      </c>
      <c r="AW200" s="23">
        <f>EXP(-LN(2)/2)*AW199+(1-EXP(-LN(2)/2))/(LN(2)/2)*AQ200*AT200*VLOOKUP('Données projet'!$B$10,Paramètres!$A$1:$I$88,3,0)*0.475*44/12</f>
        <v>9.5487438359675286E-22</v>
      </c>
      <c r="AX200" s="23">
        <f t="shared" si="166"/>
        <v>8.641482056204131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69.737442927006001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-2.8421709430404007E-13</v>
      </c>
      <c r="BE200" s="14">
        <f>BD200*VLOOKUP('Données projet'!$B$11,Paramètres!$A$1:$I$88,3,0)*VLOOKUP('Données projet'!$B$11,Paramètres!$A$1:$I$88,5,0)</f>
        <v>-3.2366642699344083E-13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470.57532875732056</v>
      </c>
      <c r="BJ200" s="62">
        <f t="shared" si="206"/>
        <v>286.63787681165888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projet'!$B$11,Paramètres!$A$1:$I$88,3,0)*0.475*44/12</f>
        <v>35.347911902327169</v>
      </c>
      <c r="BQ200" s="23">
        <f>EXP(-LN(2)/25)*BQ199+(1-EXP(-LN(2)/25))/(LN(2)/25)*Calculateur!BL200*Calculateur!BN200*VLOOKUP('Données projet'!$B$11,Paramètres!$A$1:$I$88,3,0)*0.475*44/12</f>
        <v>0</v>
      </c>
      <c r="BR200" s="23">
        <f>EXP(-LN(2)/2)*BR199+(1-EXP(-LN(2)/2))/(LN(2)/2)*BL200*BO200*VLOOKUP('Données projet'!$B$11,Paramètres!$A$1:$I$88,3,0)*0.475*44/12</f>
        <v>0</v>
      </c>
      <c r="BS200" s="24">
        <f t="shared" si="169"/>
        <v>35.347911902327169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69.737442927006001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-2.2737367544323206E-13</v>
      </c>
      <c r="BZ200" s="14">
        <f>BY200*VLOOKUP('Données projet'!$B$12,Paramètres!$A$1:$I$88,3,0)*VLOOKUP('Données projet'!$B$12,Paramètres!$A$1:$I$88,5,0)</f>
        <v>-1.4897523215040565E-13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305.38855494899906</v>
      </c>
      <c r="CE200" s="62">
        <f t="shared" si="207"/>
        <v>298.48106301229177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projet'!$B$12,Paramètres!$A$1:$I$88,3,0)*0.475*44/12</f>
        <v>8.3567947018025102</v>
      </c>
      <c r="CL200" s="23">
        <f>EXP(-LN(2)/25)*CL199+(1-EXP(-LN(2)/25))/(LN(2)/25)*Calculateur!CG200*Calculateur!CI200*VLOOKUP('Données projet'!$B$12,Paramètres!$A$1:$I$88,3,0)*0.475*44/12</f>
        <v>0</v>
      </c>
      <c r="CM200" s="23">
        <f>EXP(-LN(2)/2)*CM199+(1-EXP(-LN(2)/2))/(LN(2)/2)*CG200*CJ200*VLOOKUP('Données projet'!$B$12,Paramètres!$A$1:$I$88,3,0)*0.475*44/12</f>
        <v>0</v>
      </c>
      <c r="CN200" s="24">
        <f t="shared" si="172"/>
        <v>8.3567947018025102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69.737442927006001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-2.2737367544323206E-13</v>
      </c>
      <c r="CU200" s="18">
        <f>CT200*VLOOKUP('Données projet'!$B$13,Paramètres!$A$1:$I$88,3,0)*VLOOKUP('Données projet'!$B$13,Paramètres!$A$1:$I$88,5,0)</f>
        <v>-1.8089849618263545E-13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361.30066984973894</v>
      </c>
      <c r="CZ200" s="62">
        <f t="shared" si="208"/>
        <v>351.78053157121622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projet'!$B$13,Paramètres!$A$1:$I$88,3,0)*0.475*44/12</f>
        <v>12.507428615156234</v>
      </c>
      <c r="DG200" s="23">
        <f>EXP(-LN(2)/25)*DG199+(1-EXP(-LN(2)/25))/(LN(2)/25)*Calculateur!DB200*Calculateur!DD200*VLOOKUP('Données projet'!$B$13,Paramètres!$A$1:$I$88,3,0)*0.475*44/12</f>
        <v>0</v>
      </c>
      <c r="DH200" s="23">
        <f>EXP(-LN(2)/2)*DH199+(1-EXP(-LN(2)/2))/(LN(2)/2)*DB200*DE200*VLOOKUP('Données projet'!$B$13,Paramètres!$A$1:$I$88,3,0)*0.475*44/12</f>
        <v>0</v>
      </c>
      <c r="DI200" s="24">
        <f t="shared" si="175"/>
        <v>12.507428615156234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69.737442927006001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>
        <f>DO200*VLOOKUP('Données projet'!$B$14,Paramètres!$A$1:$I$88,3,0)*VLOOKUP('Données projet'!$B$14,Paramètres!$A$1:$I$88,5,0)</f>
        <v>0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91.201152634762423</v>
      </c>
      <c r="DU200" s="62">
        <f t="shared" si="209"/>
        <v>233.36981992862445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projet'!$B$14,Paramètres!$A$1:$I$88,3,0)*0.475*44/12</f>
        <v>1.5179346437812378</v>
      </c>
      <c r="EB200" s="23">
        <f>EXP(-LN(2)/25)*EB199+(1-EXP(-LN(2)/25))/(LN(2)/25)*Calculateur!DW200*Calculateur!DY200*VLOOKUP('Données projet'!$B$14,Paramètres!$A$1:$I$88,3,0)*0.475*44/12</f>
        <v>0</v>
      </c>
      <c r="EC200" s="23">
        <f>EXP(-LN(2)/2)*EC199+(1-EXP(-LN(2)/2))/(LN(2)/2)*DW200*DZ200*VLOOKUP('Données projet'!$B$14,Paramètres!$A$1:$I$88,3,0)*0.475*44/12</f>
        <v>0</v>
      </c>
      <c r="ED200" s="24">
        <f t="shared" si="178"/>
        <v>1.5179346437812378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69.737442927006001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projet'!$B$15,Paramètres!$A$1:$I$88,3,0)*0.475*44/12</f>
        <v>#N/A</v>
      </c>
      <c r="EW200" s="23" t="e">
        <f>EXP(-LN(2)/25)*EW199+(1-EXP(-LN(2)/25))/(LN(2)/25)*Calculateur!ER200*Calculateur!ET200*VLOOKUP('Données projet'!$B$15,Paramètres!$A$1:$I$88,3,0)*0.475*44/12</f>
        <v>#N/A</v>
      </c>
      <c r="EX200" s="23" t="e">
        <f>EXP(-LN(2)/2)*EX199+(1-EXP(-LN(2)/2))/(LN(2)/2)*ER200*EU200*VLOOKUP('Données projet'!$B$15,Paramètres!$A$1:$I$88,3,0)*0.475*44/12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69.737442927006001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projet'!$B$16,Paramètres!$A$1:$I$88,3,0)*0.475*44/12</f>
        <v>#N/A</v>
      </c>
      <c r="FR200" s="23" t="e">
        <f>EXP(-LN(2)/25)*FR199+(1-EXP(-LN(2)/25))/(LN(2)/25)*Calculateur!FM200*Calculateur!FO200*VLOOKUP('Données projet'!$B$16,Paramètres!$A$1:$I$88,3,0)*0.475*44/12</f>
        <v>#N/A</v>
      </c>
      <c r="FS200" s="23" t="e">
        <f>EXP(-LN(2)/2)*FS199+(1-EXP(-LN(2)/2))/(LN(2)/2)*FM200*FP200*VLOOKUP('Données projet'!$B$16,Paramètres!$A$1:$I$88,3,0)*0.475*44/12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69.737442927006001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projet'!$B$17,Paramètres!$A$1:$I$88,3,0)*0.475*44/12</f>
        <v>#N/A</v>
      </c>
      <c r="GM200" s="23" t="e">
        <f>EXP(-LN(2)/25)*GM199+(1-EXP(-LN(2)/25))/(LN(2)/25)*Calculateur!GH200*Calculateur!GJ200*VLOOKUP('Données projet'!$B$17,Paramètres!$A$1:$I$88,3,0)*0.475*44/12</f>
        <v>#N/A</v>
      </c>
      <c r="GN200" s="23" t="e">
        <f>EXP(-LN(2)/2)*GN199+(1-EXP(-LN(2)/2))/(LN(2)/2)*GH200*GK200*VLOOKUP('Données projet'!$B$17,Paramètres!$A$1:$I$88,3,0)*0.475*44/12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69.737442927006001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projet'!$B$18,Paramètres!$A$1:$I$88,3,0)*0.475*44/12</f>
        <v>#N/A</v>
      </c>
      <c r="HH200" s="23" t="e">
        <f>EXP(-LN(2)/25)*HH199+(1-EXP(-LN(2)/25))/(LN(2)/25)*Calculateur!HC200*Calculateur!HE200*VLOOKUP('Données projet'!$B$18,Paramètres!$A$1:$I$88,3,0)*0.475*44/12</f>
        <v>#N/A</v>
      </c>
      <c r="HI200" s="23" t="e">
        <f>EXP(-LN(2)/2)*HI199+(1-EXP(-LN(2)/2))/(LN(2)/2)*HC200*HF200*VLOOKUP('Données projet'!$B$18,Paramètres!$A$1:$I$88,3,0)*0.475*44/12</f>
        <v>#N/A</v>
      </c>
      <c r="HJ200" s="24" t="e">
        <f t="shared" si="190"/>
        <v>#N/A</v>
      </c>
    </row>
    <row r="201" spans="1:218" x14ac:dyDescent="0.2">
      <c r="A201" s="11">
        <f>A200+1</f>
        <v>198</v>
      </c>
      <c r="B201" s="77">
        <f>'Scénario référence'!$B$16*5+'Scénario référence'!$B$17*0+'Scénario référence'!$B$18*5</f>
        <v>1.6500000000000001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6.0500000000000007</v>
      </c>
      <c r="H201" s="70">
        <f t="shared" si="192"/>
        <v>232.4666666666667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69.741997705232762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projet'!$B$9,Paramètres!$A$1:$I$88,3,0)*VLOOKUP('Données projet'!$B$9,Paramètres!$A$1:$I$88,5,0)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292.38732491918881</v>
      </c>
      <c r="S201" s="62">
        <f ca="1">AVERAGE(OFFSET($R$3,0,0,'Données projet'!$E$9+1,1))-AVERAGE(OFFSET($H$3,0,0,'Données projet'!$E$9+1,1))</f>
        <v>354.71367224254021</v>
      </c>
      <c r="T201" s="62">
        <f t="shared" si="204"/>
        <v>490.074370133397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11.265146538201485</v>
      </c>
      <c r="AA201" s="23">
        <f>EXP(-LN(2)/25)*AA200+(1-EXP(-LN(2)/25))/(LN(2)/25)*Calculateur!V201*Calculateur!X201*VLOOKUP('Données projet'!$B$9,Paramètres!$A$1:$I$88,3,0)*0.475*44/12</f>
        <v>0.80736233449790662</v>
      </c>
      <c r="AB201" s="23">
        <f>EXP(-LN(2)/2)*AB200+(1-EXP(-LN(2)/2))/(LN(2)/2)*V201*Y201*VLOOKUP('Données projet'!$B$9,Paramètres!$A$1:$I$88,3,0)*0.475*44/12</f>
        <v>9.6428186499907103E-22</v>
      </c>
      <c r="AC201" s="24">
        <f t="shared" si="163"/>
        <v>12.072508872699391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69.741997705232762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2.2737367544323206E-13</v>
      </c>
      <c r="AJ201" s="14">
        <f>AI201*VLOOKUP('Données projet'!$B$10,Paramètres!$A$1:$I$88,3,0)*VLOOKUP('Données projet'!$B$10,Paramètres!$A$1:$I$88,5,0)</f>
        <v>1.3596945791505279E-13</v>
      </c>
      <c r="AK201" s="14">
        <f t="shared" si="164"/>
        <v>1.9708830566360721E-12</v>
      </c>
      <c r="AL201" s="22">
        <f t="shared" si="165"/>
        <v>3.669434796176543E-12</v>
      </c>
      <c r="AM201" s="62">
        <f t="shared" si="193"/>
        <v>292.38732491919052</v>
      </c>
      <c r="AN201" s="62">
        <f ca="1">AVERAGE(OFFSET($AM$3,0,0,'Données projet'!$E$10+1,1))-AVERAGE(OFFSET($H$3,0,0,'Données projet'!$E$10+1,1))</f>
        <v>264.73276096087574</v>
      </c>
      <c r="AO201" s="62">
        <f t="shared" si="205"/>
        <v>381.84464918049662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projet'!$B$10,Paramètres!$A$1:$I$88,3,0)*0.475*44/12</f>
        <v>7.9003188493360632</v>
      </c>
      <c r="AV201" s="23">
        <f>EXP(-LN(2)/25)*AV200+(1-EXP(-LN(2)/25))/(LN(2)/25)*Calculateur!AQ201*Calculateur!AS201*VLOOKUP('Données projet'!$B$10,Paramètres!$A$1:$I$88,3,0)*0.475*44/12</f>
        <v>0.56719800845143997</v>
      </c>
      <c r="AW201" s="23">
        <f>EXP(-LN(2)/2)*AW200+(1-EXP(-LN(2)/2))/(LN(2)/2)*AQ201*AT201*VLOOKUP('Données projet'!$B$10,Paramètres!$A$1:$I$88,3,0)*0.475*44/12</f>
        <v>6.7519815182258857E-22</v>
      </c>
      <c r="AX201" s="23">
        <f t="shared" si="166"/>
        <v>8.4675168577875031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69.741997705232762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-2.8421709430404007E-13</v>
      </c>
      <c r="BE201" s="14">
        <f>BD201*VLOOKUP('Données projet'!$B$11,Paramètres!$A$1:$I$88,3,0)*VLOOKUP('Données projet'!$B$11,Paramètres!$A$1:$I$88,5,0)</f>
        <v>-3.2366642699344083E-13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470.57532875732056</v>
      </c>
      <c r="BJ201" s="62">
        <f t="shared" si="206"/>
        <v>286.63787681165888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projet'!$B$11,Paramètres!$A$1:$I$88,3,0)*0.475*44/12</f>
        <v>34.65476091001991</v>
      </c>
      <c r="BQ201" s="23">
        <f>EXP(-LN(2)/25)*BQ200+(1-EXP(-LN(2)/25))/(LN(2)/25)*Calculateur!BL201*Calculateur!BN201*VLOOKUP('Données projet'!$B$11,Paramètres!$A$1:$I$88,3,0)*0.475*44/12</f>
        <v>0</v>
      </c>
      <c r="BR201" s="23">
        <f>EXP(-LN(2)/2)*BR200+(1-EXP(-LN(2)/2))/(LN(2)/2)*BL201*BO201*VLOOKUP('Données projet'!$B$11,Paramètres!$A$1:$I$88,3,0)*0.475*44/12</f>
        <v>0</v>
      </c>
      <c r="BS201" s="24">
        <f t="shared" si="169"/>
        <v>34.65476091001991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69.741997705232762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-2.2737367544323206E-13</v>
      </c>
      <c r="BZ201" s="14">
        <f>BY201*VLOOKUP('Données projet'!$B$12,Paramètres!$A$1:$I$88,3,0)*VLOOKUP('Données projet'!$B$12,Paramètres!$A$1:$I$88,5,0)</f>
        <v>-1.4897523215040565E-13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305.38855494899906</v>
      </c>
      <c r="CE201" s="62">
        <f t="shared" si="207"/>
        <v>298.48106301229177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projet'!$B$12,Paramètres!$A$1:$I$88,3,0)*0.475*44/12</f>
        <v>8.1929230548416303</v>
      </c>
      <c r="CL201" s="23">
        <f>EXP(-LN(2)/25)*CL200+(1-EXP(-LN(2)/25))/(LN(2)/25)*Calculateur!CG201*Calculateur!CI201*VLOOKUP('Données projet'!$B$12,Paramètres!$A$1:$I$88,3,0)*0.475*44/12</f>
        <v>0</v>
      </c>
      <c r="CM201" s="23">
        <f>EXP(-LN(2)/2)*CM200+(1-EXP(-LN(2)/2))/(LN(2)/2)*CG201*CJ201*VLOOKUP('Données projet'!$B$12,Paramètres!$A$1:$I$88,3,0)*0.475*44/12</f>
        <v>0</v>
      </c>
      <c r="CN201" s="24">
        <f t="shared" si="172"/>
        <v>8.1929230548416303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69.741997705232762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-2.2737367544323206E-13</v>
      </c>
      <c r="CU201" s="18">
        <f>CT201*VLOOKUP('Données projet'!$B$13,Paramètres!$A$1:$I$88,3,0)*VLOOKUP('Données projet'!$B$13,Paramètres!$A$1:$I$88,5,0)</f>
        <v>-1.8089849618263545E-13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361.30066984973894</v>
      </c>
      <c r="CZ201" s="62">
        <f t="shared" si="208"/>
        <v>351.78053157121622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projet'!$B$13,Paramètres!$A$1:$I$88,3,0)*0.475*44/12</f>
        <v>12.262165568791197</v>
      </c>
      <c r="DG201" s="23">
        <f>EXP(-LN(2)/25)*DG200+(1-EXP(-LN(2)/25))/(LN(2)/25)*Calculateur!DB201*Calculateur!DD201*VLOOKUP('Données projet'!$B$13,Paramètres!$A$1:$I$88,3,0)*0.475*44/12</f>
        <v>0</v>
      </c>
      <c r="DH201" s="23">
        <f>EXP(-LN(2)/2)*DH200+(1-EXP(-LN(2)/2))/(LN(2)/2)*DB201*DE201*VLOOKUP('Données projet'!$B$13,Paramètres!$A$1:$I$88,3,0)*0.475*44/12</f>
        <v>0</v>
      </c>
      <c r="DI201" s="24">
        <f t="shared" si="175"/>
        <v>12.262165568791197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69.741997705232762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>
        <f>DO201*VLOOKUP('Données projet'!$B$14,Paramètres!$A$1:$I$88,3,0)*VLOOKUP('Données projet'!$B$14,Paramètres!$A$1:$I$88,5,0)</f>
        <v>0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91.201152634762423</v>
      </c>
      <c r="DU201" s="62">
        <f t="shared" si="209"/>
        <v>233.36981992862445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projet'!$B$14,Paramètres!$A$1:$I$88,3,0)*0.475*44/12</f>
        <v>1.4881688712654004</v>
      </c>
      <c r="EB201" s="23">
        <f>EXP(-LN(2)/25)*EB200+(1-EXP(-LN(2)/25))/(LN(2)/25)*Calculateur!DW201*Calculateur!DY201*VLOOKUP('Données projet'!$B$14,Paramètres!$A$1:$I$88,3,0)*0.475*44/12</f>
        <v>0</v>
      </c>
      <c r="EC201" s="23">
        <f>EXP(-LN(2)/2)*EC200+(1-EXP(-LN(2)/2))/(LN(2)/2)*DW201*DZ201*VLOOKUP('Données projet'!$B$14,Paramètres!$A$1:$I$88,3,0)*0.475*44/12</f>
        <v>0</v>
      </c>
      <c r="ED201" s="24">
        <f t="shared" si="178"/>
        <v>1.4881688712654004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69.741997705232762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projet'!$B$15,Paramètres!$A$1:$I$88,3,0)*0.475*44/12</f>
        <v>#N/A</v>
      </c>
      <c r="EW201" s="23" t="e">
        <f>EXP(-LN(2)/25)*EW200+(1-EXP(-LN(2)/25))/(LN(2)/25)*Calculateur!ER201*Calculateur!ET201*VLOOKUP('Données projet'!$B$15,Paramètres!$A$1:$I$88,3,0)*0.475*44/12</f>
        <v>#N/A</v>
      </c>
      <c r="EX201" s="23" t="e">
        <f>EXP(-LN(2)/2)*EX200+(1-EXP(-LN(2)/2))/(LN(2)/2)*ER201*EU201*VLOOKUP('Données projet'!$B$15,Paramètres!$A$1:$I$88,3,0)*0.475*44/12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69.741997705232762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projet'!$B$16,Paramètres!$A$1:$I$88,3,0)*0.475*44/12</f>
        <v>#N/A</v>
      </c>
      <c r="FR201" s="23" t="e">
        <f>EXP(-LN(2)/25)*FR200+(1-EXP(-LN(2)/25))/(LN(2)/25)*Calculateur!FM201*Calculateur!FO201*VLOOKUP('Données projet'!$B$16,Paramètres!$A$1:$I$88,3,0)*0.475*44/12</f>
        <v>#N/A</v>
      </c>
      <c r="FS201" s="23" t="e">
        <f>EXP(-LN(2)/2)*FS200+(1-EXP(-LN(2)/2))/(LN(2)/2)*FM201*FP201*VLOOKUP('Données projet'!$B$16,Paramètres!$A$1:$I$88,3,0)*0.475*44/12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69.741997705232762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projet'!$B$17,Paramètres!$A$1:$I$88,3,0)*0.475*44/12</f>
        <v>#N/A</v>
      </c>
      <c r="GM201" s="23" t="e">
        <f>EXP(-LN(2)/25)*GM200+(1-EXP(-LN(2)/25))/(LN(2)/25)*Calculateur!GH201*Calculateur!GJ201*VLOOKUP('Données projet'!$B$17,Paramètres!$A$1:$I$88,3,0)*0.475*44/12</f>
        <v>#N/A</v>
      </c>
      <c r="GN201" s="23" t="e">
        <f>EXP(-LN(2)/2)*GN200+(1-EXP(-LN(2)/2))/(LN(2)/2)*GH201*GK201*VLOOKUP('Données projet'!$B$17,Paramètres!$A$1:$I$88,3,0)*0.475*44/12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69.741997705232762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projet'!$B$18,Paramètres!$A$1:$I$88,3,0)*0.475*44/12</f>
        <v>#N/A</v>
      </c>
      <c r="HH201" s="23" t="e">
        <f>EXP(-LN(2)/25)*HH200+(1-EXP(-LN(2)/25))/(LN(2)/25)*Calculateur!HC201*Calculateur!HE201*VLOOKUP('Données projet'!$B$18,Paramètres!$A$1:$I$88,3,0)*0.475*44/12</f>
        <v>#N/A</v>
      </c>
      <c r="HI201" s="23" t="e">
        <f>EXP(-LN(2)/2)*HI200+(1-EXP(-LN(2)/2))/(LN(2)/2)*HC201*HF201*VLOOKUP('Données projet'!$B$18,Paramètres!$A$1:$I$88,3,0)*0.475*44/12</f>
        <v>#N/A</v>
      </c>
      <c r="HJ201" s="24" t="e">
        <f t="shared" si="190"/>
        <v>#N/A</v>
      </c>
    </row>
    <row r="202" spans="1:218" x14ac:dyDescent="0.2">
      <c r="A202" s="11">
        <f t="shared" si="161"/>
        <v>199</v>
      </c>
      <c r="B202" s="77">
        <f>'Scénario référence'!$B$16*5+'Scénario référence'!$B$17*0+'Scénario référence'!$B$18*5</f>
        <v>1.6500000000000001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6.0500000000000007</v>
      </c>
      <c r="H202" s="70">
        <f t="shared" si="192"/>
        <v>232.4666666666667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69.746473468240254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projet'!$B$9,Paramètres!$A$1:$I$88,3,0)*VLOOKUP('Données projet'!$B$9,Paramètres!$A$1:$I$88,5,0)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292.40373605021625</v>
      </c>
      <c r="S202" s="62">
        <f ca="1">AVERAGE(OFFSET($R$3,0,0,'Données projet'!$E$9+1,1))-AVERAGE(OFFSET($H$3,0,0,'Données projet'!$E$9+1,1))</f>
        <v>354.71367224254021</v>
      </c>
      <c r="T202" s="62">
        <f t="shared" si="204"/>
        <v>490.074370133397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11.044243885648282</v>
      </c>
      <c r="AA202" s="23">
        <f>EXP(-LN(2)/25)*AA201+(1-EXP(-LN(2)/25))/(LN(2)/25)*Calculateur!V202*Calculateur!X202*VLOOKUP('Données projet'!$B$9,Paramètres!$A$1:$I$88,3,0)*0.475*44/12</f>
        <v>0.78528496900372147</v>
      </c>
      <c r="AB202" s="23">
        <f>EXP(-LN(2)/2)*AB201+(1-EXP(-LN(2)/2))/(LN(2)/2)*V202*Y202*VLOOKUP('Données projet'!$B$9,Paramètres!$A$1:$I$88,3,0)*0.475*44/12</f>
        <v>6.8185024571605409E-22</v>
      </c>
      <c r="AC202" s="24">
        <f t="shared" si="163"/>
        <v>11.829528854652002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69.746473468240254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2.2737367544323206E-13</v>
      </c>
      <c r="AJ202" s="14">
        <f>AI202*VLOOKUP('Données projet'!$B$10,Paramètres!$A$1:$I$88,3,0)*VLOOKUP('Données projet'!$B$10,Paramètres!$A$1:$I$88,5,0)</f>
        <v>1.3596945791505279E-13</v>
      </c>
      <c r="AK202" s="14">
        <f t="shared" si="164"/>
        <v>1.9708830566360721E-12</v>
      </c>
      <c r="AL202" s="22">
        <f t="shared" si="165"/>
        <v>3.669434796176543E-12</v>
      </c>
      <c r="AM202" s="62">
        <f t="shared" si="193"/>
        <v>292.40373605021796</v>
      </c>
      <c r="AN202" s="62">
        <f ca="1">AVERAGE(OFFSET($AM$3,0,0,'Données projet'!$E$10+1,1))-AVERAGE(OFFSET($H$3,0,0,'Données projet'!$E$10+1,1))</f>
        <v>264.73276096087574</v>
      </c>
      <c r="AO202" s="62">
        <f t="shared" si="205"/>
        <v>381.84464918049662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projet'!$B$10,Paramètres!$A$1:$I$88,3,0)*0.475*44/12</f>
        <v>7.7453984154192721</v>
      </c>
      <c r="AV202" s="23">
        <f>EXP(-LN(2)/25)*AV201+(1-EXP(-LN(2)/25))/(LN(2)/25)*Calculateur!AQ202*Calculateur!AS202*VLOOKUP('Données projet'!$B$10,Paramètres!$A$1:$I$88,3,0)*0.475*44/12</f>
        <v>0.55168794908268848</v>
      </c>
      <c r="AW202" s="23">
        <f>EXP(-LN(2)/2)*AW201+(1-EXP(-LN(2)/2))/(LN(2)/2)*AQ202*AT202*VLOOKUP('Données projet'!$B$10,Paramètres!$A$1:$I$88,3,0)*0.475*44/12</f>
        <v>4.7743719179837643E-22</v>
      </c>
      <c r="AX202" s="23">
        <f t="shared" si="166"/>
        <v>8.2970863645019612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69.746473468240254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-2.8421709430404007E-13</v>
      </c>
      <c r="BE202" s="14">
        <f>BD202*VLOOKUP('Données projet'!$B$11,Paramètres!$A$1:$I$88,3,0)*VLOOKUP('Données projet'!$B$11,Paramètres!$A$1:$I$88,5,0)</f>
        <v>-3.2366642699344083E-13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470.57532875732056</v>
      </c>
      <c r="BJ202" s="62">
        <f t="shared" si="206"/>
        <v>286.63787681165888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projet'!$B$11,Paramètres!$A$1:$I$88,3,0)*0.475*44/12</f>
        <v>33.97520218589144</v>
      </c>
      <c r="BQ202" s="23">
        <f>EXP(-LN(2)/25)*BQ201+(1-EXP(-LN(2)/25))/(LN(2)/25)*Calculateur!BL202*Calculateur!BN202*VLOOKUP('Données projet'!$B$11,Paramètres!$A$1:$I$88,3,0)*0.475*44/12</f>
        <v>0</v>
      </c>
      <c r="BR202" s="23">
        <f>EXP(-LN(2)/2)*BR201+(1-EXP(-LN(2)/2))/(LN(2)/2)*BL202*BO202*VLOOKUP('Données projet'!$B$11,Paramètres!$A$1:$I$88,3,0)*0.475*44/12</f>
        <v>0</v>
      </c>
      <c r="BS202" s="24">
        <f t="shared" si="169"/>
        <v>33.97520218589144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69.746473468240254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-2.2737367544323206E-13</v>
      </c>
      <c r="BZ202" s="14">
        <f>BY202*VLOOKUP('Données projet'!$B$12,Paramètres!$A$1:$I$88,3,0)*VLOOKUP('Données projet'!$B$12,Paramètres!$A$1:$I$88,5,0)</f>
        <v>-1.4897523215040565E-13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305.38855494899906</v>
      </c>
      <c r="CE202" s="62">
        <f t="shared" si="207"/>
        <v>298.48106301229177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projet'!$B$12,Paramètres!$A$1:$I$88,3,0)*0.475*44/12</f>
        <v>8.0322648309258184</v>
      </c>
      <c r="CL202" s="23">
        <f>EXP(-LN(2)/25)*CL201+(1-EXP(-LN(2)/25))/(LN(2)/25)*Calculateur!CG202*Calculateur!CI202*VLOOKUP('Données projet'!$B$12,Paramètres!$A$1:$I$88,3,0)*0.475*44/12</f>
        <v>0</v>
      </c>
      <c r="CM202" s="23">
        <f>EXP(-LN(2)/2)*CM201+(1-EXP(-LN(2)/2))/(LN(2)/2)*CG202*CJ202*VLOOKUP('Données projet'!$B$12,Paramètres!$A$1:$I$88,3,0)*0.475*44/12</f>
        <v>0</v>
      </c>
      <c r="CN202" s="24">
        <f t="shared" si="172"/>
        <v>8.0322648309258184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69.746473468240254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-2.2737367544323206E-13</v>
      </c>
      <c r="CU202" s="18">
        <f>CT202*VLOOKUP('Données projet'!$B$13,Paramètres!$A$1:$I$88,3,0)*VLOOKUP('Données projet'!$B$13,Paramètres!$A$1:$I$88,5,0)</f>
        <v>-1.8089849618263545E-13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361.30066984973894</v>
      </c>
      <c r="CZ202" s="62">
        <f t="shared" si="208"/>
        <v>351.78053157121622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projet'!$B$13,Paramètres!$A$1:$I$88,3,0)*0.475*44/12</f>
        <v>12.021711981169691</v>
      </c>
      <c r="DG202" s="23">
        <f>EXP(-LN(2)/25)*DG201+(1-EXP(-LN(2)/25))/(LN(2)/25)*Calculateur!DB202*Calculateur!DD202*VLOOKUP('Données projet'!$B$13,Paramètres!$A$1:$I$88,3,0)*0.475*44/12</f>
        <v>0</v>
      </c>
      <c r="DH202" s="23">
        <f>EXP(-LN(2)/2)*DH201+(1-EXP(-LN(2)/2))/(LN(2)/2)*DB202*DE202*VLOOKUP('Données projet'!$B$13,Paramètres!$A$1:$I$88,3,0)*0.475*44/12</f>
        <v>0</v>
      </c>
      <c r="DI202" s="24">
        <f t="shared" si="175"/>
        <v>12.021711981169691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69.746473468240254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>
        <f>DO202*VLOOKUP('Données projet'!$B$14,Paramètres!$A$1:$I$88,3,0)*VLOOKUP('Données projet'!$B$14,Paramètres!$A$1:$I$88,5,0)</f>
        <v>0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91.201152634762423</v>
      </c>
      <c r="DU202" s="62">
        <f t="shared" si="209"/>
        <v>233.36981992862445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projet'!$B$14,Paramètres!$A$1:$I$88,3,0)*0.475*44/12</f>
        <v>1.45898678739327</v>
      </c>
      <c r="EB202" s="23">
        <f>EXP(-LN(2)/25)*EB201+(1-EXP(-LN(2)/25))/(LN(2)/25)*Calculateur!DW202*Calculateur!DY202*VLOOKUP('Données projet'!$B$14,Paramètres!$A$1:$I$88,3,0)*0.475*44/12</f>
        <v>0</v>
      </c>
      <c r="EC202" s="23">
        <f>EXP(-LN(2)/2)*EC201+(1-EXP(-LN(2)/2))/(LN(2)/2)*DW202*DZ202*VLOOKUP('Données projet'!$B$14,Paramètres!$A$1:$I$88,3,0)*0.475*44/12</f>
        <v>0</v>
      </c>
      <c r="ED202" s="24">
        <f t="shared" si="178"/>
        <v>1.45898678739327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69.746473468240254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projet'!$B$15,Paramètres!$A$1:$I$88,3,0)*0.475*44/12</f>
        <v>#N/A</v>
      </c>
      <c r="EW202" s="23" t="e">
        <f>EXP(-LN(2)/25)*EW201+(1-EXP(-LN(2)/25))/(LN(2)/25)*Calculateur!ER202*Calculateur!ET202*VLOOKUP('Données projet'!$B$15,Paramètres!$A$1:$I$88,3,0)*0.475*44/12</f>
        <v>#N/A</v>
      </c>
      <c r="EX202" s="23" t="e">
        <f>EXP(-LN(2)/2)*EX201+(1-EXP(-LN(2)/2))/(LN(2)/2)*ER202*EU202*VLOOKUP('Données projet'!$B$15,Paramètres!$A$1:$I$88,3,0)*0.475*44/12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69.746473468240254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projet'!$B$16,Paramètres!$A$1:$I$88,3,0)*0.475*44/12</f>
        <v>#N/A</v>
      </c>
      <c r="FR202" s="23" t="e">
        <f>EXP(-LN(2)/25)*FR201+(1-EXP(-LN(2)/25))/(LN(2)/25)*Calculateur!FM202*Calculateur!FO202*VLOOKUP('Données projet'!$B$16,Paramètres!$A$1:$I$88,3,0)*0.475*44/12</f>
        <v>#N/A</v>
      </c>
      <c r="FS202" s="23" t="e">
        <f>EXP(-LN(2)/2)*FS201+(1-EXP(-LN(2)/2))/(LN(2)/2)*FM202*FP202*VLOOKUP('Données projet'!$B$16,Paramètres!$A$1:$I$88,3,0)*0.475*44/12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69.746473468240254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projet'!$B$17,Paramètres!$A$1:$I$88,3,0)*0.475*44/12</f>
        <v>#N/A</v>
      </c>
      <c r="GM202" s="23" t="e">
        <f>EXP(-LN(2)/25)*GM201+(1-EXP(-LN(2)/25))/(LN(2)/25)*Calculateur!GH202*Calculateur!GJ202*VLOOKUP('Données projet'!$B$17,Paramètres!$A$1:$I$88,3,0)*0.475*44/12</f>
        <v>#N/A</v>
      </c>
      <c r="GN202" s="23" t="e">
        <f>EXP(-LN(2)/2)*GN201+(1-EXP(-LN(2)/2))/(LN(2)/2)*GH202*GK202*VLOOKUP('Données projet'!$B$17,Paramètres!$A$1:$I$88,3,0)*0.475*44/12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69.746473468240254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projet'!$B$18,Paramètres!$A$1:$I$88,3,0)*0.475*44/12</f>
        <v>#N/A</v>
      </c>
      <c r="HH202" s="23" t="e">
        <f>EXP(-LN(2)/25)*HH201+(1-EXP(-LN(2)/25))/(LN(2)/25)*Calculateur!HC202*Calculateur!HE202*VLOOKUP('Données projet'!$B$18,Paramètres!$A$1:$I$88,3,0)*0.475*44/12</f>
        <v>#N/A</v>
      </c>
      <c r="HI202" s="23" t="e">
        <f>EXP(-LN(2)/2)*HI201+(1-EXP(-LN(2)/2))/(LN(2)/2)*HC202*HF202*VLOOKUP('Données projet'!$B$18,Paramètres!$A$1:$I$88,3,0)*0.475*44/12</f>
        <v>#N/A</v>
      </c>
      <c r="HJ202" s="24" t="e">
        <f t="shared" si="190"/>
        <v>#N/A</v>
      </c>
    </row>
    <row r="203" spans="1:218" ht="16" thickBot="1" x14ac:dyDescent="0.25">
      <c r="A203" s="11">
        <f>A202+1</f>
        <v>200</v>
      </c>
      <c r="B203" s="77">
        <f>'Scénario référence'!$B$16*5+'Scénario référence'!$B$17*0+'Scénario référence'!$B$18*5</f>
        <v>1.6500000000000001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61.750000000000007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6.0500000000000007</v>
      </c>
      <c r="H203" s="70">
        <f t="shared" si="192"/>
        <v>232.4666666666667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69.750871586765882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projet'!$B$9,Paramètres!$A$1:$I$88,3,0)*VLOOKUP('Données projet'!$B$9,Paramètres!$A$1:$I$88,5,0)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292.41986248481021</v>
      </c>
      <c r="S203" s="62">
        <f ca="1">AVERAGE(OFFSET($R$3,0,0,'Données projet'!$E$9+1,1))-AVERAGE(OFFSET($H$3,0,0,'Données projet'!$E$9+1,1))</f>
        <v>354.71367224254021</v>
      </c>
      <c r="T203" s="62">
        <f t="shared" si="204"/>
        <v>490.074370133397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10.827672999374332</v>
      </c>
      <c r="AA203" s="23">
        <f>EXP(-LN(2)/25)*AA202+(1-EXP(-LN(2)/25))/(LN(2)/25)*Calculateur!V203*Calculateur!X203*VLOOKUP('Données projet'!$B$9,Paramètres!$A$1:$I$88,3,0)*0.475*44/12</f>
        <v>0.76381131022997295</v>
      </c>
      <c r="AB203" s="23">
        <f>EXP(-LN(2)/2)*AB202+(1-EXP(-LN(2)/2))/(LN(2)/2)*V203*Y203*VLOOKUP('Données projet'!$B$9,Paramètres!$A$1:$I$88,3,0)*0.475*44/12</f>
        <v>4.8214093249953551E-22</v>
      </c>
      <c r="AC203" s="24">
        <f t="shared" si="163"/>
        <v>11.591484309604306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69.750871586765882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2.2737367544323206E-13</v>
      </c>
      <c r="AJ203" s="14">
        <f>AI203*VLOOKUP('Données projet'!$B$10,Paramètres!$A$1:$I$88,3,0)*VLOOKUP('Données projet'!$B$10,Paramètres!$A$1:$I$88,5,0)</f>
        <v>1.3596945791505279E-13</v>
      </c>
      <c r="AK203" s="14">
        <f t="shared" si="164"/>
        <v>1.9708830566360721E-12</v>
      </c>
      <c r="AL203" s="22">
        <f t="shared" si="165"/>
        <v>3.669434796176543E-12</v>
      </c>
      <c r="AM203" s="62">
        <f t="shared" si="193"/>
        <v>292.41986248481192</v>
      </c>
      <c r="AN203" s="62">
        <f ca="1">AVERAGE(OFFSET($AM$3,0,0,'Données projet'!$E$10+1,1))-AVERAGE(OFFSET($H$3,0,0,'Données projet'!$E$10+1,1))</f>
        <v>264.73276096087574</v>
      </c>
      <c r="AO203" s="62">
        <f t="shared" si="205"/>
        <v>381.84464918049662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projet'!$B$10,Paramètres!$A$1:$I$88,3,0)*0.475*44/12</f>
        <v>7.5935158767194553</v>
      </c>
      <c r="AV203" s="23">
        <f>EXP(-LN(2)/25)*AV202+(1-EXP(-LN(2)/25))/(LN(2)/25)*Calculateur!AQ203*Calculateur!AS203*VLOOKUP('Données projet'!$B$10,Paramètres!$A$1:$I$88,3,0)*0.475*44/12</f>
        <v>0.53660201310301403</v>
      </c>
      <c r="AW203" s="23">
        <f>EXP(-LN(2)/2)*AW202+(1-EXP(-LN(2)/2))/(LN(2)/2)*AQ203*AT203*VLOOKUP('Données projet'!$B$10,Paramètres!$A$1:$I$88,3,0)*0.475*44/12</f>
        <v>3.3759907591129429E-22</v>
      </c>
      <c r="AX203" s="23">
        <f t="shared" si="166"/>
        <v>8.1301178898224684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69.750871586765882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-2.8421709430404007E-13</v>
      </c>
      <c r="BE203" s="14">
        <f>BD203*VLOOKUP('Données projet'!$B$11,Paramètres!$A$1:$I$88,3,0)*VLOOKUP('Données projet'!$B$11,Paramètres!$A$1:$I$88,5,0)</f>
        <v>-3.2366642699344083E-13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470.57532875732056</v>
      </c>
      <c r="BJ203" s="62">
        <f t="shared" si="206"/>
        <v>286.63787681165888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projet'!$B$11,Paramètres!$A$1:$I$88,3,0)*0.475*44/12</f>
        <v>33.308969193853237</v>
      </c>
      <c r="BQ203" s="23">
        <f>EXP(-LN(2)/25)*BQ202+(1-EXP(-LN(2)/25))/(LN(2)/25)*Calculateur!BL203*Calculateur!BN203*VLOOKUP('Données projet'!$B$11,Paramètres!$A$1:$I$88,3,0)*0.475*44/12</f>
        <v>0</v>
      </c>
      <c r="BR203" s="23">
        <f>EXP(-LN(2)/2)*BR202+(1-EXP(-LN(2)/2))/(LN(2)/2)*BL203*BO203*VLOOKUP('Données projet'!$B$11,Paramètres!$A$1:$I$88,3,0)*0.475*44/12</f>
        <v>0</v>
      </c>
      <c r="BS203" s="24">
        <f t="shared" si="169"/>
        <v>33.308969193853237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69.750871586765882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-2.2737367544323206E-13</v>
      </c>
      <c r="BZ203" s="14">
        <f>BY203*VLOOKUP('Données projet'!$B$12,Paramètres!$A$1:$I$88,3,0)*VLOOKUP('Données projet'!$B$12,Paramètres!$A$1:$I$88,5,0)</f>
        <v>-1.4897523215040565E-13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305.38855494899906</v>
      </c>
      <c r="CE203" s="62">
        <f t="shared" si="207"/>
        <v>298.48106301229177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projet'!$B$12,Paramètres!$A$1:$I$88,3,0)*0.475*44/12</f>
        <v>7.8747570167891547</v>
      </c>
      <c r="CL203" s="23">
        <f>EXP(-LN(2)/25)*CL202+(1-EXP(-LN(2)/25))/(LN(2)/25)*Calculateur!CG203*Calculateur!CI203*VLOOKUP('Données projet'!$B$12,Paramètres!$A$1:$I$88,3,0)*0.475*44/12</f>
        <v>0</v>
      </c>
      <c r="CM203" s="23">
        <f>EXP(-LN(2)/2)*CM202+(1-EXP(-LN(2)/2))/(LN(2)/2)*CG203*CJ203*VLOOKUP('Données projet'!$B$12,Paramètres!$A$1:$I$88,3,0)*0.475*44/12</f>
        <v>0</v>
      </c>
      <c r="CN203" s="24">
        <f t="shared" si="172"/>
        <v>7.8747570167891547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69.750871586765882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-2.2737367544323206E-13</v>
      </c>
      <c r="CU203" s="18">
        <f>CT203*VLOOKUP('Données projet'!$B$13,Paramètres!$A$1:$I$88,3,0)*VLOOKUP('Données projet'!$B$13,Paramètres!$A$1:$I$88,5,0)</f>
        <v>-1.8089849618263545E-13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361.30066984973894</v>
      </c>
      <c r="CZ203" s="62">
        <f t="shared" si="208"/>
        <v>351.78053157121622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projet'!$B$13,Paramètres!$A$1:$I$88,3,0)*0.475*44/12</f>
        <v>11.785973541739235</v>
      </c>
      <c r="DG203" s="23">
        <f>EXP(-LN(2)/25)*DG202+(1-EXP(-LN(2)/25))/(LN(2)/25)*Calculateur!DB203*Calculateur!DD203*VLOOKUP('Données projet'!$B$13,Paramètres!$A$1:$I$88,3,0)*0.475*44/12</f>
        <v>0</v>
      </c>
      <c r="DH203" s="23">
        <f>EXP(-LN(2)/2)*DH202+(1-EXP(-LN(2)/2))/(LN(2)/2)*DB203*DE203*VLOOKUP('Données projet'!$B$13,Paramètres!$A$1:$I$88,3,0)*0.475*44/12</f>
        <v>0</v>
      </c>
      <c r="DI203" s="24">
        <f t="shared" si="175"/>
        <v>11.785973541739235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69.750871586765882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>
        <f>DO203*VLOOKUP('Données projet'!$B$14,Paramètres!$A$1:$I$88,3,0)*VLOOKUP('Données projet'!$B$14,Paramètres!$A$1:$I$88,5,0)</f>
        <v>0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91.201152634762423</v>
      </c>
      <c r="DU203" s="62">
        <f t="shared" si="209"/>
        <v>233.36981992862445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projet'!$B$14,Paramètres!$A$1:$I$88,3,0)*0.475*44/12</f>
        <v>1.4303769463865585</v>
      </c>
      <c r="EB203" s="23">
        <f>EXP(-LN(2)/25)*EB202+(1-EXP(-LN(2)/25))/(LN(2)/25)*Calculateur!DW203*Calculateur!DY203*VLOOKUP('Données projet'!$B$14,Paramètres!$A$1:$I$88,3,0)*0.475*44/12</f>
        <v>0</v>
      </c>
      <c r="EC203" s="23">
        <f>EXP(-LN(2)/2)*EC202+(1-EXP(-LN(2)/2))/(LN(2)/2)*DW203*DZ203*VLOOKUP('Données projet'!$B$14,Paramètres!$A$1:$I$88,3,0)*0.475*44/12</f>
        <v>0</v>
      </c>
      <c r="ED203" s="24">
        <f t="shared" si="178"/>
        <v>1.4303769463865585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69.750871586765882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projet'!$B$15,Paramètres!$A$1:$I$88,3,0)*0.475*44/12</f>
        <v>#N/A</v>
      </c>
      <c r="EW203" s="23" t="e">
        <f>EXP(-LN(2)/25)*EW202+(1-EXP(-LN(2)/25))/(LN(2)/25)*Calculateur!ER203*Calculateur!ET203*VLOOKUP('Données projet'!$B$15,Paramètres!$A$1:$I$88,3,0)*0.475*44/12</f>
        <v>#N/A</v>
      </c>
      <c r="EX203" s="23" t="e">
        <f>EXP(-LN(2)/2)*EX202+(1-EXP(-LN(2)/2))/(LN(2)/2)*ER203*EU203*VLOOKUP('Données projet'!$B$15,Paramètres!$A$1:$I$88,3,0)*0.475*44/12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69.750871586765882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projet'!$B$16,Paramètres!$A$1:$I$88,3,0)*0.475*44/12</f>
        <v>#N/A</v>
      </c>
      <c r="FR203" s="23" t="e">
        <f>EXP(-LN(2)/25)*FR202+(1-EXP(-LN(2)/25))/(LN(2)/25)*Calculateur!FM203*Calculateur!FO203*VLOOKUP('Données projet'!$B$16,Paramètres!$A$1:$I$88,3,0)*0.475*44/12</f>
        <v>#N/A</v>
      </c>
      <c r="FS203" s="23" t="e">
        <f>EXP(-LN(2)/2)*FS202+(1-EXP(-LN(2)/2))/(LN(2)/2)*FM203*FP203*VLOOKUP('Données projet'!$B$16,Paramètres!$A$1:$I$88,3,0)*0.475*44/12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69.750871586765882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projet'!$B$17,Paramètres!$A$1:$I$88,3,0)*0.475*44/12</f>
        <v>#N/A</v>
      </c>
      <c r="GM203" s="23" t="e">
        <f>EXP(-LN(2)/25)*GM202+(1-EXP(-LN(2)/25))/(LN(2)/25)*Calculateur!GH203*Calculateur!GJ203*VLOOKUP('Données projet'!$B$17,Paramètres!$A$1:$I$88,3,0)*0.475*44/12</f>
        <v>#N/A</v>
      </c>
      <c r="GN203" s="23" t="e">
        <f>EXP(-LN(2)/2)*GN202+(1-EXP(-LN(2)/2))/(LN(2)/2)*GH203*GK203*VLOOKUP('Données projet'!$B$17,Paramètres!$A$1:$I$88,3,0)*0.475*44/12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69.750871586765882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projet'!$B$18,Paramètres!$A$1:$I$88,3,0)*0.475*44/12</f>
        <v>#N/A</v>
      </c>
      <c r="HH203" s="23" t="e">
        <f>EXP(-LN(2)/25)*HH202+(1-EXP(-LN(2)/25))/(LN(2)/25)*Calculateur!HC203*Calculateur!HE203*VLOOKUP('Données projet'!$B$18,Paramètres!$A$1:$I$88,3,0)*0.475*44/12</f>
        <v>#N/A</v>
      </c>
      <c r="HI203" s="23" t="e">
        <f>EXP(-LN(2)/2)*HI202+(1-EXP(-LN(2)/2))/(LN(2)/2)*HC203*HF203*VLOOKUP('Données projet'!$B$18,Paramètres!$A$1:$I$88,3,0)*0.475*44/12</f>
        <v>#N/A</v>
      </c>
      <c r="HJ203" s="24" t="e">
        <f t="shared" si="190"/>
        <v>#N/A</v>
      </c>
    </row>
    <row r="204" spans="1:218" ht="17" thickBot="1" x14ac:dyDescent="0.2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298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298</v>
      </c>
      <c r="BA204" s="87" t="s">
        <v>298</v>
      </c>
      <c r="BV204" s="87" t="s">
        <v>298</v>
      </c>
      <c r="CQ204" s="87" t="s">
        <v>298</v>
      </c>
      <c r="DL204" s="87" t="s">
        <v>298</v>
      </c>
      <c r="EG204" s="87" t="s">
        <v>298</v>
      </c>
      <c r="FB204" s="87" t="s">
        <v>298</v>
      </c>
      <c r="FW204" s="87" t="s">
        <v>298</v>
      </c>
      <c r="GR204" s="87" t="s">
        <v>298</v>
      </c>
    </row>
    <row r="205" spans="1:218" ht="16" thickBot="1" x14ac:dyDescent="0.2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1.3826300153206645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1.3425749491041623</v>
      </c>
      <c r="BA205" s="88">
        <f>EXP(LN('Données projet'!B88)/'Données projet'!A88)</f>
        <v>1.2054868146447177</v>
      </c>
      <c r="BV205" s="88">
        <f>EXP(LN('Données projet'!B114)/'Données projet'!A114)</f>
        <v>1.2709816152101407</v>
      </c>
      <c r="CQ205" s="88">
        <f>EXP(LN('Données projet'!B140)/'Données projet'!A140)</f>
        <v>1.2709816152101407</v>
      </c>
      <c r="DL205" s="88">
        <f>EXP(LN('Données projet'!B166)/'Données projet'!A166)</f>
        <v>1.4309690811052556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PAD3Petg27uLkBWNLkoCstus9QK4UFEFQKVgtUE5W3qYiwGMPSQIqKa+UwvEW3Uii34BwtIor110/xmaHWjp+w==" saltValue="GHb6zcSGUkNQybd2GuQjbQ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4"/>
  <sheetViews>
    <sheetView topLeftCell="A22" workbookViewId="0">
      <selection activeCell="D23" sqref="D23"/>
    </sheetView>
  </sheetViews>
  <sheetFormatPr baseColWidth="10" defaultColWidth="11.5" defaultRowHeight="15" x14ac:dyDescent="0.2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 x14ac:dyDescent="0.25">
      <c r="A1" s="121" t="s">
        <v>0</v>
      </c>
      <c r="B1" s="122" t="s">
        <v>106</v>
      </c>
      <c r="C1" s="123" t="s">
        <v>144</v>
      </c>
      <c r="D1" s="122" t="s">
        <v>100</v>
      </c>
      <c r="E1" s="123" t="s">
        <v>145</v>
      </c>
      <c r="F1" s="123" t="s">
        <v>100</v>
      </c>
      <c r="G1" s="123" t="s">
        <v>146</v>
      </c>
      <c r="H1" s="123" t="s">
        <v>100</v>
      </c>
      <c r="I1" s="124" t="s">
        <v>147</v>
      </c>
      <c r="J1" s="101"/>
      <c r="K1" s="101"/>
      <c r="L1" s="101"/>
      <c r="M1" s="101"/>
      <c r="N1" s="101"/>
    </row>
    <row r="2" spans="1:16" x14ac:dyDescent="0.2">
      <c r="A2" s="125" t="s">
        <v>1</v>
      </c>
      <c r="B2" s="126" t="s">
        <v>53</v>
      </c>
      <c r="C2" s="127">
        <v>0.62</v>
      </c>
      <c r="D2" s="127" t="s">
        <v>161</v>
      </c>
      <c r="E2" s="127">
        <v>1.56</v>
      </c>
      <c r="F2" s="127" t="s">
        <v>275</v>
      </c>
      <c r="G2" s="128">
        <v>0.43</v>
      </c>
      <c r="H2" s="129" t="s">
        <v>279</v>
      </c>
      <c r="I2" s="130">
        <v>0.25</v>
      </c>
      <c r="J2" s="101"/>
      <c r="K2" s="101"/>
      <c r="L2" s="101"/>
      <c r="M2" s="101"/>
      <c r="N2" s="101"/>
      <c r="O2" s="295" t="s">
        <v>238</v>
      </c>
      <c r="P2" s="131">
        <v>0</v>
      </c>
    </row>
    <row r="3" spans="1:16" ht="16" thickBot="1" x14ac:dyDescent="0.25">
      <c r="A3" s="132" t="s">
        <v>2</v>
      </c>
      <c r="B3" s="133" t="s">
        <v>54</v>
      </c>
      <c r="C3" s="134">
        <v>0.64</v>
      </c>
      <c r="D3" s="134" t="s">
        <v>161</v>
      </c>
      <c r="E3" s="134">
        <v>1.56</v>
      </c>
      <c r="F3" s="135" t="s">
        <v>275</v>
      </c>
      <c r="G3" s="136">
        <v>0.43</v>
      </c>
      <c r="H3" s="134" t="s">
        <v>279</v>
      </c>
      <c r="I3" s="137">
        <v>0.25</v>
      </c>
      <c r="J3" s="101"/>
      <c r="K3" s="101"/>
      <c r="L3" s="101"/>
      <c r="M3" s="101"/>
      <c r="N3" s="101"/>
      <c r="O3" s="296"/>
      <c r="P3" s="138">
        <v>0.2</v>
      </c>
    </row>
    <row r="4" spans="1:16" ht="16" thickBot="1" x14ac:dyDescent="0.25">
      <c r="A4" s="132" t="s">
        <v>98</v>
      </c>
      <c r="B4" s="133" t="s">
        <v>99</v>
      </c>
      <c r="C4" s="134">
        <v>0.42</v>
      </c>
      <c r="D4" s="134" t="s">
        <v>161</v>
      </c>
      <c r="E4" s="134">
        <v>1.56</v>
      </c>
      <c r="F4" s="135" t="s">
        <v>275</v>
      </c>
      <c r="G4" s="136">
        <v>0.43</v>
      </c>
      <c r="H4" s="134" t="s">
        <v>279</v>
      </c>
      <c r="I4" s="137">
        <v>0.25</v>
      </c>
      <c r="J4" s="101"/>
      <c r="K4" s="101"/>
      <c r="L4" s="101"/>
      <c r="M4" s="101"/>
      <c r="N4" s="101"/>
    </row>
    <row r="5" spans="1:16" x14ac:dyDescent="0.2">
      <c r="A5" s="132" t="s">
        <v>4</v>
      </c>
      <c r="B5" s="133" t="s">
        <v>55</v>
      </c>
      <c r="C5" s="134">
        <v>0.42</v>
      </c>
      <c r="D5" s="134" t="s">
        <v>161</v>
      </c>
      <c r="E5" s="134">
        <v>1.56</v>
      </c>
      <c r="F5" s="135" t="s">
        <v>275</v>
      </c>
      <c r="G5" s="136">
        <v>0.43</v>
      </c>
      <c r="H5" s="134" t="s">
        <v>279</v>
      </c>
      <c r="I5" s="137">
        <v>0.25</v>
      </c>
      <c r="J5" s="101"/>
      <c r="K5" s="101"/>
      <c r="L5" s="101"/>
      <c r="M5" s="101"/>
      <c r="N5" s="101"/>
      <c r="O5" s="295" t="s">
        <v>237</v>
      </c>
      <c r="P5" s="131">
        <v>0</v>
      </c>
    </row>
    <row r="6" spans="1:16" x14ac:dyDescent="0.2">
      <c r="A6" s="132" t="s">
        <v>3</v>
      </c>
      <c r="B6" s="133" t="s">
        <v>97</v>
      </c>
      <c r="C6" s="134">
        <v>0.42</v>
      </c>
      <c r="D6" s="134" t="s">
        <v>161</v>
      </c>
      <c r="E6" s="134">
        <v>1.56</v>
      </c>
      <c r="F6" s="135" t="s">
        <v>275</v>
      </c>
      <c r="G6" s="136">
        <v>0.43</v>
      </c>
      <c r="H6" s="134" t="s">
        <v>279</v>
      </c>
      <c r="I6" s="137">
        <v>0.25</v>
      </c>
      <c r="J6" s="101"/>
      <c r="K6" s="101"/>
      <c r="L6" s="101"/>
      <c r="M6" s="101"/>
      <c r="N6" s="101"/>
      <c r="O6" s="297"/>
      <c r="P6" s="139">
        <v>0.05</v>
      </c>
    </row>
    <row r="7" spans="1:16" x14ac:dyDescent="0.2">
      <c r="A7" s="132" t="s">
        <v>5</v>
      </c>
      <c r="B7" s="133" t="s">
        <v>56</v>
      </c>
      <c r="C7" s="134">
        <v>0.52</v>
      </c>
      <c r="D7" s="134" t="s">
        <v>161</v>
      </c>
      <c r="E7" s="134">
        <v>1.56</v>
      </c>
      <c r="F7" s="135" t="s">
        <v>275</v>
      </c>
      <c r="G7" s="136">
        <v>0.43</v>
      </c>
      <c r="H7" s="134" t="s">
        <v>279</v>
      </c>
      <c r="I7" s="137">
        <v>0.25</v>
      </c>
      <c r="J7" s="101"/>
      <c r="K7" s="101"/>
      <c r="L7" s="101"/>
      <c r="M7" s="101"/>
      <c r="N7" s="101"/>
      <c r="O7" s="297"/>
      <c r="P7" s="139">
        <v>0.1</v>
      </c>
    </row>
    <row r="8" spans="1:16" ht="16" thickBot="1" x14ac:dyDescent="0.25">
      <c r="A8" s="132" t="s">
        <v>164</v>
      </c>
      <c r="B8" s="133" t="s">
        <v>57</v>
      </c>
      <c r="C8" s="134">
        <v>0.36</v>
      </c>
      <c r="D8" s="134" t="s">
        <v>161</v>
      </c>
      <c r="E8" s="134">
        <v>1.3</v>
      </c>
      <c r="F8" s="135" t="s">
        <v>275</v>
      </c>
      <c r="G8" s="136">
        <v>0.55000000000000004</v>
      </c>
      <c r="H8" s="134" t="s">
        <v>153</v>
      </c>
      <c r="I8" s="137">
        <v>0.43</v>
      </c>
      <c r="J8" s="101"/>
      <c r="K8" s="101"/>
      <c r="L8" s="101"/>
      <c r="M8" s="101"/>
      <c r="N8" s="101"/>
      <c r="O8" s="296"/>
      <c r="P8" s="138">
        <v>0.15</v>
      </c>
    </row>
    <row r="9" spans="1:16" ht="16" thickBot="1" x14ac:dyDescent="0.25">
      <c r="A9" s="132" t="s">
        <v>6</v>
      </c>
      <c r="B9" s="133" t="s">
        <v>58</v>
      </c>
      <c r="C9" s="134">
        <v>0.61</v>
      </c>
      <c r="D9" s="134" t="s">
        <v>161</v>
      </c>
      <c r="E9" s="134">
        <v>1.56</v>
      </c>
      <c r="F9" s="135" t="s">
        <v>275</v>
      </c>
      <c r="G9" s="136">
        <v>0.43</v>
      </c>
      <c r="H9" s="134" t="s">
        <v>279</v>
      </c>
      <c r="I9" s="137">
        <v>0.25</v>
      </c>
      <c r="J9" s="101"/>
      <c r="K9" s="101"/>
      <c r="L9" s="101"/>
      <c r="M9" s="101"/>
      <c r="N9" s="101"/>
    </row>
    <row r="10" spans="1:16" x14ac:dyDescent="0.2">
      <c r="A10" s="132" t="s">
        <v>7</v>
      </c>
      <c r="B10" s="133" t="s">
        <v>59</v>
      </c>
      <c r="C10" s="134">
        <v>0.66</v>
      </c>
      <c r="D10" s="134" t="s">
        <v>161</v>
      </c>
      <c r="E10" s="134">
        <v>1.56</v>
      </c>
      <c r="F10" s="135" t="s">
        <v>275</v>
      </c>
      <c r="G10" s="136">
        <v>0.43</v>
      </c>
      <c r="H10" s="134" t="s">
        <v>279</v>
      </c>
      <c r="I10" s="137">
        <v>0.25</v>
      </c>
      <c r="J10" s="101"/>
      <c r="K10" s="101"/>
      <c r="L10" s="101"/>
      <c r="M10" s="101"/>
      <c r="N10" s="101"/>
      <c r="O10" s="295" t="s">
        <v>236</v>
      </c>
      <c r="P10" s="131">
        <v>0</v>
      </c>
    </row>
    <row r="11" spans="1:16" ht="16" thickBot="1" x14ac:dyDescent="0.25">
      <c r="A11" s="132" t="s">
        <v>8</v>
      </c>
      <c r="B11" s="133" t="s">
        <v>60</v>
      </c>
      <c r="C11" s="134">
        <v>0.47</v>
      </c>
      <c r="D11" s="134" t="s">
        <v>161</v>
      </c>
      <c r="E11" s="134">
        <v>1.56</v>
      </c>
      <c r="F11" s="135" t="s">
        <v>275</v>
      </c>
      <c r="G11" s="136">
        <v>0.43</v>
      </c>
      <c r="H11" s="134" t="s">
        <v>279</v>
      </c>
      <c r="I11" s="137">
        <v>0.25</v>
      </c>
      <c r="J11" s="101"/>
      <c r="K11" s="101"/>
      <c r="L11" s="101"/>
      <c r="M11" s="101"/>
      <c r="N11" s="101"/>
      <c r="O11" s="296"/>
      <c r="P11" s="138">
        <v>0.1</v>
      </c>
    </row>
    <row r="12" spans="1:16" x14ac:dyDescent="0.2">
      <c r="A12" s="132" t="s">
        <v>9</v>
      </c>
      <c r="B12" s="133" t="s">
        <v>61</v>
      </c>
      <c r="C12" s="134">
        <v>0.67</v>
      </c>
      <c r="D12" s="134" t="s">
        <v>161</v>
      </c>
      <c r="E12" s="134">
        <v>1.56</v>
      </c>
      <c r="F12" s="135" t="s">
        <v>275</v>
      </c>
      <c r="G12" s="136">
        <v>0.43</v>
      </c>
      <c r="H12" s="134" t="s">
        <v>152</v>
      </c>
      <c r="I12" s="137">
        <v>0.25</v>
      </c>
      <c r="J12" s="101"/>
      <c r="K12" s="101"/>
      <c r="L12" s="101"/>
      <c r="M12" s="101"/>
      <c r="N12" s="101"/>
    </row>
    <row r="13" spans="1:16" x14ac:dyDescent="0.2">
      <c r="A13" s="132" t="s">
        <v>10</v>
      </c>
      <c r="B13" s="133" t="s">
        <v>62</v>
      </c>
      <c r="C13" s="134">
        <v>0.7</v>
      </c>
      <c r="D13" s="134" t="s">
        <v>161</v>
      </c>
      <c r="E13" s="134">
        <v>1.56</v>
      </c>
      <c r="F13" s="135" t="s">
        <v>275</v>
      </c>
      <c r="G13" s="136">
        <v>0.43</v>
      </c>
      <c r="H13" s="134" t="s">
        <v>152</v>
      </c>
      <c r="I13" s="137">
        <v>0.25</v>
      </c>
      <c r="J13" s="101"/>
      <c r="K13" s="101"/>
      <c r="L13" s="101"/>
      <c r="M13" s="101"/>
      <c r="N13" s="101"/>
    </row>
    <row r="14" spans="1:16" x14ac:dyDescent="0.2">
      <c r="A14" s="132" t="s">
        <v>11</v>
      </c>
      <c r="B14" s="133" t="s">
        <v>63</v>
      </c>
      <c r="C14" s="134">
        <v>0.54</v>
      </c>
      <c r="D14" s="134" t="s">
        <v>161</v>
      </c>
      <c r="E14" s="134">
        <v>1.56</v>
      </c>
      <c r="F14" s="135" t="s">
        <v>275</v>
      </c>
      <c r="G14" s="136">
        <v>0.43</v>
      </c>
      <c r="H14" s="134" t="s">
        <v>152</v>
      </c>
      <c r="I14" s="137">
        <v>0.25</v>
      </c>
      <c r="J14" s="101"/>
      <c r="K14" s="101"/>
      <c r="L14" s="101"/>
      <c r="M14" s="101"/>
      <c r="N14" s="101"/>
    </row>
    <row r="15" spans="1:16" x14ac:dyDescent="0.2">
      <c r="A15" s="132" t="s">
        <v>12</v>
      </c>
      <c r="B15" s="133" t="s">
        <v>64</v>
      </c>
      <c r="C15" s="134">
        <v>0.65</v>
      </c>
      <c r="D15" s="134" t="s">
        <v>161</v>
      </c>
      <c r="E15" s="134">
        <v>1.56</v>
      </c>
      <c r="F15" s="135" t="s">
        <v>275</v>
      </c>
      <c r="G15" s="136">
        <v>0.43</v>
      </c>
      <c r="H15" s="134" t="s">
        <v>152</v>
      </c>
      <c r="I15" s="137">
        <v>0.25</v>
      </c>
      <c r="J15" s="101"/>
      <c r="K15" s="101"/>
      <c r="L15" s="101"/>
      <c r="M15" s="101"/>
      <c r="N15" s="101"/>
    </row>
    <row r="16" spans="1:16" x14ac:dyDescent="0.2">
      <c r="A16" s="132" t="s">
        <v>13</v>
      </c>
      <c r="B16" s="133" t="s">
        <v>65</v>
      </c>
      <c r="C16" s="134">
        <v>0.56000000000000005</v>
      </c>
      <c r="D16" s="134" t="s">
        <v>161</v>
      </c>
      <c r="E16" s="134">
        <v>1.56</v>
      </c>
      <c r="F16" s="135" t="s">
        <v>275</v>
      </c>
      <c r="G16" s="136">
        <v>0.43</v>
      </c>
      <c r="H16" s="134" t="s">
        <v>152</v>
      </c>
      <c r="I16" s="137">
        <v>0.25</v>
      </c>
      <c r="J16" s="101"/>
      <c r="K16" s="101"/>
      <c r="L16" s="101"/>
      <c r="M16" s="101"/>
      <c r="N16" s="101"/>
    </row>
    <row r="17" spans="1:14" x14ac:dyDescent="0.2">
      <c r="A17" s="132" t="s">
        <v>14</v>
      </c>
      <c r="B17" s="133" t="s">
        <v>66</v>
      </c>
      <c r="C17" s="134">
        <v>0.57999999999999996</v>
      </c>
      <c r="D17" s="134" t="s">
        <v>161</v>
      </c>
      <c r="E17" s="134">
        <v>1.56</v>
      </c>
      <c r="F17" s="135" t="s">
        <v>275</v>
      </c>
      <c r="G17" s="136">
        <v>0.43</v>
      </c>
      <c r="H17" s="134" t="s">
        <v>152</v>
      </c>
      <c r="I17" s="137">
        <v>0.25</v>
      </c>
      <c r="J17" s="101"/>
      <c r="K17" s="101"/>
      <c r="L17" s="101"/>
      <c r="M17" s="101"/>
      <c r="N17" s="101"/>
    </row>
    <row r="18" spans="1:14" x14ac:dyDescent="0.2">
      <c r="A18" s="132" t="s">
        <v>15</v>
      </c>
      <c r="B18" s="133" t="s">
        <v>67</v>
      </c>
      <c r="C18" s="134">
        <v>0.64</v>
      </c>
      <c r="D18" s="134" t="s">
        <v>161</v>
      </c>
      <c r="E18" s="134">
        <v>1.56</v>
      </c>
      <c r="F18" s="135" t="s">
        <v>275</v>
      </c>
      <c r="G18" s="136">
        <v>0.43</v>
      </c>
      <c r="H18" s="134" t="s">
        <v>152</v>
      </c>
      <c r="I18" s="137">
        <v>0.25</v>
      </c>
      <c r="J18" s="101"/>
      <c r="K18" s="101"/>
      <c r="L18" s="101"/>
      <c r="M18" s="101"/>
      <c r="N18" s="101"/>
    </row>
    <row r="19" spans="1:14" x14ac:dyDescent="0.2">
      <c r="A19" s="132" t="s">
        <v>16</v>
      </c>
      <c r="B19" s="133" t="s">
        <v>68</v>
      </c>
      <c r="C19" s="134">
        <v>0.73</v>
      </c>
      <c r="D19" s="134" t="s">
        <v>161</v>
      </c>
      <c r="E19" s="134">
        <v>1.56</v>
      </c>
      <c r="F19" s="135" t="s">
        <v>275</v>
      </c>
      <c r="G19" s="136">
        <v>0.43</v>
      </c>
      <c r="H19" s="134" t="s">
        <v>152</v>
      </c>
      <c r="I19" s="137">
        <v>0.25</v>
      </c>
      <c r="J19" s="101"/>
      <c r="K19" s="101"/>
      <c r="L19" s="101"/>
      <c r="M19" s="101"/>
      <c r="N19" s="101"/>
    </row>
    <row r="20" spans="1:14" x14ac:dyDescent="0.2">
      <c r="A20" s="132" t="s">
        <v>52</v>
      </c>
      <c r="B20" s="133" t="s">
        <v>69</v>
      </c>
      <c r="C20" s="134">
        <v>0.69</v>
      </c>
      <c r="D20" s="134" t="s">
        <v>131</v>
      </c>
      <c r="E20" s="134">
        <v>1.56</v>
      </c>
      <c r="F20" s="135" t="s">
        <v>275</v>
      </c>
      <c r="G20" s="136">
        <v>0.43</v>
      </c>
      <c r="H20" s="134" t="s">
        <v>283</v>
      </c>
      <c r="I20" s="137">
        <v>0.25</v>
      </c>
      <c r="J20" s="101"/>
      <c r="K20" s="101"/>
      <c r="L20" s="101"/>
      <c r="M20" s="101"/>
      <c r="N20" s="101"/>
    </row>
    <row r="21" spans="1:14" x14ac:dyDescent="0.2">
      <c r="A21" s="132" t="s">
        <v>154</v>
      </c>
      <c r="B21" s="133" t="s">
        <v>155</v>
      </c>
      <c r="C21" s="134">
        <v>0.36</v>
      </c>
      <c r="D21" s="134" t="s">
        <v>161</v>
      </c>
      <c r="E21" s="134">
        <v>1.3</v>
      </c>
      <c r="F21" s="135" t="s">
        <v>275</v>
      </c>
      <c r="G21" s="136">
        <v>0.55000000000000004</v>
      </c>
      <c r="H21" s="134" t="s">
        <v>153</v>
      </c>
      <c r="I21" s="137">
        <v>0.43</v>
      </c>
      <c r="J21" s="101"/>
      <c r="K21" s="101"/>
      <c r="L21" s="101"/>
      <c r="M21" s="101"/>
      <c r="N21" s="101"/>
    </row>
    <row r="22" spans="1:14" x14ac:dyDescent="0.2">
      <c r="A22" s="132" t="s">
        <v>17</v>
      </c>
      <c r="B22" s="133" t="s">
        <v>70</v>
      </c>
      <c r="C22" s="134">
        <v>0.4</v>
      </c>
      <c r="D22" s="134" t="s">
        <v>161</v>
      </c>
      <c r="E22" s="134">
        <v>1.3</v>
      </c>
      <c r="F22" s="135" t="s">
        <v>275</v>
      </c>
      <c r="G22" s="136">
        <v>0.55000000000000004</v>
      </c>
      <c r="H22" s="134" t="s">
        <v>153</v>
      </c>
      <c r="I22" s="137">
        <v>0.43</v>
      </c>
      <c r="J22" s="101"/>
      <c r="K22" s="101"/>
      <c r="L22" s="101"/>
      <c r="M22" s="101"/>
      <c r="N22" s="101"/>
    </row>
    <row r="23" spans="1:14" x14ac:dyDescent="0.2">
      <c r="A23" s="132" t="s">
        <v>18</v>
      </c>
      <c r="B23" s="133" t="s">
        <v>71</v>
      </c>
      <c r="C23" s="134">
        <v>0.43</v>
      </c>
      <c r="D23" s="134" t="s">
        <v>161</v>
      </c>
      <c r="E23" s="134">
        <v>1.3</v>
      </c>
      <c r="F23" s="135" t="s">
        <v>275</v>
      </c>
      <c r="G23" s="136">
        <v>0.55000000000000004</v>
      </c>
      <c r="H23" s="134" t="s">
        <v>153</v>
      </c>
      <c r="I23" s="137">
        <v>0.43</v>
      </c>
      <c r="J23" s="101"/>
      <c r="K23" s="101"/>
      <c r="L23" s="101"/>
      <c r="M23" s="101"/>
      <c r="N23" s="101"/>
    </row>
    <row r="24" spans="1:14" x14ac:dyDescent="0.2">
      <c r="A24" s="132" t="s">
        <v>19</v>
      </c>
      <c r="B24" s="133" t="s">
        <v>72</v>
      </c>
      <c r="C24" s="134">
        <v>0.37</v>
      </c>
      <c r="D24" s="134" t="s">
        <v>161</v>
      </c>
      <c r="E24" s="134">
        <v>1.3</v>
      </c>
      <c r="F24" s="135" t="s">
        <v>275</v>
      </c>
      <c r="G24" s="136">
        <v>0.55000000000000004</v>
      </c>
      <c r="H24" s="134" t="s">
        <v>152</v>
      </c>
      <c r="I24" s="137">
        <v>0.43</v>
      </c>
      <c r="J24" s="101"/>
      <c r="K24" s="101"/>
      <c r="L24" s="101"/>
      <c r="M24" s="101"/>
      <c r="N24" s="101"/>
    </row>
    <row r="25" spans="1:14" x14ac:dyDescent="0.2">
      <c r="A25" s="132" t="s">
        <v>20</v>
      </c>
      <c r="B25" s="133" t="s">
        <v>73</v>
      </c>
      <c r="C25" s="134">
        <v>0.36</v>
      </c>
      <c r="D25" s="134" t="s">
        <v>161</v>
      </c>
      <c r="E25" s="134">
        <v>1.3</v>
      </c>
      <c r="F25" s="135" t="s">
        <v>275</v>
      </c>
      <c r="G25" s="136">
        <v>0.55000000000000004</v>
      </c>
      <c r="H25" s="134" t="s">
        <v>152</v>
      </c>
      <c r="I25" s="137">
        <v>0.43</v>
      </c>
      <c r="J25" s="101"/>
      <c r="K25" s="101"/>
      <c r="L25" s="101"/>
      <c r="M25" s="101"/>
      <c r="N25" s="101"/>
    </row>
    <row r="26" spans="1:14" x14ac:dyDescent="0.2">
      <c r="A26" s="132" t="s">
        <v>21</v>
      </c>
      <c r="B26" s="133" t="s">
        <v>74</v>
      </c>
      <c r="C26" s="134">
        <v>0.56000000000000005</v>
      </c>
      <c r="D26" s="134" t="s">
        <v>161</v>
      </c>
      <c r="E26" s="134">
        <v>1.56</v>
      </c>
      <c r="F26" s="135" t="s">
        <v>275</v>
      </c>
      <c r="G26" s="136">
        <v>0.53</v>
      </c>
      <c r="H26" s="134" t="s">
        <v>276</v>
      </c>
      <c r="I26" s="137">
        <v>0.25</v>
      </c>
      <c r="J26" s="101"/>
      <c r="K26" s="101"/>
      <c r="L26" s="101"/>
      <c r="M26" s="101"/>
      <c r="N26" s="101"/>
    </row>
    <row r="27" spans="1:14" x14ac:dyDescent="0.2">
      <c r="A27" s="132" t="s">
        <v>22</v>
      </c>
      <c r="B27" s="133" t="s">
        <v>75</v>
      </c>
      <c r="C27" s="134">
        <v>0.51</v>
      </c>
      <c r="D27" s="134" t="s">
        <v>161</v>
      </c>
      <c r="E27" s="134">
        <v>1.56</v>
      </c>
      <c r="F27" s="135" t="s">
        <v>275</v>
      </c>
      <c r="G27" s="136">
        <v>0.53</v>
      </c>
      <c r="H27" s="134" t="s">
        <v>276</v>
      </c>
      <c r="I27" s="137">
        <v>0.25</v>
      </c>
      <c r="J27" s="101"/>
      <c r="K27" s="101"/>
      <c r="L27" s="101"/>
      <c r="M27" s="101"/>
      <c r="N27" s="101"/>
    </row>
    <row r="28" spans="1:14" x14ac:dyDescent="0.2">
      <c r="A28" s="132" t="s">
        <v>23</v>
      </c>
      <c r="B28" s="133" t="s">
        <v>76</v>
      </c>
      <c r="C28" s="134">
        <v>0.51</v>
      </c>
      <c r="D28" s="134" t="s">
        <v>161</v>
      </c>
      <c r="E28" s="134">
        <v>1.56</v>
      </c>
      <c r="F28" s="135" t="s">
        <v>275</v>
      </c>
      <c r="G28" s="136">
        <v>0.53</v>
      </c>
      <c r="H28" s="134" t="s">
        <v>276</v>
      </c>
      <c r="I28" s="137">
        <v>0.25</v>
      </c>
      <c r="J28" s="101"/>
      <c r="K28" s="101"/>
      <c r="L28" s="101"/>
      <c r="M28" s="101"/>
      <c r="N28" s="101"/>
    </row>
    <row r="29" spans="1:14" x14ac:dyDescent="0.2">
      <c r="A29" s="132" t="s">
        <v>24</v>
      </c>
      <c r="B29" s="133" t="s">
        <v>24</v>
      </c>
      <c r="C29" s="134">
        <v>0.56000000000000005</v>
      </c>
      <c r="D29" s="134" t="s">
        <v>161</v>
      </c>
      <c r="E29" s="134">
        <v>1.56</v>
      </c>
      <c r="F29" s="135" t="s">
        <v>275</v>
      </c>
      <c r="G29" s="136">
        <v>0.53</v>
      </c>
      <c r="H29" s="134" t="s">
        <v>276</v>
      </c>
      <c r="I29" s="137">
        <v>0.25</v>
      </c>
      <c r="J29" s="101"/>
      <c r="K29" s="101"/>
      <c r="L29" s="101"/>
      <c r="M29" s="101"/>
      <c r="N29" s="101"/>
    </row>
    <row r="30" spans="1:14" x14ac:dyDescent="0.2">
      <c r="A30" s="132" t="s">
        <v>25</v>
      </c>
      <c r="B30" s="133" t="s">
        <v>77</v>
      </c>
      <c r="C30" s="134">
        <v>0.55000000000000004</v>
      </c>
      <c r="D30" s="134" t="s">
        <v>161</v>
      </c>
      <c r="E30" s="134">
        <v>1.56</v>
      </c>
      <c r="F30" s="135" t="s">
        <v>275</v>
      </c>
      <c r="G30" s="136">
        <v>0.53</v>
      </c>
      <c r="H30" s="134" t="s">
        <v>152</v>
      </c>
      <c r="I30" s="137">
        <v>0.25</v>
      </c>
      <c r="J30" s="101"/>
      <c r="K30" s="101"/>
      <c r="L30" s="101"/>
      <c r="M30" s="101"/>
      <c r="N30" s="101"/>
    </row>
    <row r="31" spans="1:14" x14ac:dyDescent="0.2">
      <c r="A31" s="132" t="s">
        <v>26</v>
      </c>
      <c r="B31" s="133" t="s">
        <v>78</v>
      </c>
      <c r="C31" s="134">
        <v>0.56000000000000005</v>
      </c>
      <c r="D31" s="134" t="s">
        <v>161</v>
      </c>
      <c r="E31" s="134">
        <v>1.56</v>
      </c>
      <c r="F31" s="135" t="s">
        <v>275</v>
      </c>
      <c r="G31" s="136">
        <v>0.43</v>
      </c>
      <c r="H31" s="134" t="s">
        <v>279</v>
      </c>
      <c r="I31" s="137">
        <v>0.25</v>
      </c>
      <c r="J31" s="101"/>
      <c r="K31" s="101"/>
      <c r="L31" s="101"/>
      <c r="M31" s="101"/>
      <c r="N31" s="101"/>
    </row>
    <row r="32" spans="1:14" x14ac:dyDescent="0.2">
      <c r="A32" s="132" t="s">
        <v>27</v>
      </c>
      <c r="B32" s="133" t="s">
        <v>79</v>
      </c>
      <c r="C32" s="134">
        <v>0.48</v>
      </c>
      <c r="D32" s="134" t="s">
        <v>161</v>
      </c>
      <c r="E32" s="134">
        <v>1.3</v>
      </c>
      <c r="F32" s="135" t="s">
        <v>275</v>
      </c>
      <c r="G32" s="136">
        <v>0.6</v>
      </c>
      <c r="H32" s="134" t="s">
        <v>282</v>
      </c>
      <c r="I32" s="137">
        <v>0.43</v>
      </c>
      <c r="J32" s="101"/>
      <c r="K32" s="101"/>
      <c r="L32" s="101"/>
      <c r="M32" s="101"/>
      <c r="N32" s="101"/>
    </row>
    <row r="33" spans="1:14" x14ac:dyDescent="0.2">
      <c r="A33" s="132" t="s">
        <v>28</v>
      </c>
      <c r="B33" s="133" t="s">
        <v>80</v>
      </c>
      <c r="C33" s="134">
        <v>0.42</v>
      </c>
      <c r="D33" s="134" t="s">
        <v>161</v>
      </c>
      <c r="E33" s="134">
        <v>1.3</v>
      </c>
      <c r="F33" s="135" t="s">
        <v>275</v>
      </c>
      <c r="G33" s="136">
        <v>0.6</v>
      </c>
      <c r="H33" s="134" t="s">
        <v>282</v>
      </c>
      <c r="I33" s="137">
        <v>0.43</v>
      </c>
      <c r="J33" s="101"/>
      <c r="K33" s="101"/>
      <c r="L33" s="101"/>
      <c r="M33" s="101"/>
      <c r="N33" s="101"/>
    </row>
    <row r="34" spans="1:14" x14ac:dyDescent="0.2">
      <c r="A34" s="132" t="s">
        <v>81</v>
      </c>
      <c r="B34" s="133" t="s">
        <v>163</v>
      </c>
      <c r="C34" s="134">
        <v>0.42</v>
      </c>
      <c r="D34" s="134" t="s">
        <v>103</v>
      </c>
      <c r="E34" s="134">
        <v>1.3</v>
      </c>
      <c r="F34" s="135" t="s">
        <v>275</v>
      </c>
      <c r="G34" s="136">
        <v>0.6</v>
      </c>
      <c r="H34" s="133" t="s">
        <v>281</v>
      </c>
      <c r="I34" s="137">
        <v>0.43</v>
      </c>
      <c r="J34" s="101"/>
      <c r="K34" s="101"/>
      <c r="L34" s="101"/>
      <c r="M34" s="101"/>
      <c r="N34" s="101"/>
    </row>
    <row r="35" spans="1:14" x14ac:dyDescent="0.2">
      <c r="A35" s="132" t="s">
        <v>29</v>
      </c>
      <c r="B35" s="133" t="s">
        <v>82</v>
      </c>
      <c r="C35" s="134">
        <v>0.5</v>
      </c>
      <c r="D35" s="134" t="s">
        <v>161</v>
      </c>
      <c r="E35" s="134">
        <v>1.56</v>
      </c>
      <c r="F35" s="135" t="s">
        <v>275</v>
      </c>
      <c r="G35" s="136">
        <v>0.43</v>
      </c>
      <c r="H35" s="134" t="s">
        <v>279</v>
      </c>
      <c r="I35" s="137">
        <v>0.25</v>
      </c>
      <c r="J35" s="101"/>
      <c r="K35" s="101"/>
      <c r="L35" s="101"/>
      <c r="M35" s="101"/>
      <c r="N35" s="101"/>
    </row>
    <row r="36" spans="1:14" x14ac:dyDescent="0.2">
      <c r="A36" s="132" t="s">
        <v>102</v>
      </c>
      <c r="B36" s="133" t="s">
        <v>101</v>
      </c>
      <c r="C36" s="134">
        <v>0.55000000000000004</v>
      </c>
      <c r="D36" s="134" t="s">
        <v>161</v>
      </c>
      <c r="E36" s="134">
        <v>1.56</v>
      </c>
      <c r="F36" s="135" t="s">
        <v>275</v>
      </c>
      <c r="G36" s="136">
        <v>0.53</v>
      </c>
      <c r="H36" s="134" t="s">
        <v>276</v>
      </c>
      <c r="I36" s="137">
        <v>0.25</v>
      </c>
      <c r="J36" s="101"/>
      <c r="K36" s="101"/>
      <c r="L36" s="101"/>
      <c r="M36" s="101"/>
      <c r="N36" s="101"/>
    </row>
    <row r="37" spans="1:14" x14ac:dyDescent="0.2">
      <c r="A37" s="132" t="s">
        <v>30</v>
      </c>
      <c r="B37" s="133" t="s">
        <v>104</v>
      </c>
      <c r="C37" s="134">
        <v>0.52</v>
      </c>
      <c r="D37" s="134" t="s">
        <v>161</v>
      </c>
      <c r="E37" s="134">
        <v>1.56</v>
      </c>
      <c r="F37" s="135" t="s">
        <v>275</v>
      </c>
      <c r="G37" s="136">
        <v>0.53</v>
      </c>
      <c r="H37" s="134" t="s">
        <v>276</v>
      </c>
      <c r="I37" s="137">
        <v>0.25</v>
      </c>
      <c r="J37" s="101"/>
      <c r="K37" s="101"/>
      <c r="L37" s="101"/>
      <c r="M37" s="101"/>
      <c r="N37" s="101"/>
    </row>
    <row r="38" spans="1:14" x14ac:dyDescent="0.2">
      <c r="A38" s="132" t="s">
        <v>31</v>
      </c>
      <c r="B38" s="133" t="s">
        <v>105</v>
      </c>
      <c r="C38" s="134">
        <v>0.52</v>
      </c>
      <c r="D38" s="134" t="s">
        <v>161</v>
      </c>
      <c r="E38" s="134">
        <v>1.56</v>
      </c>
      <c r="F38" s="135" t="s">
        <v>275</v>
      </c>
      <c r="G38" s="136">
        <v>0.43</v>
      </c>
      <c r="H38" s="134" t="s">
        <v>279</v>
      </c>
      <c r="I38" s="137">
        <v>0.25</v>
      </c>
      <c r="J38" s="101"/>
      <c r="K38" s="101"/>
      <c r="L38" s="101"/>
      <c r="M38" s="101"/>
      <c r="N38" s="101"/>
    </row>
    <row r="39" spans="1:14" x14ac:dyDescent="0.2">
      <c r="A39" s="132" t="s">
        <v>107</v>
      </c>
      <c r="B39" s="133" t="s">
        <v>132</v>
      </c>
      <c r="C39" s="134">
        <v>0.313</v>
      </c>
      <c r="D39" s="134" t="s">
        <v>130</v>
      </c>
      <c r="E39" s="134">
        <v>1.56</v>
      </c>
      <c r="F39" s="135" t="s">
        <v>275</v>
      </c>
      <c r="G39" s="136">
        <v>0.6</v>
      </c>
      <c r="H39" s="134" t="s">
        <v>284</v>
      </c>
      <c r="I39" s="137">
        <v>1.03</v>
      </c>
      <c r="J39" s="101"/>
      <c r="K39" s="101"/>
      <c r="L39" s="101"/>
      <c r="M39" s="101"/>
      <c r="N39" s="101"/>
    </row>
    <row r="40" spans="1:14" x14ac:dyDescent="0.2">
      <c r="A40" s="132" t="s">
        <v>108</v>
      </c>
      <c r="B40" s="133" t="s">
        <v>132</v>
      </c>
      <c r="C40" s="134">
        <v>0.35199999999999998</v>
      </c>
      <c r="D40" s="134" t="s">
        <v>130</v>
      </c>
      <c r="E40" s="134">
        <v>1.56</v>
      </c>
      <c r="F40" s="135" t="s">
        <v>275</v>
      </c>
      <c r="G40" s="136">
        <v>0.6</v>
      </c>
      <c r="H40" s="134" t="s">
        <v>284</v>
      </c>
      <c r="I40" s="137">
        <v>1.03</v>
      </c>
      <c r="J40" s="101"/>
      <c r="K40" s="101"/>
      <c r="L40" s="101"/>
      <c r="M40" s="101"/>
      <c r="N40" s="101"/>
    </row>
    <row r="41" spans="1:14" x14ac:dyDescent="0.2">
      <c r="A41" s="132" t="s">
        <v>121</v>
      </c>
      <c r="B41" s="133" t="s">
        <v>132</v>
      </c>
      <c r="C41" s="134">
        <v>0.32200000000000001</v>
      </c>
      <c r="D41" s="134" t="s">
        <v>130</v>
      </c>
      <c r="E41" s="134">
        <v>1.56</v>
      </c>
      <c r="F41" s="135" t="s">
        <v>275</v>
      </c>
      <c r="G41" s="136">
        <v>0.6</v>
      </c>
      <c r="H41" s="134" t="s">
        <v>284</v>
      </c>
      <c r="I41" s="137">
        <v>1.03</v>
      </c>
      <c r="J41" s="101"/>
      <c r="K41" s="101"/>
      <c r="L41" s="101"/>
      <c r="M41" s="101"/>
      <c r="N41" s="101"/>
    </row>
    <row r="42" spans="1:14" x14ac:dyDescent="0.2">
      <c r="A42" s="132" t="s">
        <v>122</v>
      </c>
      <c r="B42" s="133" t="s">
        <v>132</v>
      </c>
      <c r="C42" s="134">
        <v>0.311</v>
      </c>
      <c r="D42" s="134" t="s">
        <v>130</v>
      </c>
      <c r="E42" s="134">
        <v>1.56</v>
      </c>
      <c r="F42" s="135" t="s">
        <v>275</v>
      </c>
      <c r="G42" s="136">
        <v>0.6</v>
      </c>
      <c r="H42" s="134" t="s">
        <v>284</v>
      </c>
      <c r="I42" s="137">
        <v>1.03</v>
      </c>
      <c r="J42" s="101"/>
      <c r="K42" s="101"/>
      <c r="L42" s="101"/>
      <c r="M42" s="101"/>
      <c r="N42" s="101"/>
    </row>
    <row r="43" spans="1:14" x14ac:dyDescent="0.2">
      <c r="A43" s="132" t="s">
        <v>109</v>
      </c>
      <c r="B43" s="133" t="s">
        <v>132</v>
      </c>
      <c r="C43" s="134">
        <v>0.33900000000000002</v>
      </c>
      <c r="D43" s="134" t="s">
        <v>130</v>
      </c>
      <c r="E43" s="134">
        <v>1.56</v>
      </c>
      <c r="F43" s="135" t="s">
        <v>275</v>
      </c>
      <c r="G43" s="136">
        <v>0.6</v>
      </c>
      <c r="H43" s="134" t="s">
        <v>284</v>
      </c>
      <c r="I43" s="137">
        <v>1.03</v>
      </c>
      <c r="J43" s="101"/>
      <c r="K43" s="101"/>
      <c r="L43" s="101"/>
      <c r="M43" s="101"/>
      <c r="N43" s="101"/>
    </row>
    <row r="44" spans="1:14" x14ac:dyDescent="0.2">
      <c r="A44" s="132" t="s">
        <v>123</v>
      </c>
      <c r="B44" s="133" t="s">
        <v>132</v>
      </c>
      <c r="C44" s="134">
        <v>0.33600000000000002</v>
      </c>
      <c r="D44" s="134" t="s">
        <v>130</v>
      </c>
      <c r="E44" s="134">
        <v>1.56</v>
      </c>
      <c r="F44" s="135" t="s">
        <v>275</v>
      </c>
      <c r="G44" s="136">
        <v>0.6</v>
      </c>
      <c r="H44" s="134" t="s">
        <v>284</v>
      </c>
      <c r="I44" s="137">
        <v>1.03</v>
      </c>
      <c r="J44" s="101"/>
      <c r="K44" s="101"/>
      <c r="L44" s="101"/>
      <c r="M44" s="101"/>
      <c r="N44" s="101"/>
    </row>
    <row r="45" spans="1:14" x14ac:dyDescent="0.2">
      <c r="A45" s="132" t="s">
        <v>110</v>
      </c>
      <c r="B45" s="133" t="s">
        <v>132</v>
      </c>
      <c r="C45" s="134">
        <v>0.32900000000000001</v>
      </c>
      <c r="D45" s="134" t="s">
        <v>130</v>
      </c>
      <c r="E45" s="134">
        <v>1.56</v>
      </c>
      <c r="F45" s="135" t="s">
        <v>275</v>
      </c>
      <c r="G45" s="136">
        <v>0.6</v>
      </c>
      <c r="H45" s="134" t="s">
        <v>284</v>
      </c>
      <c r="I45" s="137">
        <v>1.03</v>
      </c>
      <c r="J45" s="101"/>
      <c r="K45" s="101"/>
      <c r="L45" s="101"/>
      <c r="M45" s="101"/>
      <c r="N45" s="101"/>
    </row>
    <row r="46" spans="1:14" x14ac:dyDescent="0.2">
      <c r="A46" s="132" t="s">
        <v>124</v>
      </c>
      <c r="B46" s="133" t="s">
        <v>132</v>
      </c>
      <c r="C46" s="134">
        <v>0.34300000000000003</v>
      </c>
      <c r="D46" s="134" t="s">
        <v>130</v>
      </c>
      <c r="E46" s="134">
        <v>1.56</v>
      </c>
      <c r="F46" s="135" t="s">
        <v>275</v>
      </c>
      <c r="G46" s="136">
        <v>0.6</v>
      </c>
      <c r="H46" s="134" t="s">
        <v>284</v>
      </c>
      <c r="I46" s="137">
        <v>1.03</v>
      </c>
      <c r="J46" s="101"/>
      <c r="K46" s="101"/>
      <c r="L46" s="101"/>
      <c r="M46" s="101"/>
      <c r="N46" s="101"/>
    </row>
    <row r="47" spans="1:14" x14ac:dyDescent="0.2">
      <c r="A47" s="132" t="s">
        <v>125</v>
      </c>
      <c r="B47" s="133" t="s">
        <v>132</v>
      </c>
      <c r="C47" s="134">
        <v>0.32500000000000001</v>
      </c>
      <c r="D47" s="134" t="s">
        <v>130</v>
      </c>
      <c r="E47" s="134">
        <v>1.56</v>
      </c>
      <c r="F47" s="135" t="s">
        <v>275</v>
      </c>
      <c r="G47" s="136">
        <v>0.6</v>
      </c>
      <c r="H47" s="134" t="s">
        <v>284</v>
      </c>
      <c r="I47" s="137">
        <v>1.03</v>
      </c>
      <c r="J47" s="101"/>
      <c r="K47" s="101"/>
      <c r="L47" s="101"/>
      <c r="M47" s="101"/>
      <c r="N47" s="101"/>
    </row>
    <row r="48" spans="1:14" x14ac:dyDescent="0.2">
      <c r="A48" s="132" t="s">
        <v>126</v>
      </c>
      <c r="B48" s="133" t="s">
        <v>132</v>
      </c>
      <c r="C48" s="134">
        <v>0.32</v>
      </c>
      <c r="D48" s="134" t="s">
        <v>130</v>
      </c>
      <c r="E48" s="134">
        <v>1.56</v>
      </c>
      <c r="F48" s="135" t="s">
        <v>275</v>
      </c>
      <c r="G48" s="136">
        <v>0.6</v>
      </c>
      <c r="H48" s="134" t="s">
        <v>284</v>
      </c>
      <c r="I48" s="137">
        <v>1.03</v>
      </c>
      <c r="J48" s="101"/>
      <c r="K48" s="101"/>
      <c r="L48" s="101"/>
      <c r="M48" s="101"/>
      <c r="N48" s="101"/>
    </row>
    <row r="49" spans="1:14" x14ac:dyDescent="0.2">
      <c r="A49" s="132" t="s">
        <v>111</v>
      </c>
      <c r="B49" s="133" t="s">
        <v>132</v>
      </c>
      <c r="C49" s="134">
        <v>0.28199999999999997</v>
      </c>
      <c r="D49" s="134" t="s">
        <v>130</v>
      </c>
      <c r="E49" s="134">
        <v>1.56</v>
      </c>
      <c r="F49" s="135" t="s">
        <v>275</v>
      </c>
      <c r="G49" s="136">
        <v>0.6</v>
      </c>
      <c r="H49" s="134" t="s">
        <v>284</v>
      </c>
      <c r="I49" s="137">
        <v>1.03</v>
      </c>
      <c r="J49" s="101"/>
      <c r="K49" s="101"/>
      <c r="L49" s="101"/>
      <c r="M49" s="101"/>
      <c r="N49" s="101"/>
    </row>
    <row r="50" spans="1:14" x14ac:dyDescent="0.2">
      <c r="A50" s="132" t="s">
        <v>127</v>
      </c>
      <c r="B50" s="133" t="s">
        <v>132</v>
      </c>
      <c r="C50" s="134">
        <v>0.32800000000000001</v>
      </c>
      <c r="D50" s="134" t="s">
        <v>130</v>
      </c>
      <c r="E50" s="134">
        <v>1.56</v>
      </c>
      <c r="F50" s="135" t="s">
        <v>275</v>
      </c>
      <c r="G50" s="136">
        <v>0.6</v>
      </c>
      <c r="H50" s="134" t="s">
        <v>284</v>
      </c>
      <c r="I50" s="137">
        <v>1.03</v>
      </c>
      <c r="J50" s="101"/>
      <c r="K50" s="101"/>
      <c r="L50" s="101"/>
      <c r="M50" s="101"/>
      <c r="N50" s="101"/>
    </row>
    <row r="51" spans="1:14" x14ac:dyDescent="0.2">
      <c r="A51" s="132" t="s">
        <v>112</v>
      </c>
      <c r="B51" s="133" t="s">
        <v>132</v>
      </c>
      <c r="C51" s="134">
        <v>0.32600000000000001</v>
      </c>
      <c r="D51" s="134" t="s">
        <v>130</v>
      </c>
      <c r="E51" s="134">
        <v>1.56</v>
      </c>
      <c r="F51" s="135" t="s">
        <v>275</v>
      </c>
      <c r="G51" s="136">
        <v>0.6</v>
      </c>
      <c r="H51" s="134" t="s">
        <v>284</v>
      </c>
      <c r="I51" s="137">
        <v>1.03</v>
      </c>
      <c r="J51" s="101"/>
      <c r="K51" s="101"/>
      <c r="L51" s="101"/>
      <c r="M51" s="101"/>
      <c r="N51" s="101"/>
    </row>
    <row r="52" spans="1:14" x14ac:dyDescent="0.2">
      <c r="A52" s="132" t="s">
        <v>113</v>
      </c>
      <c r="B52" s="133" t="s">
        <v>132</v>
      </c>
      <c r="C52" s="134">
        <v>0.35899999999999999</v>
      </c>
      <c r="D52" s="134" t="s">
        <v>130</v>
      </c>
      <c r="E52" s="134">
        <v>1.56</v>
      </c>
      <c r="F52" s="135" t="s">
        <v>275</v>
      </c>
      <c r="G52" s="136">
        <v>0.6</v>
      </c>
      <c r="H52" s="134" t="s">
        <v>284</v>
      </c>
      <c r="I52" s="137">
        <v>1.03</v>
      </c>
      <c r="J52" s="101"/>
      <c r="K52" s="101"/>
      <c r="L52" s="101"/>
      <c r="M52" s="101"/>
      <c r="N52" s="101"/>
    </row>
    <row r="53" spans="1:14" x14ac:dyDescent="0.2">
      <c r="A53" s="132" t="s">
        <v>114</v>
      </c>
      <c r="B53" s="133" t="s">
        <v>132</v>
      </c>
      <c r="C53" s="134">
        <v>0.34599999999999997</v>
      </c>
      <c r="D53" s="134" t="s">
        <v>130</v>
      </c>
      <c r="E53" s="134">
        <v>1.56</v>
      </c>
      <c r="F53" s="135" t="s">
        <v>275</v>
      </c>
      <c r="G53" s="136">
        <v>0.6</v>
      </c>
      <c r="H53" s="134" t="s">
        <v>284</v>
      </c>
      <c r="I53" s="137">
        <v>1.03</v>
      </c>
      <c r="J53" s="101"/>
      <c r="K53" s="101"/>
      <c r="L53" s="101"/>
      <c r="M53" s="101"/>
      <c r="N53" s="101"/>
    </row>
    <row r="54" spans="1:14" x14ac:dyDescent="0.2">
      <c r="A54" s="132" t="s">
        <v>115</v>
      </c>
      <c r="B54" s="133" t="s">
        <v>132</v>
      </c>
      <c r="C54" s="134">
        <v>0.32600000000000001</v>
      </c>
      <c r="D54" s="134" t="s">
        <v>130</v>
      </c>
      <c r="E54" s="134">
        <v>1.56</v>
      </c>
      <c r="F54" s="135" t="s">
        <v>275</v>
      </c>
      <c r="G54" s="136">
        <v>0.6</v>
      </c>
      <c r="H54" s="134" t="s">
        <v>284</v>
      </c>
      <c r="I54" s="137">
        <v>1.03</v>
      </c>
      <c r="J54" s="101"/>
      <c r="K54" s="101"/>
      <c r="L54" s="101"/>
      <c r="M54" s="101"/>
      <c r="N54" s="101"/>
    </row>
    <row r="55" spans="1:14" x14ac:dyDescent="0.2">
      <c r="A55" s="132" t="s">
        <v>116</v>
      </c>
      <c r="B55" s="133" t="s">
        <v>132</v>
      </c>
      <c r="C55" s="134">
        <v>0.30499999999999999</v>
      </c>
      <c r="D55" s="134" t="s">
        <v>130</v>
      </c>
      <c r="E55" s="134">
        <v>1.56</v>
      </c>
      <c r="F55" s="135" t="s">
        <v>275</v>
      </c>
      <c r="G55" s="136">
        <v>0.6</v>
      </c>
      <c r="H55" s="134" t="s">
        <v>284</v>
      </c>
      <c r="I55" s="137">
        <v>1.03</v>
      </c>
      <c r="J55" s="101"/>
      <c r="K55" s="101"/>
      <c r="L55" s="101"/>
      <c r="M55" s="101"/>
      <c r="N55" s="101"/>
    </row>
    <row r="56" spans="1:14" x14ac:dyDescent="0.2">
      <c r="A56" s="132" t="s">
        <v>128</v>
      </c>
      <c r="B56" s="133" t="s">
        <v>132</v>
      </c>
      <c r="C56" s="134">
        <v>0.32300000000000001</v>
      </c>
      <c r="D56" s="134" t="s">
        <v>130</v>
      </c>
      <c r="E56" s="134">
        <v>1.56</v>
      </c>
      <c r="F56" s="135" t="s">
        <v>275</v>
      </c>
      <c r="G56" s="136">
        <v>0.6</v>
      </c>
      <c r="H56" s="134" t="s">
        <v>284</v>
      </c>
      <c r="I56" s="137">
        <v>1.03</v>
      </c>
      <c r="J56" s="101"/>
      <c r="K56" s="101"/>
      <c r="L56" s="101"/>
      <c r="M56" s="101"/>
      <c r="N56" s="101"/>
    </row>
    <row r="57" spans="1:14" x14ac:dyDescent="0.2">
      <c r="A57" s="132" t="s">
        <v>129</v>
      </c>
      <c r="B57" s="133" t="s">
        <v>132</v>
      </c>
      <c r="C57" s="134">
        <v>0.36699999999999999</v>
      </c>
      <c r="D57" s="134" t="s">
        <v>130</v>
      </c>
      <c r="E57" s="134">
        <v>1.56</v>
      </c>
      <c r="F57" s="135" t="s">
        <v>275</v>
      </c>
      <c r="G57" s="136">
        <v>0.6</v>
      </c>
      <c r="H57" s="134" t="s">
        <v>284</v>
      </c>
      <c r="I57" s="137">
        <v>1.03</v>
      </c>
      <c r="J57" s="101"/>
      <c r="K57" s="101"/>
      <c r="L57" s="101"/>
      <c r="M57" s="101"/>
      <c r="N57" s="101"/>
    </row>
    <row r="58" spans="1:14" x14ac:dyDescent="0.2">
      <c r="A58" s="132" t="s">
        <v>117</v>
      </c>
      <c r="B58" s="133" t="s">
        <v>132</v>
      </c>
      <c r="C58" s="134">
        <v>0.36</v>
      </c>
      <c r="D58" s="134" t="s">
        <v>130</v>
      </c>
      <c r="E58" s="134">
        <v>1.56</v>
      </c>
      <c r="F58" s="135" t="s">
        <v>275</v>
      </c>
      <c r="G58" s="136">
        <v>0.6</v>
      </c>
      <c r="H58" s="134" t="s">
        <v>284</v>
      </c>
      <c r="I58" s="137">
        <v>1.03</v>
      </c>
      <c r="J58" s="101"/>
      <c r="K58" s="101"/>
      <c r="L58" s="101"/>
      <c r="M58" s="101"/>
      <c r="N58" s="101"/>
    </row>
    <row r="59" spans="1:14" x14ac:dyDescent="0.2">
      <c r="A59" s="132" t="s">
        <v>118</v>
      </c>
      <c r="B59" s="133" t="s">
        <v>132</v>
      </c>
      <c r="C59" s="134">
        <v>0.36799999999999999</v>
      </c>
      <c r="D59" s="134" t="s">
        <v>130</v>
      </c>
      <c r="E59" s="134">
        <v>1.56</v>
      </c>
      <c r="F59" s="135" t="s">
        <v>275</v>
      </c>
      <c r="G59" s="136">
        <v>0.6</v>
      </c>
      <c r="H59" s="134" t="s">
        <v>284</v>
      </c>
      <c r="I59" s="137">
        <v>1.03</v>
      </c>
      <c r="J59" s="101"/>
      <c r="K59" s="101"/>
      <c r="L59" s="101"/>
      <c r="M59" s="101"/>
      <c r="N59" s="101"/>
    </row>
    <row r="60" spans="1:14" x14ac:dyDescent="0.2">
      <c r="A60" s="132" t="s">
        <v>119</v>
      </c>
      <c r="B60" s="133" t="s">
        <v>132</v>
      </c>
      <c r="C60" s="134">
        <v>0.30599999999999999</v>
      </c>
      <c r="D60" s="134" t="s">
        <v>130</v>
      </c>
      <c r="E60" s="134">
        <v>1.56</v>
      </c>
      <c r="F60" s="135" t="s">
        <v>275</v>
      </c>
      <c r="G60" s="136">
        <v>0.6</v>
      </c>
      <c r="H60" s="134" t="s">
        <v>284</v>
      </c>
      <c r="I60" s="137">
        <v>1.03</v>
      </c>
      <c r="J60" s="101"/>
      <c r="K60" s="101"/>
      <c r="L60" s="101"/>
      <c r="M60" s="101"/>
      <c r="N60" s="101"/>
    </row>
    <row r="61" spans="1:14" x14ac:dyDescent="0.2">
      <c r="A61" s="132" t="s">
        <v>120</v>
      </c>
      <c r="B61" s="133" t="s">
        <v>132</v>
      </c>
      <c r="C61" s="134">
        <v>0.313</v>
      </c>
      <c r="D61" s="134" t="s">
        <v>130</v>
      </c>
      <c r="E61" s="134">
        <v>1.56</v>
      </c>
      <c r="F61" s="135" t="s">
        <v>275</v>
      </c>
      <c r="G61" s="136">
        <v>0.6</v>
      </c>
      <c r="H61" s="134" t="s">
        <v>284</v>
      </c>
      <c r="I61" s="137">
        <v>1.03</v>
      </c>
      <c r="J61" s="101"/>
      <c r="K61" s="101"/>
      <c r="L61" s="101"/>
      <c r="M61" s="101"/>
      <c r="N61" s="101"/>
    </row>
    <row r="62" spans="1:14" x14ac:dyDescent="0.2">
      <c r="A62" s="132" t="s">
        <v>32</v>
      </c>
      <c r="B62" s="133" t="s">
        <v>133</v>
      </c>
      <c r="C62" s="134">
        <v>0.37</v>
      </c>
      <c r="D62" s="134" t="s">
        <v>161</v>
      </c>
      <c r="E62" s="134">
        <v>1.56</v>
      </c>
      <c r="F62" s="135" t="s">
        <v>275</v>
      </c>
      <c r="G62" s="136">
        <v>0.6</v>
      </c>
      <c r="H62" s="134" t="s">
        <v>284</v>
      </c>
      <c r="I62" s="137">
        <v>1.03</v>
      </c>
      <c r="J62" s="101"/>
      <c r="K62" s="101"/>
      <c r="L62" s="101"/>
      <c r="M62" s="101"/>
      <c r="N62" s="101"/>
    </row>
    <row r="63" spans="1:14" x14ac:dyDescent="0.2">
      <c r="A63" s="132" t="s">
        <v>90</v>
      </c>
      <c r="B63" s="133" t="s">
        <v>83</v>
      </c>
      <c r="C63" s="134">
        <v>0.45</v>
      </c>
      <c r="D63" s="134" t="s">
        <v>161</v>
      </c>
      <c r="E63" s="134">
        <v>1.3</v>
      </c>
      <c r="F63" s="135" t="s">
        <v>275</v>
      </c>
      <c r="G63" s="136">
        <v>0.45</v>
      </c>
      <c r="H63" s="134" t="s">
        <v>277</v>
      </c>
      <c r="I63" s="137">
        <v>0.43</v>
      </c>
      <c r="J63" s="101"/>
      <c r="K63" s="101"/>
      <c r="L63" s="101"/>
      <c r="M63" s="101"/>
      <c r="N63" s="101"/>
    </row>
    <row r="64" spans="1:14" x14ac:dyDescent="0.2">
      <c r="A64" s="132" t="s">
        <v>33</v>
      </c>
      <c r="B64" s="133" t="s">
        <v>134</v>
      </c>
      <c r="C64" s="134">
        <v>0.39</v>
      </c>
      <c r="D64" s="134" t="s">
        <v>161</v>
      </c>
      <c r="E64" s="134">
        <v>1.3</v>
      </c>
      <c r="F64" s="135" t="s">
        <v>275</v>
      </c>
      <c r="G64" s="136">
        <v>0.45</v>
      </c>
      <c r="H64" s="134" t="s">
        <v>277</v>
      </c>
      <c r="I64" s="137">
        <v>0.43</v>
      </c>
      <c r="J64" s="101"/>
      <c r="K64" s="101"/>
      <c r="L64" s="101"/>
      <c r="M64" s="101"/>
      <c r="N64" s="101"/>
    </row>
    <row r="65" spans="1:14" x14ac:dyDescent="0.2">
      <c r="A65" s="132" t="s">
        <v>34</v>
      </c>
      <c r="B65" s="133" t="s">
        <v>135</v>
      </c>
      <c r="C65" s="134">
        <v>0.44</v>
      </c>
      <c r="D65" s="134" t="s">
        <v>161</v>
      </c>
      <c r="E65" s="134">
        <v>1.3</v>
      </c>
      <c r="F65" s="135" t="s">
        <v>275</v>
      </c>
      <c r="G65" s="136">
        <v>0.45</v>
      </c>
      <c r="H65" s="134" t="s">
        <v>277</v>
      </c>
      <c r="I65" s="137">
        <v>0.43</v>
      </c>
      <c r="J65" s="101"/>
      <c r="K65" s="101"/>
      <c r="L65" s="101"/>
      <c r="M65" s="101"/>
      <c r="N65" s="101"/>
    </row>
    <row r="66" spans="1:14" x14ac:dyDescent="0.2">
      <c r="A66" s="132" t="s">
        <v>35</v>
      </c>
      <c r="B66" s="133" t="s">
        <v>84</v>
      </c>
      <c r="C66" s="134">
        <v>0.46</v>
      </c>
      <c r="D66" s="134" t="s">
        <v>161</v>
      </c>
      <c r="E66" s="134">
        <v>1.3</v>
      </c>
      <c r="F66" s="135" t="s">
        <v>275</v>
      </c>
      <c r="G66" s="136">
        <v>0.45</v>
      </c>
      <c r="H66" s="134" t="s">
        <v>277</v>
      </c>
      <c r="I66" s="137">
        <v>0.43</v>
      </c>
      <c r="J66" s="101"/>
      <c r="K66" s="101"/>
      <c r="L66" s="101"/>
      <c r="M66" s="101"/>
      <c r="N66" s="101"/>
    </row>
    <row r="67" spans="1:14" x14ac:dyDescent="0.2">
      <c r="A67" s="132" t="s">
        <v>36</v>
      </c>
      <c r="B67" s="133" t="s">
        <v>85</v>
      </c>
      <c r="C67" s="134">
        <v>0.46</v>
      </c>
      <c r="D67" s="134" t="s">
        <v>161</v>
      </c>
      <c r="E67" s="134">
        <v>1.3</v>
      </c>
      <c r="F67" s="135" t="s">
        <v>275</v>
      </c>
      <c r="G67" s="136">
        <v>0.45</v>
      </c>
      <c r="H67" s="134" t="s">
        <v>152</v>
      </c>
      <c r="I67" s="137">
        <v>0.59</v>
      </c>
      <c r="J67" s="101"/>
      <c r="K67" s="101"/>
      <c r="L67" s="101"/>
      <c r="M67" s="101"/>
      <c r="N67" s="101"/>
    </row>
    <row r="68" spans="1:14" x14ac:dyDescent="0.2">
      <c r="A68" s="132" t="s">
        <v>37</v>
      </c>
      <c r="B68" s="133" t="s">
        <v>136</v>
      </c>
      <c r="C68" s="134">
        <v>0.44</v>
      </c>
      <c r="D68" s="134" t="s">
        <v>161</v>
      </c>
      <c r="E68" s="134">
        <v>1.3</v>
      </c>
      <c r="F68" s="135" t="s">
        <v>275</v>
      </c>
      <c r="G68" s="136">
        <v>0.45</v>
      </c>
      <c r="H68" s="134" t="s">
        <v>277</v>
      </c>
      <c r="I68" s="137">
        <v>0.43</v>
      </c>
      <c r="J68" s="101"/>
      <c r="K68" s="101"/>
      <c r="L68" s="101"/>
      <c r="M68" s="101"/>
      <c r="N68" s="101"/>
    </row>
    <row r="69" spans="1:14" x14ac:dyDescent="0.2">
      <c r="A69" s="132" t="s">
        <v>38</v>
      </c>
      <c r="B69" s="133" t="s">
        <v>86</v>
      </c>
      <c r="C69" s="134">
        <v>0.46</v>
      </c>
      <c r="D69" s="134" t="s">
        <v>161</v>
      </c>
      <c r="E69" s="134">
        <v>1.3</v>
      </c>
      <c r="F69" s="135" t="s">
        <v>275</v>
      </c>
      <c r="G69" s="136">
        <v>0.45</v>
      </c>
      <c r="H69" s="134" t="s">
        <v>277</v>
      </c>
      <c r="I69" s="137">
        <v>0.43</v>
      </c>
      <c r="J69" s="101"/>
      <c r="K69" s="101"/>
      <c r="L69" s="101"/>
      <c r="M69" s="101"/>
      <c r="N69" s="101"/>
    </row>
    <row r="70" spans="1:14" x14ac:dyDescent="0.2">
      <c r="A70" s="132" t="s">
        <v>39</v>
      </c>
      <c r="B70" s="133" t="s">
        <v>137</v>
      </c>
      <c r="C70" s="134">
        <v>0.48</v>
      </c>
      <c r="D70" s="134" t="s">
        <v>161</v>
      </c>
      <c r="E70" s="134">
        <v>2.4</v>
      </c>
      <c r="F70" s="134" t="s">
        <v>285</v>
      </c>
      <c r="G70" s="136">
        <v>0.45</v>
      </c>
      <c r="H70" s="134" t="s">
        <v>277</v>
      </c>
      <c r="I70" s="137">
        <v>0.43</v>
      </c>
      <c r="J70" s="101"/>
      <c r="K70" s="101"/>
      <c r="L70" s="101"/>
      <c r="M70" s="101"/>
      <c r="N70" s="101"/>
    </row>
    <row r="71" spans="1:14" x14ac:dyDescent="0.2">
      <c r="A71" s="132" t="s">
        <v>40</v>
      </c>
      <c r="B71" s="133" t="s">
        <v>87</v>
      </c>
      <c r="C71" s="134">
        <v>0.46</v>
      </c>
      <c r="D71" s="134" t="s">
        <v>150</v>
      </c>
      <c r="E71" s="134">
        <v>1.3</v>
      </c>
      <c r="F71" s="135" t="s">
        <v>275</v>
      </c>
      <c r="G71" s="136">
        <v>0.45</v>
      </c>
      <c r="H71" s="134" t="s">
        <v>277</v>
      </c>
      <c r="I71" s="137">
        <v>0.43</v>
      </c>
      <c r="J71" s="101"/>
      <c r="K71" s="101"/>
      <c r="L71" s="101"/>
      <c r="M71" s="101"/>
      <c r="N71" s="101"/>
    </row>
    <row r="72" spans="1:14" x14ac:dyDescent="0.2">
      <c r="A72" s="132" t="s">
        <v>41</v>
      </c>
      <c r="B72" s="133" t="s">
        <v>88</v>
      </c>
      <c r="C72" s="134">
        <v>0.44</v>
      </c>
      <c r="D72" s="134" t="s">
        <v>161</v>
      </c>
      <c r="E72" s="134">
        <v>1.3</v>
      </c>
      <c r="F72" s="135" t="s">
        <v>275</v>
      </c>
      <c r="G72" s="136">
        <v>0.45</v>
      </c>
      <c r="H72" s="134" t="s">
        <v>277</v>
      </c>
      <c r="I72" s="137">
        <v>0.43</v>
      </c>
      <c r="J72" s="101"/>
      <c r="K72" s="101"/>
      <c r="L72" s="101"/>
      <c r="M72" s="101"/>
      <c r="N72" s="101"/>
    </row>
    <row r="73" spans="1:14" x14ac:dyDescent="0.2">
      <c r="A73" s="132" t="s">
        <v>138</v>
      </c>
      <c r="B73" s="133" t="s">
        <v>140</v>
      </c>
      <c r="C73" s="134">
        <v>0.46</v>
      </c>
      <c r="D73" s="134" t="s">
        <v>151</v>
      </c>
      <c r="E73" s="134">
        <v>1.3</v>
      </c>
      <c r="F73" s="135" t="s">
        <v>275</v>
      </c>
      <c r="G73" s="136">
        <v>0.45</v>
      </c>
      <c r="H73" s="134" t="s">
        <v>277</v>
      </c>
      <c r="I73" s="137">
        <v>0.43</v>
      </c>
      <c r="J73" s="101"/>
      <c r="K73" s="101"/>
      <c r="L73" s="101"/>
      <c r="M73" s="101"/>
      <c r="N73" s="101"/>
    </row>
    <row r="74" spans="1:14" x14ac:dyDescent="0.2">
      <c r="A74" s="132" t="s">
        <v>42</v>
      </c>
      <c r="B74" s="133" t="s">
        <v>139</v>
      </c>
      <c r="C74" s="134">
        <v>0.34</v>
      </c>
      <c r="D74" s="134" t="s">
        <v>161</v>
      </c>
      <c r="E74" s="134">
        <v>1.3</v>
      </c>
      <c r="F74" s="135" t="s">
        <v>275</v>
      </c>
      <c r="G74" s="136">
        <v>0.45</v>
      </c>
      <c r="H74" s="134" t="s">
        <v>277</v>
      </c>
      <c r="I74" s="137">
        <v>0.43</v>
      </c>
      <c r="J74" s="101"/>
      <c r="K74" s="101"/>
      <c r="L74" s="101"/>
      <c r="M74" s="101"/>
      <c r="N74" s="101"/>
    </row>
    <row r="75" spans="1:14" x14ac:dyDescent="0.2">
      <c r="A75" s="132" t="s">
        <v>43</v>
      </c>
      <c r="B75" s="133" t="s">
        <v>162</v>
      </c>
      <c r="C75" s="134">
        <v>0.5</v>
      </c>
      <c r="D75" s="134" t="s">
        <v>161</v>
      </c>
      <c r="E75" s="134">
        <v>1.56</v>
      </c>
      <c r="F75" s="135" t="s">
        <v>275</v>
      </c>
      <c r="G75" s="136">
        <v>0.53</v>
      </c>
      <c r="H75" s="134" t="s">
        <v>276</v>
      </c>
      <c r="I75" s="137">
        <v>0.25</v>
      </c>
      <c r="J75" s="101"/>
      <c r="K75" s="101"/>
      <c r="L75" s="101"/>
      <c r="M75" s="101"/>
      <c r="N75" s="101"/>
    </row>
    <row r="76" spans="1:14" x14ac:dyDescent="0.2">
      <c r="A76" s="132" t="s">
        <v>44</v>
      </c>
      <c r="B76" s="133" t="s">
        <v>89</v>
      </c>
      <c r="C76" s="134">
        <v>0.57999999999999996</v>
      </c>
      <c r="D76" s="134" t="s">
        <v>161</v>
      </c>
      <c r="E76" s="134">
        <v>1.56</v>
      </c>
      <c r="F76" s="135" t="s">
        <v>275</v>
      </c>
      <c r="G76" s="136">
        <v>0.3</v>
      </c>
      <c r="H76" s="134" t="s">
        <v>278</v>
      </c>
      <c r="I76" s="137">
        <v>0.25</v>
      </c>
      <c r="J76" s="101"/>
      <c r="K76" s="101"/>
      <c r="L76" s="101"/>
      <c r="M76" s="101"/>
      <c r="N76" s="101"/>
    </row>
    <row r="77" spans="1:14" x14ac:dyDescent="0.2">
      <c r="A77" s="132" t="s">
        <v>47</v>
      </c>
      <c r="B77" s="133" t="s">
        <v>141</v>
      </c>
      <c r="C77" s="134">
        <v>0.37</v>
      </c>
      <c r="D77" s="134" t="s">
        <v>161</v>
      </c>
      <c r="E77" s="134">
        <v>1.3</v>
      </c>
      <c r="F77" s="135" t="s">
        <v>275</v>
      </c>
      <c r="G77" s="136">
        <v>0.55000000000000004</v>
      </c>
      <c r="H77" s="134" t="s">
        <v>152</v>
      </c>
      <c r="I77" s="137">
        <v>0.43</v>
      </c>
      <c r="J77" s="101"/>
      <c r="K77" s="101"/>
      <c r="L77" s="101"/>
      <c r="M77" s="101"/>
      <c r="N77" s="101"/>
    </row>
    <row r="78" spans="1:14" x14ac:dyDescent="0.2">
      <c r="A78" s="132" t="s">
        <v>45</v>
      </c>
      <c r="B78" s="133" t="s">
        <v>96</v>
      </c>
      <c r="C78" s="134">
        <v>0.37</v>
      </c>
      <c r="D78" s="134" t="s">
        <v>161</v>
      </c>
      <c r="E78" s="134">
        <v>1.3</v>
      </c>
      <c r="F78" s="135" t="s">
        <v>275</v>
      </c>
      <c r="G78" s="136">
        <v>0.55000000000000004</v>
      </c>
      <c r="H78" s="134" t="s">
        <v>152</v>
      </c>
      <c r="I78" s="137">
        <v>0.43</v>
      </c>
      <c r="J78" s="101"/>
      <c r="K78" s="101"/>
      <c r="L78" s="101"/>
      <c r="M78" s="101"/>
      <c r="N78" s="101"/>
    </row>
    <row r="79" spans="1:14" x14ac:dyDescent="0.2">
      <c r="A79" s="132" t="s">
        <v>46</v>
      </c>
      <c r="B79" s="133" t="s">
        <v>95</v>
      </c>
      <c r="C79" s="134">
        <v>0.38</v>
      </c>
      <c r="D79" s="134" t="s">
        <v>161</v>
      </c>
      <c r="E79" s="134">
        <v>1.3</v>
      </c>
      <c r="F79" s="135" t="s">
        <v>275</v>
      </c>
      <c r="G79" s="136">
        <v>0.55000000000000004</v>
      </c>
      <c r="H79" s="134" t="s">
        <v>153</v>
      </c>
      <c r="I79" s="137">
        <v>0.43</v>
      </c>
      <c r="J79" s="101"/>
      <c r="K79" s="101"/>
      <c r="L79" s="101"/>
      <c r="M79" s="101"/>
      <c r="N79" s="101"/>
    </row>
    <row r="80" spans="1:14" x14ac:dyDescent="0.2">
      <c r="A80" s="132" t="s">
        <v>48</v>
      </c>
      <c r="B80" s="133" t="s">
        <v>94</v>
      </c>
      <c r="C80" s="134">
        <v>0.36</v>
      </c>
      <c r="D80" s="134" t="s">
        <v>161</v>
      </c>
      <c r="E80" s="134">
        <v>1.3</v>
      </c>
      <c r="F80" s="135" t="s">
        <v>275</v>
      </c>
      <c r="G80" s="136">
        <v>0.55000000000000004</v>
      </c>
      <c r="H80" s="134" t="s">
        <v>153</v>
      </c>
      <c r="I80" s="137">
        <v>0.43</v>
      </c>
      <c r="J80" s="101"/>
      <c r="K80" s="101"/>
      <c r="L80" s="101"/>
      <c r="M80" s="101"/>
      <c r="N80" s="101"/>
    </row>
    <row r="81" spans="1:14" x14ac:dyDescent="0.2">
      <c r="A81" s="132" t="s">
        <v>49</v>
      </c>
      <c r="B81" s="133" t="s">
        <v>142</v>
      </c>
      <c r="C81" s="134">
        <v>0.37</v>
      </c>
      <c r="D81" s="134" t="s">
        <v>161</v>
      </c>
      <c r="E81" s="134">
        <v>1.56</v>
      </c>
      <c r="F81" s="135" t="s">
        <v>275</v>
      </c>
      <c r="G81" s="136">
        <v>0.43</v>
      </c>
      <c r="H81" s="134" t="s">
        <v>279</v>
      </c>
      <c r="I81" s="137">
        <v>0.25</v>
      </c>
      <c r="J81" s="101"/>
      <c r="K81" s="101"/>
      <c r="L81" s="101"/>
      <c r="M81" s="101"/>
      <c r="N81" s="101"/>
    </row>
    <row r="82" spans="1:14" x14ac:dyDescent="0.2">
      <c r="A82" s="132" t="s">
        <v>158</v>
      </c>
      <c r="B82" s="133" t="s">
        <v>159</v>
      </c>
      <c r="C82" s="134">
        <v>0.35</v>
      </c>
      <c r="D82" s="134" t="s">
        <v>160</v>
      </c>
      <c r="E82" s="134">
        <v>1.3</v>
      </c>
      <c r="F82" s="135" t="s">
        <v>275</v>
      </c>
      <c r="G82" s="136">
        <v>0.55000000000000004</v>
      </c>
      <c r="H82" s="134" t="s">
        <v>153</v>
      </c>
      <c r="I82" s="137">
        <v>0.43</v>
      </c>
      <c r="J82" s="101"/>
      <c r="K82" s="101"/>
      <c r="L82" s="101"/>
      <c r="M82" s="101"/>
      <c r="N82" s="101"/>
    </row>
    <row r="83" spans="1:14" x14ac:dyDescent="0.2">
      <c r="A83" s="132" t="s">
        <v>156</v>
      </c>
      <c r="B83" s="133" t="s">
        <v>157</v>
      </c>
      <c r="C83" s="134">
        <v>0.34</v>
      </c>
      <c r="D83" s="134" t="s">
        <v>161</v>
      </c>
      <c r="E83" s="134">
        <v>1.3</v>
      </c>
      <c r="F83" s="135" t="s">
        <v>275</v>
      </c>
      <c r="G83" s="136">
        <v>0.55000000000000004</v>
      </c>
      <c r="H83" s="134" t="s">
        <v>153</v>
      </c>
      <c r="I83" s="137">
        <v>0.43</v>
      </c>
      <c r="J83" s="101"/>
      <c r="K83" s="101"/>
      <c r="L83" s="101"/>
      <c r="M83" s="101"/>
      <c r="N83" s="101"/>
    </row>
    <row r="84" spans="1:14" x14ac:dyDescent="0.2">
      <c r="A84" s="132" t="s">
        <v>92</v>
      </c>
      <c r="B84" s="133" t="s">
        <v>93</v>
      </c>
      <c r="C84" s="134">
        <v>0.31</v>
      </c>
      <c r="D84" s="134" t="s">
        <v>161</v>
      </c>
      <c r="E84" s="134">
        <v>1.3</v>
      </c>
      <c r="F84" s="135" t="s">
        <v>275</v>
      </c>
      <c r="G84" s="136">
        <v>0.55000000000000004</v>
      </c>
      <c r="H84" s="134" t="s">
        <v>153</v>
      </c>
      <c r="I84" s="137">
        <v>0.43</v>
      </c>
      <c r="J84" s="101"/>
      <c r="K84" s="101"/>
      <c r="L84" s="101"/>
      <c r="M84" s="101"/>
      <c r="N84" s="101"/>
    </row>
    <row r="85" spans="1:14" x14ac:dyDescent="0.2">
      <c r="A85" s="132" t="s">
        <v>50</v>
      </c>
      <c r="B85" s="133" t="s">
        <v>143</v>
      </c>
      <c r="C85" s="134">
        <v>0.43</v>
      </c>
      <c r="D85" s="134" t="s">
        <v>161</v>
      </c>
      <c r="E85" s="134">
        <v>1.56</v>
      </c>
      <c r="F85" s="135" t="s">
        <v>275</v>
      </c>
      <c r="G85" s="136">
        <v>0.53</v>
      </c>
      <c r="H85" s="134" t="s">
        <v>276</v>
      </c>
      <c r="I85" s="137">
        <v>0.25</v>
      </c>
      <c r="J85" s="101"/>
      <c r="K85" s="101"/>
      <c r="L85" s="101"/>
      <c r="M85" s="101"/>
      <c r="N85" s="101"/>
    </row>
    <row r="86" spans="1:14" x14ac:dyDescent="0.2">
      <c r="A86" s="132" t="s">
        <v>51</v>
      </c>
      <c r="B86" s="133" t="s">
        <v>91</v>
      </c>
      <c r="C86" s="134">
        <v>0.38</v>
      </c>
      <c r="D86" s="134" t="s">
        <v>161</v>
      </c>
      <c r="E86" s="134">
        <v>1.56</v>
      </c>
      <c r="F86" s="135" t="s">
        <v>275</v>
      </c>
      <c r="G86" s="136">
        <v>0.6</v>
      </c>
      <c r="H86" s="134" t="s">
        <v>280</v>
      </c>
      <c r="I86" s="137">
        <v>0.25</v>
      </c>
      <c r="J86" s="101"/>
      <c r="K86" s="101"/>
      <c r="L86" s="101"/>
      <c r="M86" s="101"/>
      <c r="N86" s="101"/>
    </row>
    <row r="87" spans="1:14" x14ac:dyDescent="0.2">
      <c r="A87" s="132" t="s">
        <v>148</v>
      </c>
      <c r="B87" s="140"/>
      <c r="C87" s="134">
        <v>0.42</v>
      </c>
      <c r="D87" s="134" t="s">
        <v>161</v>
      </c>
      <c r="E87" s="134">
        <v>1.3</v>
      </c>
      <c r="F87" s="135" t="s">
        <v>275</v>
      </c>
      <c r="G87" s="141"/>
      <c r="H87" s="140"/>
      <c r="I87" s="142"/>
    </row>
    <row r="88" spans="1:14" ht="16" thickBot="1" x14ac:dyDescent="0.25">
      <c r="A88" s="143" t="s">
        <v>149</v>
      </c>
      <c r="B88" s="144"/>
      <c r="C88" s="145">
        <v>0.56999999999999995</v>
      </c>
      <c r="D88" s="146" t="s">
        <v>161</v>
      </c>
      <c r="E88" s="145">
        <v>1.56</v>
      </c>
      <c r="F88" s="145" t="s">
        <v>275</v>
      </c>
      <c r="G88" s="144"/>
      <c r="H88" s="144"/>
      <c r="I88" s="147"/>
    </row>
    <row r="92" spans="1:14" x14ac:dyDescent="0.2">
      <c r="A92" s="132" t="s">
        <v>208</v>
      </c>
    </row>
    <row r="93" spans="1:14" x14ac:dyDescent="0.2">
      <c r="A93" s="132" t="s">
        <v>209</v>
      </c>
    </row>
    <row r="94" spans="1:14" x14ac:dyDescent="0.2">
      <c r="A94" s="132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2" workbookViewId="0">
      <selection activeCell="K32" sqref="K32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35">
      <c r="A2" s="286" t="s">
        <v>272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">
      <c r="A3" s="25"/>
      <c r="B3" s="25"/>
      <c r="C3" s="25"/>
      <c r="D3" s="25"/>
      <c r="E3" s="25"/>
      <c r="F3" s="25"/>
      <c r="G3" s="25"/>
      <c r="H3" s="25"/>
      <c r="I3" s="244"/>
      <c r="J3" s="244"/>
      <c r="K3" s="244"/>
      <c r="L3" s="244"/>
      <c r="M3" s="244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 x14ac:dyDescent="0.25">
      <c r="A4" s="25"/>
      <c r="B4" s="25"/>
      <c r="C4" s="25"/>
      <c r="D4" s="25"/>
      <c r="E4" s="25"/>
      <c r="F4" s="25"/>
      <c r="G4" s="25"/>
      <c r="H4" s="25"/>
      <c r="I4" s="244"/>
      <c r="J4" s="244"/>
      <c r="K4" s="244"/>
      <c r="L4" s="244"/>
      <c r="M4" s="244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 x14ac:dyDescent="0.25">
      <c r="A5" s="148" t="s">
        <v>207</v>
      </c>
      <c r="B5" s="149" t="s">
        <v>250</v>
      </c>
      <c r="C5" s="150" t="str">
        <f>Calculateur!S2</f>
        <v>Stock moyen de long terme (tCO₂/ha)</v>
      </c>
      <c r="D5" s="150" t="str">
        <f>Calculateur!T2</f>
        <v>Δstock CO₂ 30 ans (tCO₂/ha)</v>
      </c>
      <c r="E5" s="150" t="s">
        <v>228</v>
      </c>
      <c r="F5" s="150" t="s">
        <v>239</v>
      </c>
      <c r="G5" s="150" t="s">
        <v>240</v>
      </c>
      <c r="H5" s="151" t="s">
        <v>241</v>
      </c>
      <c r="I5" s="152" t="s">
        <v>242</v>
      </c>
      <c r="J5" s="153" t="s">
        <v>243</v>
      </c>
      <c r="K5" s="154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">
      <c r="A6" s="155" t="str">
        <f>IF('Données projet'!$B$9="","",'Données projet'!$B$9)</f>
        <v>Pin laricio</v>
      </c>
      <c r="B6" s="156">
        <f>'Données projet'!D9</f>
        <v>2.5005600000000001</v>
      </c>
      <c r="C6" s="157">
        <f ca="1">IF(OR('Données projet'!B9="",'Données projet'!C9="",'Données projet'!C9=0%),0,Calculateur!S3)</f>
        <v>354.71367224254021</v>
      </c>
      <c r="D6" s="157">
        <f>IF(OR('Données projet'!B9="",'Données projet'!C9="",'Données projet'!C9=0%),0,Calculateur!T3)</f>
        <v>490.074370133397</v>
      </c>
      <c r="E6" s="157">
        <f ca="1">MIN(C6,D6)</f>
        <v>354.71367224254021</v>
      </c>
      <c r="F6" s="157">
        <f ca="1">E6*B6</f>
        <v>886.9828202628064</v>
      </c>
      <c r="G6" s="157">
        <f ca="1">F6*(100%-'Données projet'!$C$24)*(100%-'Données projet'!$C$25)*(100%-'Données projet'!$C$26)*(100%-'Données projet'!$C$27)</f>
        <v>798.2845382365258</v>
      </c>
      <c r="H6" s="158">
        <f>IF(OR('Données projet'!B9="",'Données projet'!C9="",'Données projet'!C9=0%),0,AVERAGE(Calculateur!$AC$3:$AC$33)*B6)</f>
        <v>36.692908024531441</v>
      </c>
      <c r="I6" s="159">
        <f>H6*(100%-'Données projet'!$C$24)*(100%-'Données projet'!$C$25)*(100%-'Données projet'!$C$26)*(100%-'Données projet'!$C$27)</f>
        <v>33.0236172220783</v>
      </c>
      <c r="J6" s="160">
        <f>IF(OR('Données projet'!B9="",'Données projet'!C9="",'Données projet'!C9=0%),0,SUM(Calculateur!$V$3:$V$33)*VLOOKUP('Données projet'!$B$9,Paramètres!$A$1:$I$88,9,0)*B6)</f>
        <v>248.38062480000002</v>
      </c>
      <c r="K6" s="161">
        <f>J6*(100%-'Données projet'!$C$24)*(100%-'Données projet'!$C$25)*(100%-'Données projet'!$C$26)*(100%-'Données projet'!$C$27)</f>
        <v>223.54256232000003</v>
      </c>
      <c r="L6" s="162">
        <f ca="1">G6+I6+K6</f>
        <v>1054.8507177786041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">
      <c r="A7" s="163" t="str">
        <f>IF('Données projet'!$B$10="","",'Données projet'!$B$10)</f>
        <v>Pin maritime</v>
      </c>
      <c r="B7" s="164">
        <f>'Données projet'!D10</f>
        <v>3.7508399999999997</v>
      </c>
      <c r="C7" s="157">
        <f ca="1">IF(OR('Données projet'!B10="",'Données projet'!C10="",'Données projet'!C10=0%),0,Calculateur!AN3)</f>
        <v>264.73276096087574</v>
      </c>
      <c r="D7" s="157">
        <f>IF(OR('Données projet'!B10="",'Données projet'!C10="",'Données projet'!C10=0%),0,Calculateur!AO3)</f>
        <v>381.84464918049662</v>
      </c>
      <c r="E7" s="157">
        <f t="shared" ref="E7:E15" ca="1" si="0">MIN(C7,D7)</f>
        <v>264.73276096087574</v>
      </c>
      <c r="F7" s="157">
        <f t="shared" ref="F7:F15" ca="1" si="1">E7*B7</f>
        <v>992.97022912249111</v>
      </c>
      <c r="G7" s="157">
        <f ca="1">F7*(100%-'Données projet'!$C$24)*(100%-'Données projet'!$C$25)*(100%-'Données projet'!$C$26)*(100%-'Données projet'!$C$27)</f>
        <v>893.67320621024203</v>
      </c>
      <c r="H7" s="165">
        <f>IF(OR('Données projet'!B10="",'Données projet'!C10="",'Données projet'!C10=0%),0,AVERAGE(Calculateur!$AX$3:$AX$33)*B7)</f>
        <v>38.220771660408261</v>
      </c>
      <c r="I7" s="159">
        <f>H7*(100%-'Données projet'!$C$24)*(100%-'Données projet'!$C$25)*(100%-'Données projet'!$C$26)*(100%-'Données projet'!$C$27)</f>
        <v>34.398694494367433</v>
      </c>
      <c r="J7" s="160">
        <f>IF(OR('Données projet'!B10="",'Données projet'!C10="",'Données projet'!C10=0%),0,SUM(Calculateur!$AQ$3:$AQ$33)*VLOOKUP('Données projet'!$B$10,Paramètres!$A$1:$I$88,9,0)*B7)</f>
        <v>356.29229159999994</v>
      </c>
      <c r="K7" s="161">
        <f>J7*(100%-'Données projet'!$C$24)*(100%-'Données projet'!$C$25)*(100%-'Données projet'!$C$26)*(100%-'Données projet'!$C$27)</f>
        <v>320.66306243999998</v>
      </c>
      <c r="L7" s="162">
        <f t="shared" ref="L7:L15" ca="1" si="2">G7+I7+K7</f>
        <v>1248.7349631446095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">
      <c r="A8" s="163" t="str">
        <f>IF('Données projet'!$B$11="","",'Données projet'!$B$11)</f>
        <v>Chêne vert</v>
      </c>
      <c r="B8" s="164">
        <f>'Données projet'!D11</f>
        <v>0.25253999999999999</v>
      </c>
      <c r="C8" s="157">
        <f ca="1">IF(OR('Données projet'!B11="",'Données projet'!C11="",'Données projet'!C11=0%),0,Calculateur!BI3)</f>
        <v>470.57532875732056</v>
      </c>
      <c r="D8" s="157">
        <f>IF(OR('Données projet'!B11="",'Données projet'!C11="",'Données projet'!C11=0%),0,Calculateur!BJ3)</f>
        <v>286.63787681165888</v>
      </c>
      <c r="E8" s="157">
        <f t="shared" ca="1" si="0"/>
        <v>286.63787681165888</v>
      </c>
      <c r="F8" s="157">
        <f t="shared" ca="1" si="1"/>
        <v>72.387529410016327</v>
      </c>
      <c r="G8" s="157">
        <f ca="1">F8*(100%-'Données projet'!$C$24)*(100%-'Données projet'!$C$25)*(100%-'Données projet'!$C$26)*(100%-'Données projet'!$C$27)</f>
        <v>65.148776469014692</v>
      </c>
      <c r="H8" s="165">
        <f>IF(OR('Données projet'!B11="",'Données projet'!C11="",'Données projet'!C11=0%),0,AVERAGE(Calculateur!$BS$3:$BS$33)*B8)</f>
        <v>0</v>
      </c>
      <c r="I8" s="159">
        <f>H8*(100%-'Données projet'!$C$24)*(100%-'Données projet'!$C$25)*(100%-'Données projet'!$C$26)*(100%-'Données projet'!$C$27)</f>
        <v>0</v>
      </c>
      <c r="J8" s="160">
        <f>IF(OR('Données projet'!B11="",'Données projet'!C11="",'Données projet'!C11=0%),0,SUM(Calculateur!$BL$3:$BL$33)*VLOOKUP('Données projet'!$B$11,Paramètres!$A$1:$I$88,9,0)*B8)</f>
        <v>1.8309149999999998</v>
      </c>
      <c r="K8" s="161">
        <f>J8*(100%-'Données projet'!$C$24)*(100%-'Données projet'!$C$25)*(100%-'Données projet'!$C$26)*(100%-'Données projet'!$C$27)</f>
        <v>1.6478234999999999</v>
      </c>
      <c r="L8" s="162">
        <f t="shared" ca="1" si="2"/>
        <v>66.796599969014693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A9" s="163" t="str">
        <f>IF('Données projet'!$B$12="","",'Données projet'!$B$12)</f>
        <v>Aulne glutineux</v>
      </c>
      <c r="B9" s="164">
        <f>'Données projet'!D12</f>
        <v>0.114885</v>
      </c>
      <c r="C9" s="157">
        <f ca="1">IF(OR('Données projet'!B12="",'Données projet'!C12="",'Données projet'!C12=0%),0,Calculateur!CD3)</f>
        <v>305.38855494899906</v>
      </c>
      <c r="D9" s="157">
        <f>IF(OR('Données projet'!B12="",'Données projet'!C12="",'Données projet'!C12=0%),0,Calculateur!CE3)</f>
        <v>298.48106301229177</v>
      </c>
      <c r="E9" s="157">
        <f t="shared" ca="1" si="0"/>
        <v>298.48106301229177</v>
      </c>
      <c r="F9" s="157">
        <f t="shared" ca="1" si="1"/>
        <v>34.290996924167139</v>
      </c>
      <c r="G9" s="157">
        <f ca="1">F9*(100%-'Données projet'!$C$24)*(100%-'Données projet'!$C$25)*(100%-'Données projet'!$C$26)*(100%-'Données projet'!$C$27)</f>
        <v>30.861897231750426</v>
      </c>
      <c r="H9" s="165">
        <f>IF(OR('Données projet'!B12="",'Données projet'!C12="",'Données projet'!C12=0%),0,AVERAGE(Calculateur!$CN$3:$CN$33)*B9)</f>
        <v>0</v>
      </c>
      <c r="I9" s="159">
        <f>H9*(100%-'Données projet'!$C$24)*(100%-'Données projet'!$C$25)*(100%-'Données projet'!$C$26)*(100%-'Données projet'!$C$27)</f>
        <v>0</v>
      </c>
      <c r="J9" s="160">
        <f>IF(OR('Données projet'!B12="",'Données projet'!C12="",'Données projet'!C12=0%),0,SUM(Calculateur!$CG$3:$CG$33)*VLOOKUP('Données projet'!$B$12,Paramètres!$A$1:$I$88,9,0)*B9)</f>
        <v>3.9348112500000001</v>
      </c>
      <c r="K9" s="161">
        <f>J9*(100%-'Données projet'!$C$24)*(100%-'Données projet'!$C$25)*(100%-'Données projet'!$C$26)*(100%-'Données projet'!$C$27)</f>
        <v>3.541330125</v>
      </c>
      <c r="L9" s="162">
        <f t="shared" ca="1" si="2"/>
        <v>34.403227356750428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">
      <c r="A10" s="163" t="str">
        <f>IF('Données projet'!$B$13="","",'Données projet'!$B$13)</f>
        <v>Erable sycomore</v>
      </c>
      <c r="B10" s="164">
        <f>'Données projet'!D13</f>
        <v>0.114885</v>
      </c>
      <c r="C10" s="157">
        <f ca="1">IF(OR('Données projet'!B13="",'Données projet'!C13="",'Données projet'!C13=0%),0,Calculateur!CY3)</f>
        <v>361.30066984973894</v>
      </c>
      <c r="D10" s="157">
        <f>IF(OR('Données projet'!B13="",'Données projet'!C13="",'Données projet'!C13=0%),0,Calculateur!CZ3)</f>
        <v>351.78053157121622</v>
      </c>
      <c r="E10" s="157">
        <f t="shared" ca="1" si="0"/>
        <v>351.78053157121622</v>
      </c>
      <c r="F10" s="157">
        <f t="shared" ca="1" si="1"/>
        <v>40.414306369559178</v>
      </c>
      <c r="G10" s="157">
        <f ca="1">F10*(100%-'Données projet'!$C$24)*(100%-'Données projet'!$C$25)*(100%-'Données projet'!$C$26)*(100%-'Données projet'!$C$27)</f>
        <v>36.372875732603262</v>
      </c>
      <c r="H10" s="165">
        <f>IF(OR('Données projet'!B13="",'Données projet'!C13="",'Données projet'!C13=0%),0,AVERAGE(Calculateur!$DI$3:$DI$33)*B10)</f>
        <v>0</v>
      </c>
      <c r="I10" s="159">
        <f>H10*(100%-'Données projet'!$C$24)*(100%-'Données projet'!$C$25)*(100%-'Données projet'!$C$26)*(100%-'Données projet'!$C$27)</f>
        <v>0</v>
      </c>
      <c r="J10" s="160">
        <f>IF(OR('Données projet'!B13="",'Données projet'!C13="",'Données projet'!C13=0%),0,SUM(Calculateur!$DB$3:$DB$33)*VLOOKUP('Données projet'!$B$13,Paramètres!$A$1:$I$88,9,0)*B10)</f>
        <v>3.9348112500000001</v>
      </c>
      <c r="K10" s="161">
        <f>J10*(100%-'Données projet'!$C$24)*(100%-'Données projet'!$C$25)*(100%-'Données projet'!$C$26)*(100%-'Données projet'!$C$27)</f>
        <v>3.541330125</v>
      </c>
      <c r="L10" s="162">
        <f t="shared" ca="1" si="2"/>
        <v>39.914205857603264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">
      <c r="A11" s="163" t="str">
        <f>IF('Données projet'!$B$14="","",'Données projet'!$B$14)</f>
        <v>Peuplier Koster</v>
      </c>
      <c r="B11" s="164">
        <f>'Données projet'!D14</f>
        <v>3.5003699999999998</v>
      </c>
      <c r="C11" s="157">
        <f ca="1">IF(OR('Données projet'!B14="",'Données projet'!C14="",'Données projet'!C14=0%),0,Calculateur!DT3)</f>
        <v>91.201152634762423</v>
      </c>
      <c r="D11" s="157">
        <f>IF(OR('Données projet'!B14="",'Données projet'!C14="",'Données projet'!C14=0%),0,Calculateur!DU3)</f>
        <v>233.36981992862445</v>
      </c>
      <c r="E11" s="157">
        <f t="shared" ca="1" si="0"/>
        <v>91.201152634762423</v>
      </c>
      <c r="F11" s="157">
        <f t="shared" ca="1" si="1"/>
        <v>319.23777864814332</v>
      </c>
      <c r="G11" s="157">
        <f ca="1">F11*(100%-'Données projet'!$C$24)*(100%-'Données projet'!$C$25)*(100%-'Données projet'!$C$26)*(100%-'Données projet'!$C$27)</f>
        <v>287.31400078332899</v>
      </c>
      <c r="H11" s="165">
        <f>IF(OR('Données projet'!B14="",'Données projet'!C14="",'Données projet'!C14=0%),0,AVERAGE(Calculateur!$ED$3:$ED$33)*B11)</f>
        <v>45.662745158367976</v>
      </c>
      <c r="I11" s="159">
        <f>H11*(100%-'Données projet'!$C$24)*(100%-'Données projet'!$C$25)*(100%-'Données projet'!$C$26)*(100%-'Données projet'!$C$27)</f>
        <v>41.09647064253118</v>
      </c>
      <c r="J11" s="160">
        <f>IF(OR('Données projet'!B14="",'Données projet'!C14="",'Données projet'!C14=0%),0,SUM(Calculateur!$DW$3:$DW$33)*VLOOKUP('Données projet'!$B$14,Paramètres!$A$1:$I$88,9,0)*B11)</f>
        <v>648.96859799999993</v>
      </c>
      <c r="K11" s="161">
        <f>J11*(100%-'Données projet'!$C$24)*(100%-'Données projet'!$C$25)*(100%-'Données projet'!$C$26)*(100%-'Données projet'!$C$27)</f>
        <v>584.07173819999991</v>
      </c>
      <c r="L11" s="162">
        <f t="shared" ca="1" si="2"/>
        <v>912.48220962586015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">
      <c r="A12" s="163" t="str">
        <f>IF('Données projet'!$B$15="","",'Données projet'!$B$15)</f>
        <v/>
      </c>
      <c r="B12" s="164">
        <f>'Données projet'!D15</f>
        <v>0</v>
      </c>
      <c r="C12" s="157">
        <f>IF(OR('Données projet'!B15="",'Données projet'!C15="",'Données projet'!C15=0%),0,Calculateur!EO3)</f>
        <v>0</v>
      </c>
      <c r="D12" s="157">
        <f>IF(OR('Données projet'!B15="",'Données projet'!C15="",'Données projet'!C15=0%),0,Calculateur!EP3)</f>
        <v>0</v>
      </c>
      <c r="E12" s="157">
        <f t="shared" si="0"/>
        <v>0</v>
      </c>
      <c r="F12" s="157">
        <f t="shared" si="1"/>
        <v>0</v>
      </c>
      <c r="G12" s="157">
        <f>F12*(100%-'Données projet'!$C$24)*(100%-'Données projet'!$C$25)*(100%-'Données projet'!$C$26)*(100%-'Données projet'!$C$27)</f>
        <v>0</v>
      </c>
      <c r="H12" s="165">
        <f>IF(OR('Données projet'!B15="",'Données projet'!C15="",'Données projet'!C15=0%),0,AVERAGE(Calculateur!$EY$3:$EY$33)*B12)</f>
        <v>0</v>
      </c>
      <c r="I12" s="159">
        <f>H12*(100%-'Données projet'!$C$24)*(100%-'Données projet'!$C$25)*(100%-'Données projet'!$C$26)*(100%-'Données projet'!$C$27)</f>
        <v>0</v>
      </c>
      <c r="J12" s="160">
        <f>IF(OR('Données projet'!B15="",'Données projet'!C15="",'Données projet'!C15=0%),0,SUM(Calculateur!$ER$3:$ER$33)*VLOOKUP('Données projet'!$B$15,Paramètres!$A$1:$I$88,9,0)*B12)</f>
        <v>0</v>
      </c>
      <c r="K12" s="161">
        <f>J12*(100%-'Données projet'!$C$24)*(100%-'Données projet'!$C$25)*(100%-'Données projet'!$C$26)*(100%-'Données projet'!$C$27)</f>
        <v>0</v>
      </c>
      <c r="L12" s="162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">
      <c r="A13" s="163" t="str">
        <f>IF('Données projet'!$B$16="","",'Données projet'!$B$16)</f>
        <v/>
      </c>
      <c r="B13" s="164">
        <f>'Données projet'!D16</f>
        <v>0</v>
      </c>
      <c r="C13" s="157">
        <f>IF(OR('Données projet'!B16="",'Données projet'!C16="",'Données projet'!C16=0%),0,Calculateur!FJ3)</f>
        <v>0</v>
      </c>
      <c r="D13" s="157">
        <f>IF(OR('Données projet'!B16="",'Données projet'!C16="",'Données projet'!C16=0%),0,Calculateur!FK3)</f>
        <v>0</v>
      </c>
      <c r="E13" s="157">
        <f t="shared" si="0"/>
        <v>0</v>
      </c>
      <c r="F13" s="157">
        <f t="shared" si="1"/>
        <v>0</v>
      </c>
      <c r="G13" s="157">
        <f>F13*(100%-'Données projet'!$C$24)*(100%-'Données projet'!$C$25)*(100%-'Données projet'!$C$26)*(100%-'Données projet'!$C$27)</f>
        <v>0</v>
      </c>
      <c r="H13" s="165">
        <f>IF(OR('Données projet'!B16="",'Données projet'!C16="",'Données projet'!C16=0%),0,AVERAGE(Calculateur!$FT$3:$FT$33)*B13)</f>
        <v>0</v>
      </c>
      <c r="I13" s="159">
        <f>H13*(100%-'Données projet'!$C$24)*(100%-'Données projet'!$C$25)*(100%-'Données projet'!$C$26)*(100%-'Données projet'!$C$27)</f>
        <v>0</v>
      </c>
      <c r="J13" s="160">
        <f>IF(OR('Données projet'!C16="",'Données projet'!C16=0%),0,SUM(Calculateur!$FM$3:$FM$33)*VLOOKUP('Données projet'!$B$16,Paramètres!$A$1:$I$88,9,0)*B13)</f>
        <v>0</v>
      </c>
      <c r="K13" s="161">
        <f>J13*(100%-'Données projet'!$C$24)*(100%-'Données projet'!$C$25)*(100%-'Données projet'!$C$26)*(100%-'Données projet'!$C$27)</f>
        <v>0</v>
      </c>
      <c r="L13" s="162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">
      <c r="A14" s="163" t="str">
        <f>IF('Données projet'!$B$17="","",'Données projet'!$B$17)</f>
        <v/>
      </c>
      <c r="B14" s="164">
        <f>'Données projet'!D17</f>
        <v>0</v>
      </c>
      <c r="C14" s="157">
        <f>IF(OR('Données projet'!B17="",'Données projet'!C17="",'Données projet'!C17=0%),0,Calculateur!GE3)</f>
        <v>0</v>
      </c>
      <c r="D14" s="157">
        <f>IF(OR('Données projet'!B17="",'Données projet'!C17="",'Données projet'!C17=0%),0,Calculateur!GF3)</f>
        <v>0</v>
      </c>
      <c r="E14" s="157">
        <f t="shared" si="0"/>
        <v>0</v>
      </c>
      <c r="F14" s="157">
        <f t="shared" si="1"/>
        <v>0</v>
      </c>
      <c r="G14" s="157">
        <f>F14*(100%-'Données projet'!$C$24)*(100%-'Données projet'!$C$25)*(100%-'Données projet'!$C$26)*(100%-'Données projet'!$C$27)</f>
        <v>0</v>
      </c>
      <c r="H14" s="165">
        <f>IF(OR('Données projet'!B17="",'Données projet'!C17="",'Données projet'!C17=0%),0,AVERAGE(Calculateur!$GO$3:$GO$33)*B14)</f>
        <v>0</v>
      </c>
      <c r="I14" s="159">
        <f>H14*(100%-'Données projet'!$C$24)*(100%-'Données projet'!$C$25)*(100%-'Données projet'!$C$26)*(100%-'Données projet'!$C$27)</f>
        <v>0</v>
      </c>
      <c r="J14" s="160">
        <f>IF(OR('Données projet'!B17="",'Données projet'!C17="",'Données projet'!C17=0%),0,SUM(Calculateur!$GH$3:$GH$33)*VLOOKUP('Données projet'!$B$17,Paramètres!$A$1:$I$88,9,0)*B14)</f>
        <v>0</v>
      </c>
      <c r="K14" s="161">
        <f>J14*(100%-'Données projet'!$C$24)*(100%-'Données projet'!$C$25)*(100%-'Données projet'!$C$26)*(100%-'Données projet'!$C$27)</f>
        <v>0</v>
      </c>
      <c r="L14" s="162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 x14ac:dyDescent="0.25">
      <c r="A15" s="166" t="str">
        <f>IF('Données projet'!B18="","",'Données projet'!B18)</f>
        <v/>
      </c>
      <c r="B15" s="167">
        <f>'Données projet'!D18</f>
        <v>0</v>
      </c>
      <c r="C15" s="168">
        <f>IF(OR('Données projet'!B18="",'Données projet'!C18="",'Données projet'!C18=0%),0,Calculateur!GZ3)</f>
        <v>0</v>
      </c>
      <c r="D15" s="168">
        <f>IF(OR('Données projet'!B18="",'Données projet'!C18="",'Données projet'!C18=0%),0,Calculateur!HA3)</f>
        <v>0</v>
      </c>
      <c r="E15" s="168">
        <f t="shared" si="0"/>
        <v>0</v>
      </c>
      <c r="F15" s="169">
        <f t="shared" si="1"/>
        <v>0</v>
      </c>
      <c r="G15" s="169">
        <f>F15*(100%-'Données projet'!$C$24)*(100%-'Données projet'!$C$25)*(100%-'Données projet'!$C$26)*(100%-'Données projet'!$C$27)</f>
        <v>0</v>
      </c>
      <c r="H15" s="170">
        <f>IF(OR('Données projet'!B18="",'Données projet'!C18="",'Données projet'!C18=0%),0,AVERAGE(Calculateur!$HJ$3:$HJ$33)*B15)</f>
        <v>0</v>
      </c>
      <c r="I15" s="171">
        <f>H15*(100%-'Données projet'!$C$24)*(100%-'Données projet'!$C$25)*(100%-'Données projet'!$C$26)*(100%-'Données projet'!$C$27)</f>
        <v>0</v>
      </c>
      <c r="J15" s="172">
        <f>IF(OR('Données projet'!B18="",'Données projet'!C18="",'Données projet'!C18=0%),0,SUM(Calculateur!$HC$3:$HC$33)*VLOOKUP('Données projet'!$B$18,Paramètres!$A$1:$I$88,9,0)*B15)</f>
        <v>0</v>
      </c>
      <c r="K15" s="173">
        <f>J15*(100%-'Données projet'!$C$24)*(100%-'Données projet'!$C$25)*(100%-'Données projet'!$C$26)*(100%-'Données projet'!$C$27)</f>
        <v>0</v>
      </c>
      <c r="L15" s="174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 x14ac:dyDescent="0.25">
      <c r="A16" s="237"/>
      <c r="B16" s="247"/>
      <c r="C16" s="248"/>
      <c r="D16" s="25"/>
      <c r="E16" s="25"/>
      <c r="F16" s="175">
        <f t="shared" ref="F16:L16" ca="1" si="3">SUM(F6:F15)</f>
        <v>2346.2836607371833</v>
      </c>
      <c r="G16" s="176">
        <f t="shared" ca="1" si="3"/>
        <v>2111.6552946634647</v>
      </c>
      <c r="H16" s="177">
        <f t="shared" si="3"/>
        <v>120.57642484330768</v>
      </c>
      <c r="I16" s="177">
        <f t="shared" si="3"/>
        <v>108.51878235897692</v>
      </c>
      <c r="J16" s="178">
        <f t="shared" si="3"/>
        <v>1263.3420519000001</v>
      </c>
      <c r="K16" s="178">
        <f t="shared" si="3"/>
        <v>1137.0078467099997</v>
      </c>
      <c r="L16" s="179">
        <f t="shared" ca="1" si="3"/>
        <v>3357.1819237324416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">
      <c r="A17" s="237"/>
      <c r="B17" s="247"/>
      <c r="C17" s="248"/>
      <c r="D17" s="244"/>
      <c r="E17" s="244"/>
      <c r="F17" s="298" t="s">
        <v>246</v>
      </c>
      <c r="G17" s="299"/>
      <c r="H17" s="299"/>
      <c r="I17" s="299"/>
      <c r="J17" s="299"/>
      <c r="K17" s="299"/>
      <c r="L17" s="29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">
      <c r="A18" s="237"/>
      <c r="B18" s="247"/>
      <c r="C18" s="248"/>
      <c r="D18" s="244"/>
      <c r="E18" s="244"/>
      <c r="F18" s="300"/>
      <c r="G18" s="300"/>
      <c r="H18" s="300"/>
      <c r="I18" s="300"/>
      <c r="J18" s="300"/>
      <c r="K18" s="300"/>
      <c r="L18" s="30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">
      <c r="A19" s="25"/>
      <c r="B19" s="25"/>
      <c r="C19" s="25"/>
      <c r="D19" s="25"/>
      <c r="E19" s="25"/>
      <c r="F19" s="25"/>
      <c r="G19" s="25"/>
      <c r="H19" s="25"/>
      <c r="I19" s="244"/>
      <c r="J19" s="244"/>
      <c r="K19" s="244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 x14ac:dyDescent="0.25">
      <c r="A20" s="25"/>
      <c r="B20" s="25"/>
      <c r="C20" s="25"/>
      <c r="D20" s="25"/>
      <c r="E20" s="25"/>
      <c r="F20" s="25"/>
      <c r="G20" s="25"/>
      <c r="H20" s="25"/>
      <c r="I20" s="244"/>
      <c r="J20" s="244"/>
      <c r="K20" s="244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 x14ac:dyDescent="0.25">
      <c r="A21" s="180" t="str">
        <f>A6</f>
        <v>Pin laricio</v>
      </c>
      <c r="B21" s="5"/>
      <c r="C21" s="5"/>
      <c r="D21" s="5"/>
      <c r="E21" s="5"/>
      <c r="F21" s="5"/>
      <c r="G21" s="5"/>
      <c r="H21" s="5"/>
      <c r="I21" s="244"/>
      <c r="J21" s="244"/>
      <c r="K21" s="244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">
      <c r="A22" s="5"/>
      <c r="B22" s="5"/>
      <c r="C22" s="5"/>
      <c r="D22" s="5"/>
      <c r="E22" s="5"/>
      <c r="F22" s="5"/>
      <c r="G22" s="5"/>
      <c r="H22" s="5"/>
      <c r="I22" s="244"/>
      <c r="J22" s="244"/>
      <c r="K22" s="244"/>
      <c r="L22" s="244"/>
      <c r="M22" s="244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">
      <c r="A23" s="5"/>
      <c r="B23" s="5"/>
      <c r="C23" s="5"/>
      <c r="D23" s="5"/>
      <c r="E23" s="5"/>
      <c r="F23" s="5"/>
      <c r="G23" s="5"/>
      <c r="H23" s="5"/>
      <c r="I23" s="244"/>
      <c r="J23" s="244"/>
      <c r="K23" s="244"/>
      <c r="L23" s="244"/>
      <c r="M23" s="244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">
      <c r="A24" s="5"/>
      <c r="B24" s="5"/>
      <c r="C24" s="5"/>
      <c r="D24" s="5"/>
      <c r="E24" s="5"/>
      <c r="F24" s="5"/>
      <c r="G24" s="5"/>
      <c r="H24" s="5"/>
      <c r="I24" s="244"/>
      <c r="J24" s="244"/>
      <c r="K24" s="244"/>
      <c r="L24" s="244"/>
      <c r="M24" s="244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">
      <c r="A25" s="5"/>
      <c r="B25" s="5"/>
      <c r="C25" s="5"/>
      <c r="D25" s="5"/>
      <c r="E25" s="5"/>
      <c r="F25" s="5"/>
      <c r="G25" s="5"/>
      <c r="H25" s="5"/>
      <c r="I25" s="244"/>
      <c r="J25" s="244"/>
      <c r="K25" s="244"/>
      <c r="L25" s="244"/>
      <c r="M25" s="244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">
      <c r="A26" s="5"/>
      <c r="B26" s="5"/>
      <c r="C26" s="5"/>
      <c r="D26" s="5"/>
      <c r="E26" s="5"/>
      <c r="F26" s="5"/>
      <c r="G26" s="5"/>
      <c r="H26" s="5"/>
      <c r="I26" s="244"/>
      <c r="J26" s="244"/>
      <c r="K26" s="244"/>
      <c r="L26" s="244"/>
      <c r="M26" s="244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">
      <c r="A27" s="5"/>
      <c r="B27" s="5"/>
      <c r="C27" s="5"/>
      <c r="D27" s="5"/>
      <c r="E27" s="5"/>
      <c r="F27" s="5"/>
      <c r="G27" s="5"/>
      <c r="H27" s="5"/>
      <c r="I27" s="244"/>
      <c r="J27" s="244"/>
      <c r="K27" s="244"/>
      <c r="L27" s="244"/>
      <c r="M27" s="244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">
      <c r="A28" s="5"/>
      <c r="B28" s="5"/>
      <c r="C28" s="5"/>
      <c r="D28" s="5"/>
      <c r="E28" s="5"/>
      <c r="F28" s="5"/>
      <c r="G28" s="5"/>
      <c r="H28" s="5"/>
      <c r="I28" s="244"/>
      <c r="J28" s="244"/>
      <c r="K28" s="244"/>
      <c r="L28" s="244"/>
      <c r="M28" s="244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">
      <c r="A29" s="5"/>
      <c r="B29" s="5"/>
      <c r="C29" s="5"/>
      <c r="D29" s="5"/>
      <c r="E29" s="5"/>
      <c r="F29" s="5"/>
      <c r="G29" s="5"/>
      <c r="H29" s="5"/>
      <c r="I29" s="244"/>
      <c r="J29" s="244"/>
      <c r="K29" s="244"/>
      <c r="L29" s="244"/>
      <c r="M29" s="244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">
      <c r="A30" s="5"/>
      <c r="B30" s="5"/>
      <c r="C30" s="5"/>
      <c r="D30" s="5"/>
      <c r="E30" s="5"/>
      <c r="F30" s="5"/>
      <c r="G30" s="5"/>
      <c r="H30" s="5"/>
      <c r="I30" s="244"/>
      <c r="J30" s="244"/>
      <c r="K30" s="244"/>
      <c r="L30" s="244"/>
      <c r="M30" s="244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">
      <c r="A31" s="5"/>
      <c r="B31" s="5"/>
      <c r="C31" s="5"/>
      <c r="D31" s="5"/>
      <c r="E31" s="5"/>
      <c r="F31" s="5"/>
      <c r="G31" s="5"/>
      <c r="H31" s="5"/>
      <c r="I31" s="244"/>
      <c r="J31" s="244"/>
      <c r="K31" s="244"/>
      <c r="L31" s="244"/>
      <c r="M31" s="244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">
      <c r="A32" s="5"/>
      <c r="B32" s="5"/>
      <c r="C32" s="5"/>
      <c r="D32" s="5"/>
      <c r="E32" s="5"/>
      <c r="F32" s="5"/>
      <c r="G32" s="5"/>
      <c r="H32" s="5"/>
      <c r="I32" s="244"/>
      <c r="J32" s="244"/>
      <c r="K32" s="244"/>
      <c r="L32" s="244"/>
      <c r="M32" s="244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">
      <c r="A33" s="5"/>
      <c r="B33" s="5"/>
      <c r="C33" s="5"/>
      <c r="D33" s="5"/>
      <c r="E33" s="5"/>
      <c r="F33" s="5"/>
      <c r="G33" s="5"/>
      <c r="H33" s="5"/>
      <c r="I33" s="244"/>
      <c r="J33" s="244"/>
      <c r="K33" s="244"/>
      <c r="L33" s="244"/>
      <c r="M33" s="244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">
      <c r="A34" s="5"/>
      <c r="B34" s="5"/>
      <c r="C34" s="5"/>
      <c r="D34" s="5"/>
      <c r="E34" s="5"/>
      <c r="F34" s="5"/>
      <c r="G34" s="5"/>
      <c r="H34" s="5"/>
      <c r="I34" s="244"/>
      <c r="J34" s="244"/>
      <c r="K34" s="244"/>
      <c r="L34" s="244"/>
      <c r="M34" s="244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">
      <c r="A35" s="5"/>
      <c r="B35" s="5"/>
      <c r="C35" s="5"/>
      <c r="D35" s="5"/>
      <c r="E35" s="5"/>
      <c r="F35" s="5"/>
      <c r="G35" s="5"/>
      <c r="H35" s="5"/>
      <c r="I35" s="244"/>
      <c r="J35" s="244"/>
      <c r="K35" s="244"/>
      <c r="L35" s="244"/>
      <c r="M35" s="244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">
      <c r="A36" s="5"/>
      <c r="B36" s="5"/>
      <c r="C36" s="5"/>
      <c r="D36" s="5"/>
      <c r="E36" s="5"/>
      <c r="F36" s="5"/>
      <c r="G36" s="5"/>
      <c r="H36" s="5"/>
      <c r="I36" s="244"/>
      <c r="J36" s="244"/>
      <c r="K36" s="244"/>
      <c r="L36" s="244"/>
      <c r="M36" s="244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">
      <c r="A37" s="5"/>
      <c r="B37" s="5"/>
      <c r="C37" s="5"/>
      <c r="D37" s="5"/>
      <c r="E37" s="5"/>
      <c r="F37" s="5"/>
      <c r="G37" s="5"/>
      <c r="H37" s="5"/>
      <c r="I37" s="244"/>
      <c r="J37" s="244"/>
      <c r="K37" s="244"/>
      <c r="L37" s="244"/>
      <c r="M37" s="244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 x14ac:dyDescent="0.25">
      <c r="A38" s="5"/>
      <c r="B38" s="5"/>
      <c r="C38" s="5"/>
      <c r="D38" s="5"/>
      <c r="E38" s="5"/>
      <c r="F38" s="5"/>
      <c r="G38" s="5"/>
      <c r="H38" s="5"/>
      <c r="I38" s="244"/>
      <c r="J38" s="244"/>
      <c r="K38" s="244"/>
      <c r="L38" s="244"/>
      <c r="M38" s="244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 x14ac:dyDescent="0.25">
      <c r="A39" s="180" t="str">
        <f>A7</f>
        <v>Pin maritime</v>
      </c>
      <c r="B39" s="5"/>
      <c r="C39" s="5"/>
      <c r="D39" s="5"/>
      <c r="E39" s="5"/>
      <c r="F39" s="5"/>
      <c r="G39" s="5"/>
      <c r="H39" s="5"/>
      <c r="I39" s="244"/>
      <c r="J39" s="244"/>
      <c r="K39" s="244"/>
      <c r="L39" s="244"/>
      <c r="M39" s="244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">
      <c r="A40" s="5"/>
      <c r="B40" s="5"/>
      <c r="C40" s="5"/>
      <c r="D40" s="5"/>
      <c r="E40" s="5"/>
      <c r="F40" s="5"/>
      <c r="G40" s="5"/>
      <c r="H40" s="5"/>
      <c r="I40" s="244"/>
      <c r="J40" s="244"/>
      <c r="K40" s="244"/>
      <c r="L40" s="244"/>
      <c r="M40" s="244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">
      <c r="A41" s="5"/>
      <c r="B41" s="5"/>
      <c r="C41" s="5"/>
      <c r="D41" s="5"/>
      <c r="E41" s="5"/>
      <c r="F41" s="5"/>
      <c r="G41" s="5"/>
      <c r="H41" s="5"/>
      <c r="I41" s="244"/>
      <c r="J41" s="244"/>
      <c r="K41" s="244"/>
      <c r="L41" s="244"/>
      <c r="M41" s="244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">
      <c r="A42" s="5"/>
      <c r="B42" s="5"/>
      <c r="C42" s="5"/>
      <c r="D42" s="5"/>
      <c r="E42" s="5"/>
      <c r="F42" s="5"/>
      <c r="G42" s="5"/>
      <c r="H42" s="5"/>
      <c r="I42" s="244"/>
      <c r="J42" s="244"/>
      <c r="K42" s="244"/>
      <c r="L42" s="244"/>
      <c r="M42" s="244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">
      <c r="A43" s="5"/>
      <c r="B43" s="5"/>
      <c r="C43" s="5"/>
      <c r="D43" s="5"/>
      <c r="E43" s="5"/>
      <c r="F43" s="5"/>
      <c r="G43" s="5"/>
      <c r="H43" s="5"/>
      <c r="I43" s="244"/>
      <c r="J43" s="244"/>
      <c r="K43" s="244"/>
      <c r="L43" s="244"/>
      <c r="M43" s="244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">
      <c r="A44" s="5"/>
      <c r="B44" s="5"/>
      <c r="C44" s="5"/>
      <c r="D44" s="5"/>
      <c r="E44" s="5"/>
      <c r="F44" s="5"/>
      <c r="G44" s="5"/>
      <c r="H44" s="5"/>
      <c r="I44" s="244"/>
      <c r="J44" s="244"/>
      <c r="K44" s="244"/>
      <c r="L44" s="244"/>
      <c r="M44" s="244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">
      <c r="A45" s="5"/>
      <c r="B45" s="5"/>
      <c r="C45" s="5"/>
      <c r="D45" s="5"/>
      <c r="E45" s="5"/>
      <c r="F45" s="5"/>
      <c r="G45" s="5"/>
      <c r="H45" s="5"/>
      <c r="I45" s="244"/>
      <c r="J45" s="244"/>
      <c r="K45" s="244"/>
      <c r="L45" s="244"/>
      <c r="M45" s="244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">
      <c r="A46" s="5"/>
      <c r="B46" s="5"/>
      <c r="C46" s="5"/>
      <c r="D46" s="5"/>
      <c r="E46" s="5"/>
      <c r="F46" s="5"/>
      <c r="G46" s="5"/>
      <c r="H46" s="5"/>
      <c r="I46" s="244"/>
      <c r="J46" s="244"/>
      <c r="K46" s="244"/>
      <c r="L46" s="244"/>
      <c r="M46" s="244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">
      <c r="A47" s="5"/>
      <c r="B47" s="5"/>
      <c r="C47" s="5"/>
      <c r="D47" s="5"/>
      <c r="E47" s="5"/>
      <c r="F47" s="5"/>
      <c r="G47" s="5"/>
      <c r="H47" s="5"/>
      <c r="I47" s="244"/>
      <c r="J47" s="244"/>
      <c r="K47" s="244"/>
      <c r="L47" s="244"/>
      <c r="M47" s="244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">
      <c r="A48" s="5"/>
      <c r="B48" s="5"/>
      <c r="C48" s="5"/>
      <c r="D48" s="5"/>
      <c r="E48" s="5"/>
      <c r="F48" s="5"/>
      <c r="G48" s="5"/>
      <c r="H48" s="5"/>
      <c r="I48" s="244"/>
      <c r="J48" s="244"/>
      <c r="K48" s="244"/>
      <c r="L48" s="244"/>
      <c r="M48" s="244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">
      <c r="A49" s="5"/>
      <c r="B49" s="5"/>
      <c r="C49" s="5"/>
      <c r="D49" s="5"/>
      <c r="E49" s="5"/>
      <c r="F49" s="5"/>
      <c r="G49" s="5"/>
      <c r="H49" s="5"/>
      <c r="I49" s="244"/>
      <c r="J49" s="244"/>
      <c r="K49" s="244"/>
      <c r="L49" s="244"/>
      <c r="M49" s="244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">
      <c r="A50" s="5"/>
      <c r="B50" s="5"/>
      <c r="C50" s="5"/>
      <c r="D50" s="5"/>
      <c r="E50" s="5"/>
      <c r="F50" s="5"/>
      <c r="G50" s="5"/>
      <c r="H50" s="5"/>
      <c r="I50" s="244"/>
      <c r="J50" s="244"/>
      <c r="K50" s="244"/>
      <c r="L50" s="244"/>
      <c r="M50" s="244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">
      <c r="A51" s="5"/>
      <c r="B51" s="5"/>
      <c r="C51" s="5"/>
      <c r="D51" s="5"/>
      <c r="E51" s="5"/>
      <c r="F51" s="5"/>
      <c r="G51" s="5"/>
      <c r="H51" s="5"/>
      <c r="I51" s="244"/>
      <c r="J51" s="244"/>
      <c r="K51" s="244"/>
      <c r="L51" s="244"/>
      <c r="M51" s="244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">
      <c r="A52" s="5"/>
      <c r="B52" s="5"/>
      <c r="C52" s="5"/>
      <c r="D52" s="5"/>
      <c r="E52" s="5"/>
      <c r="F52" s="5"/>
      <c r="G52" s="5"/>
      <c r="H52" s="5"/>
      <c r="I52" s="244"/>
      <c r="J52" s="244"/>
      <c r="K52" s="244"/>
      <c r="L52" s="244"/>
      <c r="M52" s="244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">
      <c r="A53" s="5"/>
      <c r="B53" s="5"/>
      <c r="C53" s="5"/>
      <c r="D53" s="5"/>
      <c r="E53" s="5"/>
      <c r="F53" s="5"/>
      <c r="G53" s="5"/>
      <c r="H53" s="5"/>
      <c r="I53" s="244"/>
      <c r="J53" s="244"/>
      <c r="K53" s="244"/>
      <c r="L53" s="244"/>
      <c r="M53" s="244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">
      <c r="A54" s="5"/>
      <c r="B54" s="5"/>
      <c r="C54" s="5"/>
      <c r="D54" s="5"/>
      <c r="E54" s="5"/>
      <c r="F54" s="5"/>
      <c r="G54" s="5"/>
      <c r="H54" s="5"/>
      <c r="I54" s="244"/>
      <c r="J54" s="244"/>
      <c r="K54" s="244"/>
      <c r="L54" s="244"/>
      <c r="M54" s="244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">
      <c r="A55" s="5"/>
      <c r="B55" s="5"/>
      <c r="C55" s="5"/>
      <c r="D55" s="5"/>
      <c r="E55" s="5"/>
      <c r="F55" s="5"/>
      <c r="G55" s="5"/>
      <c r="H55" s="5"/>
      <c r="I55" s="244"/>
      <c r="J55" s="244"/>
      <c r="K55" s="244"/>
      <c r="L55" s="244"/>
      <c r="M55" s="244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 x14ac:dyDescent="0.25">
      <c r="A56" s="5"/>
      <c r="B56" s="5"/>
      <c r="C56" s="5"/>
      <c r="D56" s="5"/>
      <c r="E56" s="5"/>
      <c r="F56" s="5"/>
      <c r="G56" s="5"/>
      <c r="H56" s="5"/>
      <c r="I56" s="244"/>
      <c r="J56" s="244"/>
      <c r="K56" s="244"/>
      <c r="L56" s="244"/>
      <c r="M56" s="244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 x14ac:dyDescent="0.25">
      <c r="A57" s="180" t="str">
        <f>A8</f>
        <v>Chêne vert</v>
      </c>
      <c r="B57" s="5"/>
      <c r="C57" s="5"/>
      <c r="D57" s="5"/>
      <c r="E57" s="5"/>
      <c r="F57" s="5"/>
      <c r="G57" s="5"/>
      <c r="H57" s="5"/>
      <c r="I57" s="244"/>
      <c r="J57" s="244"/>
      <c r="K57" s="244"/>
      <c r="L57" s="244"/>
      <c r="M57" s="244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">
      <c r="A58" s="5"/>
      <c r="B58" s="5"/>
      <c r="C58" s="5"/>
      <c r="D58" s="5"/>
      <c r="E58" s="5"/>
      <c r="F58" s="5"/>
      <c r="G58" s="5"/>
      <c r="H58" s="5"/>
      <c r="I58" s="244"/>
      <c r="J58" s="244"/>
      <c r="K58" s="244"/>
      <c r="L58" s="244"/>
      <c r="M58" s="244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">
      <c r="A59" s="5"/>
      <c r="B59" s="5"/>
      <c r="C59" s="5"/>
      <c r="D59" s="5"/>
      <c r="E59" s="5"/>
      <c r="F59" s="5"/>
      <c r="G59" s="5"/>
      <c r="H59" s="5"/>
      <c r="I59" s="244"/>
      <c r="J59" s="244"/>
      <c r="K59" s="244"/>
      <c r="L59" s="244"/>
      <c r="M59" s="244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">
      <c r="A60" s="5"/>
      <c r="B60" s="5"/>
      <c r="C60" s="5"/>
      <c r="D60" s="5"/>
      <c r="E60" s="5"/>
      <c r="F60" s="5"/>
      <c r="G60" s="5"/>
      <c r="H60" s="5"/>
      <c r="I60" s="244"/>
      <c r="J60" s="244"/>
      <c r="K60" s="244"/>
      <c r="L60" s="244"/>
      <c r="M60" s="244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">
      <c r="A61" s="5"/>
      <c r="B61" s="5"/>
      <c r="C61" s="5"/>
      <c r="D61" s="5"/>
      <c r="E61" s="5"/>
      <c r="F61" s="5"/>
      <c r="G61" s="5"/>
      <c r="H61" s="5"/>
      <c r="I61" s="244"/>
      <c r="J61" s="244"/>
      <c r="K61" s="244"/>
      <c r="L61" s="244"/>
      <c r="M61" s="244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">
      <c r="A62" s="5"/>
      <c r="B62" s="5"/>
      <c r="C62" s="5"/>
      <c r="D62" s="5"/>
      <c r="E62" s="5"/>
      <c r="F62" s="5"/>
      <c r="G62" s="5"/>
      <c r="H62" s="5"/>
      <c r="I62" s="244"/>
      <c r="J62" s="244"/>
      <c r="K62" s="244"/>
      <c r="L62" s="244"/>
      <c r="M62" s="244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">
      <c r="A63" s="5"/>
      <c r="B63" s="5"/>
      <c r="C63" s="5"/>
      <c r="D63" s="5"/>
      <c r="E63" s="5"/>
      <c r="F63" s="5"/>
      <c r="G63" s="5"/>
      <c r="H63" s="5"/>
      <c r="I63" s="244"/>
      <c r="J63" s="244"/>
      <c r="K63" s="244"/>
      <c r="L63" s="244"/>
      <c r="M63" s="244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">
      <c r="A64" s="5"/>
      <c r="B64" s="5"/>
      <c r="C64" s="5"/>
      <c r="D64" s="5"/>
      <c r="E64" s="5"/>
      <c r="F64" s="5"/>
      <c r="G64" s="5"/>
      <c r="H64" s="5"/>
      <c r="I64" s="244"/>
      <c r="J64" s="244"/>
      <c r="K64" s="244"/>
      <c r="L64" s="244"/>
      <c r="M64" s="244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">
      <c r="A65" s="5"/>
      <c r="B65" s="5"/>
      <c r="C65" s="5"/>
      <c r="D65" s="5"/>
      <c r="E65" s="5"/>
      <c r="F65" s="5"/>
      <c r="G65" s="5"/>
      <c r="H65" s="5"/>
      <c r="I65" s="244"/>
      <c r="J65" s="244"/>
      <c r="K65" s="244"/>
      <c r="L65" s="244"/>
      <c r="M65" s="244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">
      <c r="A66" s="5"/>
      <c r="B66" s="5"/>
      <c r="C66" s="5"/>
      <c r="D66" s="5"/>
      <c r="E66" s="5"/>
      <c r="F66" s="5"/>
      <c r="G66" s="5"/>
      <c r="H66" s="5"/>
      <c r="I66" s="244"/>
      <c r="J66" s="244"/>
      <c r="K66" s="244"/>
      <c r="L66" s="244"/>
      <c r="M66" s="244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">
      <c r="A67" s="5"/>
      <c r="B67" s="5"/>
      <c r="C67" s="5"/>
      <c r="D67" s="5"/>
      <c r="E67" s="5"/>
      <c r="F67" s="5"/>
      <c r="G67" s="5"/>
      <c r="H67" s="5"/>
      <c r="I67" s="244"/>
      <c r="J67" s="244"/>
      <c r="K67" s="244"/>
      <c r="L67" s="244"/>
      <c r="M67" s="244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">
      <c r="A68" s="5"/>
      <c r="B68" s="5"/>
      <c r="C68" s="5"/>
      <c r="D68" s="5"/>
      <c r="E68" s="5"/>
      <c r="F68" s="5"/>
      <c r="G68" s="5"/>
      <c r="H68" s="5"/>
      <c r="I68" s="244"/>
      <c r="J68" s="244"/>
      <c r="K68" s="244"/>
      <c r="L68" s="244"/>
      <c r="M68" s="244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">
      <c r="A69" s="5"/>
      <c r="B69" s="5"/>
      <c r="C69" s="5"/>
      <c r="D69" s="5"/>
      <c r="E69" s="5"/>
      <c r="F69" s="5"/>
      <c r="G69" s="5"/>
      <c r="H69" s="5"/>
      <c r="I69" s="244"/>
      <c r="J69" s="244"/>
      <c r="K69" s="244"/>
      <c r="L69" s="244"/>
      <c r="M69" s="244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">
      <c r="A70" s="5"/>
      <c r="B70" s="5"/>
      <c r="C70" s="5"/>
      <c r="D70" s="5"/>
      <c r="E70" s="5"/>
      <c r="F70" s="5"/>
      <c r="G70" s="5"/>
      <c r="H70" s="5"/>
      <c r="I70" s="244"/>
      <c r="J70" s="244"/>
      <c r="K70" s="244"/>
      <c r="L70" s="244"/>
      <c r="M70" s="244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">
      <c r="A71" s="5"/>
      <c r="B71" s="5"/>
      <c r="C71" s="5"/>
      <c r="D71" s="5"/>
      <c r="E71" s="5"/>
      <c r="F71" s="5"/>
      <c r="G71" s="5"/>
      <c r="H71" s="5"/>
      <c r="I71" s="244"/>
      <c r="J71" s="244"/>
      <c r="K71" s="244"/>
      <c r="L71" s="244"/>
      <c r="M71" s="244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">
      <c r="A72" s="5"/>
      <c r="B72" s="5"/>
      <c r="C72" s="5"/>
      <c r="D72" s="5"/>
      <c r="E72" s="5"/>
      <c r="F72" s="5"/>
      <c r="G72" s="5"/>
      <c r="H72" s="5"/>
      <c r="I72" s="244"/>
      <c r="J72" s="244"/>
      <c r="K72" s="244"/>
      <c r="L72" s="244"/>
      <c r="M72" s="244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">
      <c r="A73" s="5"/>
      <c r="B73" s="5"/>
      <c r="C73" s="5"/>
      <c r="D73" s="5"/>
      <c r="E73" s="5"/>
      <c r="F73" s="5"/>
      <c r="G73" s="5"/>
      <c r="H73" s="5"/>
      <c r="I73" s="244"/>
      <c r="J73" s="244"/>
      <c r="K73" s="244"/>
      <c r="L73" s="244"/>
      <c r="M73" s="244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">
      <c r="A74" s="5"/>
      <c r="B74" s="5"/>
      <c r="C74" s="5"/>
      <c r="D74" s="5"/>
      <c r="E74" s="5"/>
      <c r="F74" s="5"/>
      <c r="G74" s="5"/>
      <c r="H74" s="5"/>
      <c r="I74" s="244"/>
      <c r="J74" s="244"/>
      <c r="K74" s="244"/>
      <c r="L74" s="244"/>
      <c r="M74" s="244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 x14ac:dyDescent="0.25">
      <c r="A75" s="5"/>
      <c r="B75" s="5"/>
      <c r="C75" s="5"/>
      <c r="D75" s="5"/>
      <c r="E75" s="5"/>
      <c r="F75" s="5"/>
      <c r="G75" s="5"/>
      <c r="H75" s="5"/>
      <c r="I75" s="244"/>
      <c r="J75" s="244"/>
      <c r="K75" s="244"/>
      <c r="L75" s="244"/>
      <c r="M75" s="244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 x14ac:dyDescent="0.25">
      <c r="A76" s="180" t="str">
        <f>A9</f>
        <v>Aulne glutineux</v>
      </c>
      <c r="B76" s="5"/>
      <c r="C76" s="5"/>
      <c r="D76" s="5"/>
      <c r="E76" s="5"/>
      <c r="F76" s="5"/>
      <c r="G76" s="5"/>
      <c r="H76" s="5"/>
      <c r="I76" s="244"/>
      <c r="J76" s="244"/>
      <c r="K76" s="244"/>
      <c r="L76" s="244"/>
      <c r="M76" s="244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">
      <c r="A77" s="5"/>
      <c r="B77" s="5"/>
      <c r="C77" s="5"/>
      <c r="D77" s="5"/>
      <c r="E77" s="5"/>
      <c r="F77" s="5"/>
      <c r="G77" s="5"/>
      <c r="H77" s="5"/>
      <c r="I77" s="244"/>
      <c r="J77" s="244"/>
      <c r="K77" s="244"/>
      <c r="L77" s="244"/>
      <c r="M77" s="244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">
      <c r="A78" s="5"/>
      <c r="B78" s="5"/>
      <c r="C78" s="5"/>
      <c r="D78" s="5"/>
      <c r="E78" s="5"/>
      <c r="F78" s="5"/>
      <c r="G78" s="5"/>
      <c r="H78" s="5"/>
      <c r="I78" s="244"/>
      <c r="J78" s="244"/>
      <c r="K78" s="244"/>
      <c r="L78" s="244"/>
      <c r="M78" s="244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">
      <c r="A79" s="5"/>
      <c r="B79" s="5"/>
      <c r="C79" s="5"/>
      <c r="D79" s="5"/>
      <c r="E79" s="5"/>
      <c r="F79" s="5"/>
      <c r="G79" s="5"/>
      <c r="H79" s="5"/>
      <c r="I79" s="244"/>
      <c r="J79" s="244"/>
      <c r="K79" s="244"/>
      <c r="L79" s="244"/>
      <c r="M79" s="244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">
      <c r="A80" s="5"/>
      <c r="B80" s="5"/>
      <c r="C80" s="5"/>
      <c r="D80" s="5"/>
      <c r="E80" s="5"/>
      <c r="F80" s="5"/>
      <c r="G80" s="5"/>
      <c r="H80" s="5"/>
      <c r="I80" s="244"/>
      <c r="J80" s="244"/>
      <c r="K80" s="244"/>
      <c r="L80" s="244"/>
      <c r="M80" s="244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">
      <c r="A81" s="5"/>
      <c r="B81" s="5"/>
      <c r="C81" s="5"/>
      <c r="D81" s="5"/>
      <c r="E81" s="5"/>
      <c r="F81" s="5"/>
      <c r="G81" s="5"/>
      <c r="H81" s="5"/>
      <c r="I81" s="244"/>
      <c r="J81" s="244"/>
      <c r="K81" s="244"/>
      <c r="L81" s="244"/>
      <c r="M81" s="244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">
      <c r="A82" s="5"/>
      <c r="B82" s="5"/>
      <c r="C82" s="5"/>
      <c r="D82" s="5"/>
      <c r="E82" s="5"/>
      <c r="F82" s="5"/>
      <c r="G82" s="5"/>
      <c r="H82" s="5"/>
      <c r="I82" s="244"/>
      <c r="J82" s="244"/>
      <c r="K82" s="244"/>
      <c r="L82" s="244"/>
      <c r="M82" s="244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">
      <c r="A83" s="5"/>
      <c r="B83" s="5"/>
      <c r="C83" s="5"/>
      <c r="D83" s="5"/>
      <c r="E83" s="5"/>
      <c r="F83" s="5"/>
      <c r="G83" s="5"/>
      <c r="H83" s="5"/>
      <c r="I83" s="244"/>
      <c r="J83" s="244"/>
      <c r="K83" s="244"/>
      <c r="L83" s="244"/>
      <c r="M83" s="244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">
      <c r="A84" s="5"/>
      <c r="B84" s="5"/>
      <c r="C84" s="5"/>
      <c r="D84" s="5"/>
      <c r="E84" s="5"/>
      <c r="F84" s="5"/>
      <c r="G84" s="5"/>
      <c r="H84" s="5"/>
      <c r="I84" s="244"/>
      <c r="J84" s="244"/>
      <c r="K84" s="244"/>
      <c r="L84" s="244"/>
      <c r="M84" s="244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">
      <c r="A85" s="5"/>
      <c r="B85" s="5"/>
      <c r="C85" s="5"/>
      <c r="D85" s="5"/>
      <c r="E85" s="5"/>
      <c r="F85" s="5"/>
      <c r="G85" s="5"/>
      <c r="H85" s="5"/>
      <c r="I85" s="244"/>
      <c r="J85" s="244"/>
      <c r="K85" s="244"/>
      <c r="L85" s="244"/>
      <c r="M85" s="244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">
      <c r="A86" s="5"/>
      <c r="B86" s="5"/>
      <c r="C86" s="5"/>
      <c r="D86" s="5"/>
      <c r="E86" s="5"/>
      <c r="F86" s="5"/>
      <c r="G86" s="5"/>
      <c r="H86" s="5"/>
      <c r="I86" s="244"/>
      <c r="J86" s="244"/>
      <c r="K86" s="244"/>
      <c r="L86" s="244"/>
      <c r="M86" s="244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">
      <c r="A87" s="5"/>
      <c r="B87" s="5"/>
      <c r="C87" s="5"/>
      <c r="D87" s="5"/>
      <c r="E87" s="5"/>
      <c r="F87" s="5"/>
      <c r="G87" s="5"/>
      <c r="H87" s="5"/>
      <c r="I87" s="244"/>
      <c r="J87" s="244"/>
      <c r="K87" s="244"/>
      <c r="L87" s="244"/>
      <c r="M87" s="244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">
      <c r="A88" s="5"/>
      <c r="B88" s="5"/>
      <c r="C88" s="5"/>
      <c r="D88" s="5"/>
      <c r="E88" s="5"/>
      <c r="F88" s="5"/>
      <c r="G88" s="5"/>
      <c r="H88" s="5"/>
      <c r="I88" s="244"/>
      <c r="J88" s="244"/>
      <c r="K88" s="244"/>
      <c r="L88" s="244"/>
      <c r="M88" s="244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">
      <c r="A89" s="5"/>
      <c r="B89" s="5"/>
      <c r="C89" s="5"/>
      <c r="D89" s="5"/>
      <c r="E89" s="5"/>
      <c r="F89" s="5"/>
      <c r="G89" s="5"/>
      <c r="H89" s="5"/>
      <c r="I89" s="244"/>
      <c r="J89" s="244"/>
      <c r="K89" s="244"/>
      <c r="L89" s="244"/>
      <c r="M89" s="244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">
      <c r="A90" s="5"/>
      <c r="B90" s="5"/>
      <c r="C90" s="5"/>
      <c r="D90" s="5"/>
      <c r="E90" s="5"/>
      <c r="F90" s="5"/>
      <c r="G90" s="5"/>
      <c r="H90" s="5"/>
      <c r="I90" s="244"/>
      <c r="J90" s="244"/>
      <c r="K90" s="244"/>
      <c r="L90" s="244"/>
      <c r="M90" s="244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">
      <c r="A91" s="5"/>
      <c r="B91" s="5"/>
      <c r="C91" s="5"/>
      <c r="D91" s="5"/>
      <c r="E91" s="5"/>
      <c r="F91" s="5"/>
      <c r="G91" s="5"/>
      <c r="H91" s="5"/>
      <c r="I91" s="244"/>
      <c r="J91" s="244"/>
      <c r="K91" s="244"/>
      <c r="L91" s="244"/>
      <c r="M91" s="244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">
      <c r="A92" s="5"/>
      <c r="B92" s="5"/>
      <c r="C92" s="5"/>
      <c r="D92" s="5"/>
      <c r="E92" s="5"/>
      <c r="F92" s="5"/>
      <c r="G92" s="5"/>
      <c r="H92" s="5"/>
      <c r="I92" s="244"/>
      <c r="J92" s="244"/>
      <c r="K92" s="244"/>
      <c r="L92" s="244"/>
      <c r="M92" s="244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 x14ac:dyDescent="0.25">
      <c r="A93" s="5"/>
      <c r="B93" s="5"/>
      <c r="C93" s="5"/>
      <c r="D93" s="5"/>
      <c r="E93" s="5"/>
      <c r="F93" s="5"/>
      <c r="G93" s="5"/>
      <c r="H93" s="5"/>
      <c r="I93" s="244"/>
      <c r="J93" s="244"/>
      <c r="K93" s="244"/>
      <c r="L93" s="244"/>
      <c r="M93" s="244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 x14ac:dyDescent="0.25">
      <c r="A94" s="180" t="str">
        <f>A10</f>
        <v>Erable sycomore</v>
      </c>
      <c r="B94" s="5"/>
      <c r="C94" s="5"/>
      <c r="D94" s="5"/>
      <c r="E94" s="5"/>
      <c r="F94" s="5"/>
      <c r="G94" s="5"/>
      <c r="H94" s="5"/>
      <c r="I94" s="244"/>
      <c r="J94" s="244"/>
      <c r="K94" s="244"/>
      <c r="L94" s="244"/>
      <c r="M94" s="244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">
      <c r="A95" s="5"/>
      <c r="B95" s="5"/>
      <c r="C95" s="5"/>
      <c r="D95" s="5"/>
      <c r="E95" s="5"/>
      <c r="F95" s="5"/>
      <c r="G95" s="5"/>
      <c r="H95" s="5"/>
      <c r="I95" s="244"/>
      <c r="J95" s="244"/>
      <c r="K95" s="244"/>
      <c r="L95" s="244"/>
      <c r="M95" s="244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">
      <c r="A96" s="5"/>
      <c r="B96" s="5"/>
      <c r="C96" s="5"/>
      <c r="D96" s="5"/>
      <c r="E96" s="5"/>
      <c r="F96" s="5"/>
      <c r="G96" s="5"/>
      <c r="H96" s="5"/>
      <c r="I96" s="244"/>
      <c r="J96" s="244"/>
      <c r="K96" s="244"/>
      <c r="L96" s="244"/>
      <c r="M96" s="244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">
      <c r="A97" s="5"/>
      <c r="B97" s="5"/>
      <c r="C97" s="5"/>
      <c r="D97" s="5"/>
      <c r="E97" s="5"/>
      <c r="F97" s="5"/>
      <c r="G97" s="5"/>
      <c r="H97" s="5"/>
      <c r="I97" s="244"/>
      <c r="J97" s="244"/>
      <c r="K97" s="244"/>
      <c r="L97" s="244"/>
      <c r="M97" s="244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">
      <c r="A98" s="5"/>
      <c r="B98" s="5"/>
      <c r="C98" s="5"/>
      <c r="D98" s="5"/>
      <c r="E98" s="5"/>
      <c r="F98" s="5"/>
      <c r="G98" s="5"/>
      <c r="H98" s="5"/>
      <c r="I98" s="244"/>
      <c r="J98" s="244"/>
      <c r="K98" s="244"/>
      <c r="L98" s="244"/>
      <c r="M98" s="244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">
      <c r="A99" s="5"/>
      <c r="B99" s="5"/>
      <c r="C99" s="5"/>
      <c r="D99" s="5"/>
      <c r="E99" s="5"/>
      <c r="F99" s="5"/>
      <c r="G99" s="5"/>
      <c r="H99" s="5"/>
      <c r="I99" s="244"/>
      <c r="J99" s="244"/>
      <c r="K99" s="244"/>
      <c r="L99" s="244"/>
      <c r="M99" s="244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">
      <c r="A100" s="5"/>
      <c r="B100" s="5"/>
      <c r="C100" s="5"/>
      <c r="D100" s="5"/>
      <c r="E100" s="5"/>
      <c r="F100" s="5"/>
      <c r="G100" s="5"/>
      <c r="H100" s="5"/>
      <c r="I100" s="244"/>
      <c r="J100" s="244"/>
      <c r="K100" s="244"/>
      <c r="L100" s="244"/>
      <c r="M100" s="244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">
      <c r="A101" s="5"/>
      <c r="B101" s="5"/>
      <c r="C101" s="5"/>
      <c r="D101" s="5"/>
      <c r="E101" s="5"/>
      <c r="F101" s="5"/>
      <c r="G101" s="5"/>
      <c r="H101" s="5"/>
      <c r="I101" s="244"/>
      <c r="J101" s="244"/>
      <c r="K101" s="244"/>
      <c r="L101" s="244"/>
      <c r="M101" s="244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">
      <c r="A102" s="5"/>
      <c r="B102" s="5"/>
      <c r="C102" s="5"/>
      <c r="D102" s="5"/>
      <c r="E102" s="5"/>
      <c r="F102" s="5"/>
      <c r="G102" s="5"/>
      <c r="H102" s="5"/>
      <c r="I102" s="244"/>
      <c r="J102" s="244"/>
      <c r="K102" s="244"/>
      <c r="L102" s="244"/>
      <c r="M102" s="244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">
      <c r="A103" s="5"/>
      <c r="B103" s="5"/>
      <c r="C103" s="5"/>
      <c r="D103" s="5"/>
      <c r="E103" s="5"/>
      <c r="F103" s="5"/>
      <c r="G103" s="5"/>
      <c r="H103" s="5"/>
      <c r="I103" s="244"/>
      <c r="J103" s="244"/>
      <c r="K103" s="244"/>
      <c r="L103" s="244"/>
      <c r="M103" s="244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">
      <c r="A104" s="5"/>
      <c r="B104" s="5"/>
      <c r="C104" s="5"/>
      <c r="D104" s="5"/>
      <c r="E104" s="5"/>
      <c r="F104" s="5"/>
      <c r="G104" s="5"/>
      <c r="H104" s="5"/>
      <c r="I104" s="244"/>
      <c r="J104" s="244"/>
      <c r="K104" s="244"/>
      <c r="L104" s="244"/>
      <c r="M104" s="244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">
      <c r="A105" s="5"/>
      <c r="B105" s="5"/>
      <c r="C105" s="5"/>
      <c r="D105" s="5"/>
      <c r="E105" s="5"/>
      <c r="F105" s="5"/>
      <c r="G105" s="5"/>
      <c r="H105" s="5"/>
      <c r="I105" s="244"/>
      <c r="J105" s="244"/>
      <c r="K105" s="244"/>
      <c r="L105" s="244"/>
      <c r="M105" s="244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">
      <c r="A106" s="5"/>
      <c r="B106" s="5"/>
      <c r="C106" s="5"/>
      <c r="D106" s="5"/>
      <c r="E106" s="5"/>
      <c r="F106" s="5"/>
      <c r="G106" s="5"/>
      <c r="H106" s="5"/>
      <c r="I106" s="244"/>
      <c r="J106" s="244"/>
      <c r="K106" s="244"/>
      <c r="L106" s="244"/>
      <c r="M106" s="244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">
      <c r="A107" s="5"/>
      <c r="B107" s="5"/>
      <c r="C107" s="5"/>
      <c r="D107" s="5"/>
      <c r="E107" s="5"/>
      <c r="F107" s="5"/>
      <c r="G107" s="5"/>
      <c r="H107" s="5"/>
      <c r="I107" s="244"/>
      <c r="J107" s="244"/>
      <c r="K107" s="244"/>
      <c r="L107" s="244"/>
      <c r="M107" s="244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">
      <c r="A108" s="5"/>
      <c r="B108" s="5"/>
      <c r="C108" s="5"/>
      <c r="D108" s="5"/>
      <c r="E108" s="5"/>
      <c r="F108" s="5"/>
      <c r="G108" s="5"/>
      <c r="H108" s="5"/>
      <c r="I108" s="244"/>
      <c r="J108" s="244"/>
      <c r="K108" s="244"/>
      <c r="L108" s="244"/>
      <c r="M108" s="244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">
      <c r="A109" s="5"/>
      <c r="B109" s="5"/>
      <c r="C109" s="5"/>
      <c r="D109" s="5"/>
      <c r="E109" s="5"/>
      <c r="F109" s="5"/>
      <c r="G109" s="5"/>
      <c r="H109" s="5"/>
      <c r="I109" s="244"/>
      <c r="J109" s="244"/>
      <c r="K109" s="244"/>
      <c r="L109" s="244"/>
      <c r="M109" s="244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">
      <c r="A110" s="5"/>
      <c r="B110" s="5"/>
      <c r="C110" s="5"/>
      <c r="D110" s="5"/>
      <c r="E110" s="5"/>
      <c r="F110" s="5"/>
      <c r="G110" s="5"/>
      <c r="H110" s="5"/>
      <c r="I110" s="244"/>
      <c r="J110" s="244"/>
      <c r="K110" s="244"/>
      <c r="L110" s="244"/>
      <c r="M110" s="244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 x14ac:dyDescent="0.25">
      <c r="A111" s="5"/>
      <c r="B111" s="5"/>
      <c r="C111" s="5"/>
      <c r="D111" s="5"/>
      <c r="E111" s="5"/>
      <c r="F111" s="5"/>
      <c r="G111" s="5"/>
      <c r="H111" s="5"/>
      <c r="I111" s="244"/>
      <c r="J111" s="244"/>
      <c r="K111" s="244"/>
      <c r="L111" s="244"/>
      <c r="M111" s="244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 x14ac:dyDescent="0.25">
      <c r="A112" s="180" t="str">
        <f>A11</f>
        <v>Peuplier Koster</v>
      </c>
      <c r="B112" s="5"/>
      <c r="C112" s="5"/>
      <c r="D112" s="5"/>
      <c r="E112" s="5"/>
      <c r="F112" s="5"/>
      <c r="G112" s="5"/>
      <c r="H112" s="5"/>
      <c r="I112" s="244"/>
      <c r="J112" s="244"/>
      <c r="K112" s="244"/>
      <c r="L112" s="244"/>
      <c r="M112" s="244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">
      <c r="A113" s="5"/>
      <c r="B113" s="5"/>
      <c r="C113" s="5"/>
      <c r="D113" s="5"/>
      <c r="E113" s="5"/>
      <c r="F113" s="5"/>
      <c r="G113" s="5"/>
      <c r="H113" s="5"/>
      <c r="I113" s="244"/>
      <c r="J113" s="244"/>
      <c r="K113" s="244"/>
      <c r="L113" s="244"/>
      <c r="M113" s="244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">
      <c r="A114" s="5"/>
      <c r="B114" s="5"/>
      <c r="C114" s="5"/>
      <c r="D114" s="5"/>
      <c r="E114" s="5"/>
      <c r="F114" s="5"/>
      <c r="G114" s="5"/>
      <c r="H114" s="5"/>
      <c r="I114" s="244"/>
      <c r="J114" s="244"/>
      <c r="K114" s="244"/>
      <c r="L114" s="244"/>
      <c r="M114" s="244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">
      <c r="A115" s="5"/>
      <c r="B115" s="5"/>
      <c r="C115" s="5"/>
      <c r="D115" s="5"/>
      <c r="E115" s="5"/>
      <c r="F115" s="5"/>
      <c r="G115" s="5"/>
      <c r="H115" s="5"/>
      <c r="I115" s="244"/>
      <c r="J115" s="244"/>
      <c r="K115" s="244"/>
      <c r="L115" s="244"/>
      <c r="M115" s="244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">
      <c r="A116" s="5"/>
      <c r="B116" s="5"/>
      <c r="C116" s="5"/>
      <c r="D116" s="5"/>
      <c r="E116" s="5"/>
      <c r="F116" s="5"/>
      <c r="G116" s="5"/>
      <c r="H116" s="5"/>
      <c r="I116" s="244"/>
      <c r="J116" s="244"/>
      <c r="K116" s="244"/>
      <c r="L116" s="244"/>
      <c r="M116" s="244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">
      <c r="A117" s="5"/>
      <c r="B117" s="5"/>
      <c r="C117" s="5"/>
      <c r="D117" s="5"/>
      <c r="E117" s="5"/>
      <c r="F117" s="5"/>
      <c r="G117" s="5"/>
      <c r="H117" s="5"/>
      <c r="I117" s="244"/>
      <c r="J117" s="244"/>
      <c r="K117" s="244"/>
      <c r="L117" s="244"/>
      <c r="M117" s="244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">
      <c r="A118" s="5"/>
      <c r="B118" s="5"/>
      <c r="C118" s="5"/>
      <c r="D118" s="5"/>
      <c r="E118" s="5"/>
      <c r="F118" s="5"/>
      <c r="G118" s="5"/>
      <c r="H118" s="5"/>
      <c r="I118" s="244"/>
      <c r="J118" s="244"/>
      <c r="K118" s="244"/>
      <c r="L118" s="244"/>
      <c r="M118" s="244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">
      <c r="A119" s="5"/>
      <c r="B119" s="5"/>
      <c r="C119" s="5"/>
      <c r="D119" s="5"/>
      <c r="E119" s="5"/>
      <c r="F119" s="5"/>
      <c r="G119" s="5"/>
      <c r="H119" s="5"/>
      <c r="I119" s="244"/>
      <c r="J119" s="244"/>
      <c r="K119" s="244"/>
      <c r="L119" s="244"/>
      <c r="M119" s="244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">
      <c r="A120" s="5"/>
      <c r="B120" s="5"/>
      <c r="C120" s="5"/>
      <c r="D120" s="5"/>
      <c r="E120" s="5"/>
      <c r="F120" s="5"/>
      <c r="G120" s="5"/>
      <c r="H120" s="5"/>
      <c r="I120" s="244"/>
      <c r="J120" s="244"/>
      <c r="K120" s="244"/>
      <c r="L120" s="244"/>
      <c r="M120" s="244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">
      <c r="A121" s="5"/>
      <c r="B121" s="5"/>
      <c r="C121" s="5"/>
      <c r="D121" s="5"/>
      <c r="E121" s="5"/>
      <c r="F121" s="5"/>
      <c r="G121" s="5"/>
      <c r="H121" s="5"/>
      <c r="I121" s="244"/>
      <c r="J121" s="244"/>
      <c r="K121" s="244"/>
      <c r="L121" s="244"/>
      <c r="M121" s="244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">
      <c r="A122" s="5"/>
      <c r="B122" s="5"/>
      <c r="C122" s="5"/>
      <c r="D122" s="5"/>
      <c r="E122" s="5"/>
      <c r="F122" s="5"/>
      <c r="G122" s="5"/>
      <c r="H122" s="5"/>
      <c r="I122" s="244"/>
      <c r="J122" s="244"/>
      <c r="K122" s="244"/>
      <c r="L122" s="244"/>
      <c r="M122" s="244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">
      <c r="A123" s="5"/>
      <c r="B123" s="5"/>
      <c r="C123" s="5"/>
      <c r="D123" s="5"/>
      <c r="E123" s="5"/>
      <c r="F123" s="5"/>
      <c r="G123" s="5"/>
      <c r="H123" s="5"/>
      <c r="I123" s="244"/>
      <c r="J123" s="244"/>
      <c r="K123" s="244"/>
      <c r="L123" s="244"/>
      <c r="M123" s="244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">
      <c r="A124" s="5"/>
      <c r="B124" s="5"/>
      <c r="C124" s="5"/>
      <c r="D124" s="5"/>
      <c r="E124" s="5"/>
      <c r="F124" s="5"/>
      <c r="G124" s="5"/>
      <c r="H124" s="5"/>
      <c r="I124" s="244"/>
      <c r="J124" s="244"/>
      <c r="K124" s="244"/>
      <c r="L124" s="244"/>
      <c r="M124" s="244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">
      <c r="A125" s="5"/>
      <c r="B125" s="5"/>
      <c r="C125" s="5"/>
      <c r="D125" s="5"/>
      <c r="E125" s="5"/>
      <c r="F125" s="5"/>
      <c r="G125" s="5"/>
      <c r="H125" s="5"/>
      <c r="I125" s="244"/>
      <c r="J125" s="244"/>
      <c r="K125" s="244"/>
      <c r="L125" s="244"/>
      <c r="M125" s="244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">
      <c r="A126" s="5"/>
      <c r="B126" s="5"/>
      <c r="C126" s="5"/>
      <c r="D126" s="5"/>
      <c r="E126" s="5"/>
      <c r="F126" s="5"/>
      <c r="G126" s="5"/>
      <c r="H126" s="5"/>
      <c r="I126" s="244"/>
      <c r="J126" s="244"/>
      <c r="K126" s="244"/>
      <c r="L126" s="244"/>
      <c r="M126" s="244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">
      <c r="A127" s="5"/>
      <c r="B127" s="5"/>
      <c r="C127" s="5"/>
      <c r="D127" s="5"/>
      <c r="E127" s="5"/>
      <c r="F127" s="5"/>
      <c r="G127" s="5"/>
      <c r="H127" s="5"/>
      <c r="I127" s="244"/>
      <c r="J127" s="244"/>
      <c r="K127" s="244"/>
      <c r="L127" s="244"/>
      <c r="M127" s="244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">
      <c r="A128" s="5"/>
      <c r="B128" s="5"/>
      <c r="C128" s="5"/>
      <c r="D128" s="5"/>
      <c r="E128" s="5"/>
      <c r="F128" s="5"/>
      <c r="G128" s="5"/>
      <c r="H128" s="5"/>
      <c r="I128" s="244"/>
      <c r="J128" s="244"/>
      <c r="K128" s="244"/>
      <c r="L128" s="244"/>
      <c r="M128" s="244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 x14ac:dyDescent="0.25">
      <c r="A129" s="5"/>
      <c r="B129" s="5"/>
      <c r="C129" s="5"/>
      <c r="D129" s="5"/>
      <c r="E129" s="5"/>
      <c r="F129" s="5"/>
      <c r="G129" s="5"/>
      <c r="H129" s="5"/>
      <c r="I129" s="244"/>
      <c r="J129" s="244"/>
      <c r="K129" s="244"/>
      <c r="L129" s="244"/>
      <c r="M129" s="244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 x14ac:dyDescent="0.25">
      <c r="A130" s="180" t="str">
        <f>A12</f>
        <v/>
      </c>
      <c r="B130" s="5"/>
      <c r="C130" s="5"/>
      <c r="D130" s="5"/>
      <c r="E130" s="5"/>
      <c r="F130" s="5"/>
      <c r="G130" s="5"/>
      <c r="H130" s="5"/>
      <c r="I130" s="244"/>
      <c r="J130" s="244"/>
      <c r="K130" s="244"/>
      <c r="L130" s="244"/>
      <c r="M130" s="244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">
      <c r="A131" s="5"/>
      <c r="B131" s="5"/>
      <c r="C131" s="5"/>
      <c r="D131" s="5"/>
      <c r="E131" s="5"/>
      <c r="F131" s="5"/>
      <c r="G131" s="5"/>
      <c r="H131" s="5"/>
      <c r="I131" s="244"/>
      <c r="J131" s="244"/>
      <c r="K131" s="244"/>
      <c r="L131" s="244"/>
      <c r="M131" s="244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">
      <c r="A132" s="5"/>
      <c r="B132" s="5"/>
      <c r="C132" s="5"/>
      <c r="D132" s="5"/>
      <c r="E132" s="5"/>
      <c r="F132" s="5"/>
      <c r="G132" s="5"/>
      <c r="H132" s="5"/>
      <c r="I132" s="244"/>
      <c r="J132" s="244"/>
      <c r="K132" s="244"/>
      <c r="L132" s="244"/>
      <c r="M132" s="244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">
      <c r="A133" s="5"/>
      <c r="B133" s="5"/>
      <c r="C133" s="5"/>
      <c r="D133" s="5"/>
      <c r="E133" s="5"/>
      <c r="F133" s="5"/>
      <c r="G133" s="5"/>
      <c r="H133" s="5"/>
      <c r="I133" s="244"/>
      <c r="J133" s="244"/>
      <c r="K133" s="244"/>
      <c r="L133" s="244"/>
      <c r="M133" s="244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">
      <c r="A134" s="5"/>
      <c r="B134" s="5"/>
      <c r="C134" s="5"/>
      <c r="D134" s="5"/>
      <c r="E134" s="5"/>
      <c r="F134" s="5"/>
      <c r="G134" s="5"/>
      <c r="H134" s="5"/>
      <c r="I134" s="244"/>
      <c r="J134" s="244"/>
      <c r="K134" s="244"/>
      <c r="L134" s="244"/>
      <c r="M134" s="244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">
      <c r="A135" s="5"/>
      <c r="B135" s="5"/>
      <c r="C135" s="5"/>
      <c r="D135" s="5"/>
      <c r="E135" s="5"/>
      <c r="F135" s="5"/>
      <c r="G135" s="5"/>
      <c r="H135" s="5"/>
      <c r="I135" s="244"/>
      <c r="J135" s="244"/>
      <c r="K135" s="244"/>
      <c r="L135" s="244"/>
      <c r="M135" s="244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">
      <c r="A136" s="5"/>
      <c r="B136" s="5"/>
      <c r="C136" s="5"/>
      <c r="D136" s="5"/>
      <c r="E136" s="5"/>
      <c r="F136" s="5"/>
      <c r="G136" s="5"/>
      <c r="H136" s="5"/>
      <c r="I136" s="244"/>
      <c r="J136" s="244"/>
      <c r="K136" s="244"/>
      <c r="L136" s="244"/>
      <c r="M136" s="244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">
      <c r="A137" s="5"/>
      <c r="B137" s="5"/>
      <c r="C137" s="5"/>
      <c r="D137" s="5"/>
      <c r="E137" s="5"/>
      <c r="F137" s="5"/>
      <c r="G137" s="5"/>
      <c r="H137" s="5"/>
      <c r="I137" s="244"/>
      <c r="J137" s="244"/>
      <c r="K137" s="244"/>
      <c r="L137" s="244"/>
      <c r="M137" s="244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">
      <c r="A138" s="5"/>
      <c r="B138" s="5"/>
      <c r="C138" s="5"/>
      <c r="D138" s="5"/>
      <c r="E138" s="5"/>
      <c r="F138" s="5"/>
      <c r="G138" s="5"/>
      <c r="H138" s="5"/>
      <c r="I138" s="244"/>
      <c r="J138" s="244"/>
      <c r="K138" s="244"/>
      <c r="L138" s="244"/>
      <c r="M138" s="244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">
      <c r="A139" s="5"/>
      <c r="B139" s="5"/>
      <c r="C139" s="5"/>
      <c r="D139" s="5"/>
      <c r="E139" s="5"/>
      <c r="F139" s="5"/>
      <c r="G139" s="5"/>
      <c r="H139" s="5"/>
      <c r="I139" s="244"/>
      <c r="J139" s="244"/>
      <c r="K139" s="244"/>
      <c r="L139" s="244"/>
      <c r="M139" s="244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">
      <c r="A140" s="5"/>
      <c r="B140" s="5"/>
      <c r="C140" s="5"/>
      <c r="D140" s="5"/>
      <c r="E140" s="5"/>
      <c r="F140" s="5"/>
      <c r="G140" s="5"/>
      <c r="H140" s="5"/>
      <c r="I140" s="244"/>
      <c r="J140" s="244"/>
      <c r="K140" s="244"/>
      <c r="L140" s="244"/>
      <c r="M140" s="244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">
      <c r="A141" s="5"/>
      <c r="B141" s="5"/>
      <c r="C141" s="5"/>
      <c r="D141" s="5"/>
      <c r="E141" s="5"/>
      <c r="F141" s="5"/>
      <c r="G141" s="5"/>
      <c r="H141" s="5"/>
      <c r="I141" s="244"/>
      <c r="J141" s="244"/>
      <c r="K141" s="244"/>
      <c r="L141" s="244"/>
      <c r="M141" s="244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">
      <c r="A142" s="5"/>
      <c r="B142" s="5"/>
      <c r="C142" s="5"/>
      <c r="D142" s="5"/>
      <c r="E142" s="5"/>
      <c r="F142" s="5"/>
      <c r="G142" s="5"/>
      <c r="H142" s="5"/>
      <c r="I142" s="244"/>
      <c r="J142" s="244"/>
      <c r="K142" s="244"/>
      <c r="L142" s="244"/>
      <c r="M142" s="244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">
      <c r="A143" s="5"/>
      <c r="B143" s="5"/>
      <c r="C143" s="5"/>
      <c r="D143" s="5"/>
      <c r="E143" s="5"/>
      <c r="F143" s="5"/>
      <c r="G143" s="5"/>
      <c r="H143" s="5"/>
      <c r="I143" s="244"/>
      <c r="J143" s="244"/>
      <c r="K143" s="244"/>
      <c r="L143" s="244"/>
      <c r="M143" s="244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">
      <c r="A144" s="5"/>
      <c r="B144" s="5"/>
      <c r="C144" s="5"/>
      <c r="D144" s="5"/>
      <c r="E144" s="5"/>
      <c r="F144" s="5"/>
      <c r="G144" s="5"/>
      <c r="H144" s="5"/>
      <c r="I144" s="244"/>
      <c r="J144" s="244"/>
      <c r="K144" s="244"/>
      <c r="L144" s="244"/>
      <c r="M144" s="244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">
      <c r="A145" s="5"/>
      <c r="B145" s="5"/>
      <c r="C145" s="5"/>
      <c r="D145" s="5"/>
      <c r="E145" s="5"/>
      <c r="F145" s="5"/>
      <c r="G145" s="5"/>
      <c r="H145" s="5"/>
      <c r="I145" s="244"/>
      <c r="J145" s="244"/>
      <c r="K145" s="244"/>
      <c r="L145" s="244"/>
      <c r="M145" s="244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">
      <c r="A146" s="5"/>
      <c r="B146" s="5"/>
      <c r="C146" s="5"/>
      <c r="D146" s="5"/>
      <c r="E146" s="5"/>
      <c r="F146" s="5"/>
      <c r="G146" s="5"/>
      <c r="H146" s="5"/>
      <c r="I146" s="244"/>
      <c r="J146" s="244"/>
      <c r="K146" s="244"/>
      <c r="L146" s="244"/>
      <c r="M146" s="244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 x14ac:dyDescent="0.25">
      <c r="A147" s="5"/>
      <c r="B147" s="5"/>
      <c r="C147" s="5"/>
      <c r="D147" s="5"/>
      <c r="E147" s="5"/>
      <c r="F147" s="5"/>
      <c r="G147" s="5"/>
      <c r="H147" s="5"/>
      <c r="I147" s="244"/>
      <c r="J147" s="244"/>
      <c r="K147" s="244"/>
      <c r="L147" s="244"/>
      <c r="M147" s="244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 x14ac:dyDescent="0.25">
      <c r="A148" s="180" t="str">
        <f>A13</f>
        <v/>
      </c>
      <c r="B148" s="5"/>
      <c r="C148" s="5"/>
      <c r="D148" s="5"/>
      <c r="E148" s="5"/>
      <c r="F148" s="5"/>
      <c r="G148" s="5"/>
      <c r="H148" s="5"/>
      <c r="I148" s="244"/>
      <c r="J148" s="244"/>
      <c r="K148" s="244"/>
      <c r="L148" s="244"/>
      <c r="M148" s="244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">
      <c r="A149" s="5"/>
      <c r="B149" s="5"/>
      <c r="C149" s="5"/>
      <c r="D149" s="5"/>
      <c r="E149" s="5"/>
      <c r="F149" s="5"/>
      <c r="G149" s="5"/>
      <c r="H149" s="5"/>
      <c r="I149" s="244"/>
      <c r="J149" s="244"/>
      <c r="K149" s="244"/>
      <c r="L149" s="244"/>
      <c r="M149" s="244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">
      <c r="A150" s="5"/>
      <c r="B150" s="5"/>
      <c r="C150" s="5"/>
      <c r="D150" s="5"/>
      <c r="E150" s="5"/>
      <c r="F150" s="5"/>
      <c r="G150" s="5"/>
      <c r="H150" s="5"/>
      <c r="I150" s="244"/>
      <c r="J150" s="244"/>
      <c r="K150" s="244"/>
      <c r="L150" s="244"/>
      <c r="M150" s="244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">
      <c r="A151" s="5"/>
      <c r="B151" s="5"/>
      <c r="C151" s="5"/>
      <c r="D151" s="5"/>
      <c r="E151" s="5"/>
      <c r="F151" s="5"/>
      <c r="G151" s="5"/>
      <c r="H151" s="5"/>
      <c r="I151" s="244"/>
      <c r="J151" s="244"/>
      <c r="K151" s="244"/>
      <c r="L151" s="244"/>
      <c r="M151" s="244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">
      <c r="A152" s="5"/>
      <c r="B152" s="5"/>
      <c r="C152" s="5"/>
      <c r="D152" s="5"/>
      <c r="E152" s="5"/>
      <c r="F152" s="5"/>
      <c r="G152" s="5"/>
      <c r="H152" s="5"/>
      <c r="I152" s="244"/>
      <c r="J152" s="244"/>
      <c r="K152" s="244"/>
      <c r="L152" s="244"/>
      <c r="M152" s="244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">
      <c r="A153" s="5"/>
      <c r="B153" s="5"/>
      <c r="C153" s="5"/>
      <c r="D153" s="5"/>
      <c r="E153" s="5"/>
      <c r="F153" s="5"/>
      <c r="G153" s="5"/>
      <c r="H153" s="5"/>
      <c r="I153" s="244"/>
      <c r="J153" s="244"/>
      <c r="K153" s="244"/>
      <c r="L153" s="244"/>
      <c r="M153" s="244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">
      <c r="A154" s="5"/>
      <c r="B154" s="5"/>
      <c r="C154" s="5"/>
      <c r="D154" s="5"/>
      <c r="E154" s="5"/>
      <c r="F154" s="5"/>
      <c r="G154" s="5"/>
      <c r="H154" s="5"/>
      <c r="I154" s="244"/>
      <c r="J154" s="244"/>
      <c r="K154" s="244"/>
      <c r="L154" s="244"/>
      <c r="M154" s="244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">
      <c r="A155" s="5"/>
      <c r="B155" s="5"/>
      <c r="C155" s="5"/>
      <c r="D155" s="5"/>
      <c r="E155" s="5"/>
      <c r="F155" s="5"/>
      <c r="G155" s="5"/>
      <c r="H155" s="5"/>
      <c r="I155" s="244"/>
      <c r="J155" s="244"/>
      <c r="K155" s="244"/>
      <c r="L155" s="244"/>
      <c r="M155" s="244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">
      <c r="A156" s="5"/>
      <c r="B156" s="5"/>
      <c r="C156" s="5"/>
      <c r="D156" s="5"/>
      <c r="E156" s="5"/>
      <c r="F156" s="5"/>
      <c r="G156" s="5"/>
      <c r="H156" s="5"/>
      <c r="I156" s="244"/>
      <c r="J156" s="244"/>
      <c r="K156" s="244"/>
      <c r="L156" s="244"/>
      <c r="M156" s="244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">
      <c r="A157" s="5"/>
      <c r="B157" s="5"/>
      <c r="C157" s="5"/>
      <c r="D157" s="5"/>
      <c r="E157" s="5"/>
      <c r="F157" s="5"/>
      <c r="G157" s="5"/>
      <c r="H157" s="5"/>
      <c r="I157" s="244"/>
      <c r="J157" s="244"/>
      <c r="K157" s="244"/>
      <c r="L157" s="244"/>
      <c r="M157" s="244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">
      <c r="A158" s="5"/>
      <c r="B158" s="5"/>
      <c r="C158" s="5"/>
      <c r="D158" s="5"/>
      <c r="E158" s="5"/>
      <c r="F158" s="5"/>
      <c r="G158" s="5"/>
      <c r="H158" s="5"/>
      <c r="I158" s="244"/>
      <c r="J158" s="244"/>
      <c r="K158" s="244"/>
      <c r="L158" s="244"/>
      <c r="M158" s="244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">
      <c r="A159" s="5"/>
      <c r="B159" s="5"/>
      <c r="C159" s="5"/>
      <c r="D159" s="5"/>
      <c r="E159" s="5"/>
      <c r="F159" s="5"/>
      <c r="G159" s="5"/>
      <c r="H159" s="5"/>
      <c r="I159" s="244"/>
      <c r="J159" s="244"/>
      <c r="K159" s="244"/>
      <c r="L159" s="244"/>
      <c r="M159" s="244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">
      <c r="A160" s="5"/>
      <c r="B160" s="5"/>
      <c r="C160" s="5"/>
      <c r="D160" s="5"/>
      <c r="E160" s="5"/>
      <c r="F160" s="5"/>
      <c r="G160" s="5"/>
      <c r="H160" s="5"/>
      <c r="I160" s="244"/>
      <c r="J160" s="244"/>
      <c r="K160" s="244"/>
      <c r="L160" s="244"/>
      <c r="M160" s="244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">
      <c r="A161" s="5"/>
      <c r="B161" s="5"/>
      <c r="C161" s="5"/>
      <c r="D161" s="5"/>
      <c r="E161" s="5"/>
      <c r="F161" s="5"/>
      <c r="G161" s="5"/>
      <c r="H161" s="5"/>
      <c r="I161" s="244"/>
      <c r="J161" s="244"/>
      <c r="K161" s="244"/>
      <c r="L161" s="244"/>
      <c r="M161" s="244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">
      <c r="A162" s="5"/>
      <c r="B162" s="5"/>
      <c r="C162" s="5"/>
      <c r="D162" s="5"/>
      <c r="E162" s="5"/>
      <c r="F162" s="5"/>
      <c r="G162" s="5"/>
      <c r="H162" s="5"/>
      <c r="I162" s="244"/>
      <c r="J162" s="244"/>
      <c r="K162" s="244"/>
      <c r="L162" s="244"/>
      <c r="M162" s="244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">
      <c r="A163" s="5"/>
      <c r="B163" s="5"/>
      <c r="C163" s="5"/>
      <c r="D163" s="5"/>
      <c r="E163" s="5"/>
      <c r="F163" s="5"/>
      <c r="G163" s="5"/>
      <c r="H163" s="5"/>
      <c r="I163" s="244"/>
      <c r="J163" s="244"/>
      <c r="K163" s="244"/>
      <c r="L163" s="244"/>
      <c r="M163" s="244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">
      <c r="A164" s="5"/>
      <c r="B164" s="5"/>
      <c r="C164" s="5"/>
      <c r="D164" s="5"/>
      <c r="E164" s="5"/>
      <c r="F164" s="5"/>
      <c r="G164" s="5"/>
      <c r="H164" s="5"/>
      <c r="I164" s="244"/>
      <c r="J164" s="244"/>
      <c r="K164" s="244"/>
      <c r="L164" s="244"/>
      <c r="M164" s="244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 x14ac:dyDescent="0.25">
      <c r="A165" s="5"/>
      <c r="B165" s="5"/>
      <c r="C165" s="5"/>
      <c r="D165" s="5"/>
      <c r="E165" s="5"/>
      <c r="F165" s="5"/>
      <c r="G165" s="5"/>
      <c r="H165" s="5"/>
      <c r="I165" s="244"/>
      <c r="J165" s="244"/>
      <c r="K165" s="244"/>
      <c r="L165" s="244"/>
      <c r="M165" s="244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 x14ac:dyDescent="0.25">
      <c r="A166" s="180" t="str">
        <f>A14</f>
        <v/>
      </c>
      <c r="B166" s="5"/>
      <c r="C166" s="5"/>
      <c r="D166" s="5"/>
      <c r="E166" s="5"/>
      <c r="F166" s="5"/>
      <c r="G166" s="5"/>
      <c r="H166" s="5"/>
      <c r="I166" s="244"/>
      <c r="J166" s="244"/>
      <c r="K166" s="244"/>
      <c r="L166" s="244"/>
      <c r="M166" s="244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">
      <c r="A167" s="5"/>
      <c r="B167" s="5"/>
      <c r="C167" s="5"/>
      <c r="D167" s="5"/>
      <c r="E167" s="5"/>
      <c r="F167" s="5"/>
      <c r="G167" s="5"/>
      <c r="H167" s="5"/>
      <c r="I167" s="244"/>
      <c r="J167" s="244"/>
      <c r="K167" s="244"/>
      <c r="L167" s="244"/>
      <c r="M167" s="244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">
      <c r="A168" s="5"/>
      <c r="B168" s="5"/>
      <c r="C168" s="5"/>
      <c r="D168" s="5"/>
      <c r="E168" s="5"/>
      <c r="F168" s="5"/>
      <c r="G168" s="5"/>
      <c r="H168" s="5"/>
      <c r="I168" s="244"/>
      <c r="J168" s="244"/>
      <c r="K168" s="244"/>
      <c r="L168" s="244"/>
      <c r="M168" s="244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">
      <c r="A169" s="5"/>
      <c r="B169" s="5"/>
      <c r="C169" s="5"/>
      <c r="D169" s="5"/>
      <c r="E169" s="5"/>
      <c r="F169" s="5"/>
      <c r="G169" s="5"/>
      <c r="H169" s="5"/>
      <c r="I169" s="244"/>
      <c r="J169" s="244"/>
      <c r="K169" s="244"/>
      <c r="L169" s="244"/>
      <c r="M169" s="244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">
      <c r="A170" s="5"/>
      <c r="B170" s="5"/>
      <c r="C170" s="5"/>
      <c r="D170" s="5"/>
      <c r="E170" s="5"/>
      <c r="F170" s="5"/>
      <c r="G170" s="5"/>
      <c r="H170" s="5"/>
      <c r="I170" s="244"/>
      <c r="J170" s="244"/>
      <c r="K170" s="244"/>
      <c r="L170" s="244"/>
      <c r="M170" s="244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">
      <c r="A171" s="5"/>
      <c r="B171" s="5"/>
      <c r="C171" s="5"/>
      <c r="D171" s="5"/>
      <c r="E171" s="5"/>
      <c r="F171" s="5"/>
      <c r="G171" s="5"/>
      <c r="H171" s="5"/>
      <c r="I171" s="244"/>
      <c r="J171" s="244"/>
      <c r="K171" s="244"/>
      <c r="L171" s="244"/>
      <c r="M171" s="244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">
      <c r="A172" s="5"/>
      <c r="B172" s="5"/>
      <c r="C172" s="5"/>
      <c r="D172" s="5"/>
      <c r="E172" s="5"/>
      <c r="F172" s="5"/>
      <c r="G172" s="5"/>
      <c r="H172" s="5"/>
      <c r="I172" s="244"/>
      <c r="J172" s="244"/>
      <c r="K172" s="244"/>
      <c r="L172" s="244"/>
      <c r="M172" s="244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">
      <c r="A173" s="5"/>
      <c r="B173" s="5"/>
      <c r="C173" s="5"/>
      <c r="D173" s="5"/>
      <c r="E173" s="5"/>
      <c r="F173" s="5"/>
      <c r="G173" s="5"/>
      <c r="H173" s="5"/>
      <c r="I173" s="244"/>
      <c r="J173" s="244"/>
      <c r="K173" s="244"/>
      <c r="L173" s="244"/>
      <c r="M173" s="244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">
      <c r="A174" s="5"/>
      <c r="B174" s="5"/>
      <c r="C174" s="5"/>
      <c r="D174" s="5"/>
      <c r="E174" s="5"/>
      <c r="F174" s="5"/>
      <c r="G174" s="5"/>
      <c r="H174" s="5"/>
      <c r="I174" s="244"/>
      <c r="J174" s="244"/>
      <c r="K174" s="244"/>
      <c r="L174" s="244"/>
      <c r="M174" s="244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">
      <c r="A175" s="5"/>
      <c r="B175" s="5"/>
      <c r="C175" s="5"/>
      <c r="D175" s="5"/>
      <c r="E175" s="5"/>
      <c r="F175" s="5"/>
      <c r="G175" s="5"/>
      <c r="H175" s="5"/>
      <c r="I175" s="244"/>
      <c r="J175" s="244"/>
      <c r="K175" s="244"/>
      <c r="L175" s="244"/>
      <c r="M175" s="244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">
      <c r="A176" s="5"/>
      <c r="B176" s="5"/>
      <c r="C176" s="5"/>
      <c r="D176" s="5"/>
      <c r="E176" s="5"/>
      <c r="F176" s="5"/>
      <c r="G176" s="5"/>
      <c r="H176" s="5"/>
      <c r="I176" s="244"/>
      <c r="J176" s="244"/>
      <c r="K176" s="244"/>
      <c r="L176" s="244"/>
      <c r="M176" s="244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">
      <c r="A177" s="5"/>
      <c r="B177" s="5"/>
      <c r="C177" s="5"/>
      <c r="D177" s="5"/>
      <c r="E177" s="5"/>
      <c r="F177" s="5"/>
      <c r="G177" s="5"/>
      <c r="H177" s="5"/>
      <c r="I177" s="244"/>
      <c r="J177" s="244"/>
      <c r="K177" s="244"/>
      <c r="L177" s="244"/>
      <c r="M177" s="244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">
      <c r="A178" s="5"/>
      <c r="B178" s="5"/>
      <c r="C178" s="5"/>
      <c r="D178" s="5"/>
      <c r="E178" s="5"/>
      <c r="F178" s="5"/>
      <c r="G178" s="5"/>
      <c r="H178" s="5"/>
      <c r="I178" s="244"/>
      <c r="J178" s="244"/>
      <c r="K178" s="244"/>
      <c r="L178" s="244"/>
      <c r="M178" s="244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">
      <c r="A179" s="5"/>
      <c r="B179" s="5"/>
      <c r="C179" s="5"/>
      <c r="D179" s="5"/>
      <c r="E179" s="5"/>
      <c r="F179" s="5"/>
      <c r="G179" s="5"/>
      <c r="H179" s="5"/>
      <c r="I179" s="244"/>
      <c r="J179" s="244"/>
      <c r="K179" s="244"/>
      <c r="L179" s="244"/>
      <c r="M179" s="244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">
      <c r="A180" s="5"/>
      <c r="B180" s="5"/>
      <c r="C180" s="5"/>
      <c r="D180" s="5"/>
      <c r="E180" s="5"/>
      <c r="F180" s="5"/>
      <c r="G180" s="5"/>
      <c r="H180" s="5"/>
      <c r="I180" s="244"/>
      <c r="J180" s="244"/>
      <c r="K180" s="244"/>
      <c r="L180" s="244"/>
      <c r="M180" s="244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">
      <c r="A181" s="5"/>
      <c r="B181" s="5"/>
      <c r="C181" s="5"/>
      <c r="D181" s="5"/>
      <c r="E181" s="5"/>
      <c r="F181" s="5"/>
      <c r="G181" s="5"/>
      <c r="H181" s="5"/>
      <c r="I181" s="244"/>
      <c r="J181" s="244"/>
      <c r="K181" s="244"/>
      <c r="L181" s="244"/>
      <c r="M181" s="244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">
      <c r="A182" s="5"/>
      <c r="B182" s="5"/>
      <c r="C182" s="5"/>
      <c r="D182" s="5"/>
      <c r="E182" s="5"/>
      <c r="F182" s="5"/>
      <c r="G182" s="5"/>
      <c r="H182" s="5"/>
      <c r="I182" s="244"/>
      <c r="J182" s="244"/>
      <c r="K182" s="244"/>
      <c r="L182" s="244"/>
      <c r="M182" s="244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 x14ac:dyDescent="0.25">
      <c r="A183" s="5"/>
      <c r="B183" s="5"/>
      <c r="C183" s="5"/>
      <c r="D183" s="5"/>
      <c r="E183" s="5"/>
      <c r="F183" s="5"/>
      <c r="G183" s="5"/>
      <c r="H183" s="5"/>
      <c r="I183" s="244"/>
      <c r="J183" s="244"/>
      <c r="K183" s="244"/>
      <c r="L183" s="244"/>
      <c r="M183" s="244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 x14ac:dyDescent="0.25">
      <c r="A184" s="180" t="str">
        <f>A15</f>
        <v/>
      </c>
      <c r="B184" s="5"/>
      <c r="C184" s="5"/>
      <c r="D184" s="5"/>
      <c r="E184" s="5"/>
      <c r="F184" s="5"/>
      <c r="G184" s="5"/>
      <c r="H184" s="5"/>
      <c r="I184" s="244"/>
      <c r="J184" s="244"/>
      <c r="K184" s="244"/>
      <c r="L184" s="244"/>
      <c r="M184" s="244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">
      <c r="A185" s="5"/>
      <c r="B185" s="5"/>
      <c r="C185" s="5"/>
      <c r="D185" s="5"/>
      <c r="E185" s="5"/>
      <c r="F185" s="5"/>
      <c r="G185" s="5"/>
      <c r="H185" s="5"/>
      <c r="I185" s="244"/>
      <c r="J185" s="244"/>
      <c r="K185" s="244"/>
      <c r="L185" s="244"/>
      <c r="M185" s="244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">
      <c r="A186" s="5"/>
      <c r="B186" s="5"/>
      <c r="C186" s="5"/>
      <c r="D186" s="5"/>
      <c r="E186" s="5"/>
      <c r="F186" s="5"/>
      <c r="G186" s="5"/>
      <c r="H186" s="5"/>
      <c r="I186" s="244"/>
      <c r="J186" s="244"/>
      <c r="K186" s="244"/>
      <c r="L186" s="244"/>
      <c r="M186" s="244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">
      <c r="A187" s="5"/>
      <c r="B187" s="5"/>
      <c r="C187" s="5"/>
      <c r="D187" s="5"/>
      <c r="E187" s="5"/>
      <c r="F187" s="5"/>
      <c r="G187" s="5"/>
      <c r="H187" s="5"/>
      <c r="I187" s="244"/>
      <c r="J187" s="244"/>
      <c r="K187" s="244"/>
      <c r="L187" s="244"/>
      <c r="M187" s="244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">
      <c r="A188" s="5"/>
      <c r="B188" s="5"/>
      <c r="C188" s="5"/>
      <c r="D188" s="5"/>
      <c r="E188" s="5"/>
      <c r="F188" s="5"/>
      <c r="G188" s="5"/>
      <c r="H188" s="5"/>
      <c r="I188" s="244"/>
      <c r="J188" s="244"/>
      <c r="K188" s="244"/>
      <c r="L188" s="244"/>
      <c r="M188" s="244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">
      <c r="A189" s="5"/>
      <c r="B189" s="5"/>
      <c r="C189" s="5"/>
      <c r="D189" s="5"/>
      <c r="E189" s="5"/>
      <c r="F189" s="5"/>
      <c r="G189" s="5"/>
      <c r="H189" s="5"/>
      <c r="I189" s="244"/>
      <c r="J189" s="244"/>
      <c r="K189" s="244"/>
      <c r="L189" s="244"/>
      <c r="M189" s="244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">
      <c r="A190" s="5"/>
      <c r="B190" s="5"/>
      <c r="C190" s="5"/>
      <c r="D190" s="5"/>
      <c r="E190" s="5"/>
      <c r="F190" s="5"/>
      <c r="G190" s="5"/>
      <c r="H190" s="5"/>
      <c r="I190" s="244"/>
      <c r="J190" s="244"/>
      <c r="K190" s="244"/>
      <c r="L190" s="244"/>
      <c r="M190" s="244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">
      <c r="A191" s="5"/>
      <c r="B191" s="5"/>
      <c r="C191" s="5"/>
      <c r="D191" s="5"/>
      <c r="E191" s="5"/>
      <c r="F191" s="5"/>
      <c r="G191" s="5"/>
      <c r="H191" s="5"/>
      <c r="I191" s="244"/>
      <c r="J191" s="244"/>
      <c r="K191" s="244"/>
      <c r="L191" s="244"/>
      <c r="M191" s="244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">
      <c r="A192" s="5"/>
      <c r="B192" s="5"/>
      <c r="C192" s="5"/>
      <c r="D192" s="5"/>
      <c r="E192" s="5"/>
      <c r="F192" s="5"/>
      <c r="G192" s="5"/>
      <c r="H192" s="5"/>
      <c r="I192" s="244"/>
      <c r="J192" s="244"/>
      <c r="K192" s="244"/>
      <c r="L192" s="244"/>
      <c r="M192" s="244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">
      <c r="A193" s="5"/>
      <c r="B193" s="5"/>
      <c r="C193" s="5"/>
      <c r="D193" s="5"/>
      <c r="E193" s="5"/>
      <c r="F193" s="5"/>
      <c r="G193" s="5"/>
      <c r="H193" s="5"/>
      <c r="I193" s="244"/>
      <c r="J193" s="244"/>
      <c r="K193" s="244"/>
      <c r="L193" s="244"/>
      <c r="M193" s="244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">
      <c r="A194" s="5"/>
      <c r="B194" s="5"/>
      <c r="C194" s="5"/>
      <c r="D194" s="5"/>
      <c r="E194" s="5"/>
      <c r="F194" s="5"/>
      <c r="G194" s="5"/>
      <c r="H194" s="5"/>
      <c r="I194" s="244"/>
      <c r="J194" s="244"/>
      <c r="K194" s="244"/>
      <c r="L194" s="244"/>
      <c r="M194" s="244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">
      <c r="A195" s="5"/>
      <c r="B195" s="5"/>
      <c r="C195" s="5"/>
      <c r="D195" s="5"/>
      <c r="E195" s="5"/>
      <c r="F195" s="5"/>
      <c r="G195" s="5"/>
      <c r="H195" s="5"/>
      <c r="I195" s="244"/>
      <c r="J195" s="244"/>
      <c r="K195" s="244"/>
      <c r="L195" s="244"/>
      <c r="M195" s="244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">
      <c r="A196" s="5"/>
      <c r="B196" s="5"/>
      <c r="C196" s="5"/>
      <c r="D196" s="5"/>
      <c r="E196" s="5"/>
      <c r="F196" s="5"/>
      <c r="G196" s="5"/>
      <c r="H196" s="5"/>
      <c r="I196" s="244"/>
      <c r="J196" s="244"/>
      <c r="K196" s="244"/>
      <c r="L196" s="244"/>
      <c r="M196" s="244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">
      <c r="A197" s="5"/>
      <c r="B197" s="5"/>
      <c r="C197" s="5"/>
      <c r="D197" s="5"/>
      <c r="E197" s="5"/>
      <c r="F197" s="5"/>
      <c r="G197" s="5"/>
      <c r="H197" s="5"/>
      <c r="I197" s="244"/>
      <c r="J197" s="244"/>
      <c r="K197" s="244"/>
      <c r="L197" s="244"/>
      <c r="M197" s="244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">
      <c r="A198" s="5"/>
      <c r="B198" s="5"/>
      <c r="C198" s="5"/>
      <c r="D198" s="5"/>
      <c r="E198" s="5"/>
      <c r="F198" s="5"/>
      <c r="G198" s="5"/>
      <c r="H198" s="5"/>
      <c r="I198" s="244"/>
      <c r="J198" s="244"/>
      <c r="K198" s="244"/>
      <c r="L198" s="244"/>
      <c r="M198" s="244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">
      <c r="A199" s="5"/>
      <c r="B199" s="5"/>
      <c r="C199" s="5"/>
      <c r="D199" s="5"/>
      <c r="E199" s="5"/>
      <c r="F199" s="5"/>
      <c r="G199" s="5"/>
      <c r="H199" s="5"/>
      <c r="I199" s="244"/>
      <c r="J199" s="244"/>
      <c r="K199" s="244"/>
      <c r="L199" s="244"/>
      <c r="M199" s="244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">
      <c r="A200" s="5"/>
      <c r="B200" s="5"/>
      <c r="C200" s="5"/>
      <c r="D200" s="5"/>
      <c r="E200" s="5"/>
      <c r="F200" s="5"/>
      <c r="G200" s="5"/>
      <c r="H200" s="5"/>
      <c r="I200" s="244"/>
      <c r="J200" s="244"/>
      <c r="K200" s="244"/>
      <c r="L200" s="244"/>
      <c r="M200" s="244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">
      <c r="A201" s="5"/>
      <c r="B201" s="5"/>
      <c r="C201" s="5"/>
      <c r="D201" s="5"/>
      <c r="E201" s="5"/>
      <c r="F201" s="5"/>
      <c r="G201" s="5"/>
      <c r="H201" s="5"/>
      <c r="I201" s="244"/>
      <c r="J201" s="244"/>
      <c r="K201" s="244"/>
      <c r="L201" s="244"/>
      <c r="M201" s="244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">
      <c r="A202" s="5"/>
      <c r="B202" s="5"/>
      <c r="C202" s="5"/>
      <c r="D202" s="5"/>
      <c r="E202" s="5"/>
      <c r="F202" s="5"/>
      <c r="G202" s="5"/>
      <c r="H202" s="5"/>
      <c r="I202" s="244"/>
      <c r="J202" s="244"/>
      <c r="K202" s="244"/>
      <c r="L202" s="244"/>
      <c r="M202" s="244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44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">
      <c r="I357" s="3"/>
      <c r="J357" s="3"/>
      <c r="K357" s="3"/>
      <c r="L357" s="3"/>
      <c r="M357" s="3"/>
    </row>
  </sheetData>
  <sheetProtection algorithmName="SHA-512" hashValue="mpF27bePewg94B2eF1gxwc8v85oenEjCRmy2/XJK89cMMyj+8rNdg+67AFL5toKZVIlOE6PMI6HIdT0WDi+RjA==" saltValue="nqXUzVl1FySgJjcuIj9Ivg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P500"/>
  <sheetViews>
    <sheetView zoomScale="70" zoomScaleNormal="70" workbookViewId="0">
      <selection activeCell="O31" sqref="O31:Q32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34" style="3" customWidth="1"/>
    <col min="7" max="7" width="11.5" style="3"/>
    <col min="8" max="8" width="11.5" style="1"/>
    <col min="9" max="9" width="33" style="1" customWidth="1"/>
    <col min="10" max="10" width="37" style="1" customWidth="1"/>
    <col min="11" max="15" width="11.5" style="1"/>
    <col min="16" max="16" width="21" style="1" customWidth="1"/>
    <col min="17" max="16384" width="11.5" style="1"/>
  </cols>
  <sheetData>
    <row r="1" spans="1:46" ht="16" thickBot="1" x14ac:dyDescent="0.2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ht="27" thickBot="1" x14ac:dyDescent="0.35">
      <c r="A2" s="5"/>
      <c r="B2" s="286" t="s">
        <v>273</v>
      </c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8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206" customFormat="1" x14ac:dyDescent="0.2">
      <c r="A3" s="100"/>
      <c r="B3" s="100"/>
      <c r="C3" s="100"/>
      <c r="D3" s="100"/>
      <c r="E3" s="100"/>
      <c r="F3" s="181"/>
      <c r="G3" s="181"/>
      <c r="H3" s="100"/>
      <c r="I3" s="182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</row>
    <row r="4" spans="1:46" s="206" customFormat="1" x14ac:dyDescent="0.2">
      <c r="A4" s="100"/>
      <c r="B4" s="100"/>
      <c r="C4" s="100"/>
      <c r="D4" s="100"/>
      <c r="E4" s="100"/>
      <c r="F4" s="181"/>
      <c r="G4" s="181"/>
      <c r="H4" s="100"/>
      <c r="I4" s="271" t="s">
        <v>190</v>
      </c>
      <c r="J4" s="271"/>
      <c r="K4" s="271"/>
      <c r="L4" s="271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</row>
    <row r="5" spans="1:46" s="206" customFormat="1" x14ac:dyDescent="0.2">
      <c r="A5" s="100"/>
      <c r="B5" s="100"/>
      <c r="C5" s="100"/>
      <c r="D5" s="100"/>
      <c r="E5" s="100"/>
      <c r="F5" s="240"/>
      <c r="G5" s="181"/>
      <c r="H5" s="100"/>
      <c r="I5" s="183"/>
      <c r="J5" s="183"/>
      <c r="K5" s="183"/>
      <c r="L5" s="183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</row>
    <row r="6" spans="1:46" s="206" customFormat="1" ht="26" x14ac:dyDescent="0.3">
      <c r="A6" s="100"/>
      <c r="B6" s="310" t="s">
        <v>192</v>
      </c>
      <c r="C6" s="310"/>
      <c r="D6" s="100"/>
      <c r="E6" s="100"/>
      <c r="F6" s="241"/>
      <c r="G6" s="242"/>
      <c r="H6" s="27"/>
      <c r="I6" s="188" t="s">
        <v>253</v>
      </c>
      <c r="J6" s="184">
        <v>4.4999999999999998E-2</v>
      </c>
      <c r="K6" s="27"/>
      <c r="L6" s="27"/>
      <c r="M6" s="27"/>
      <c r="N6" s="185"/>
      <c r="O6" s="310" t="s">
        <v>191</v>
      </c>
      <c r="P6" s="310"/>
      <c r="Q6" s="310"/>
      <c r="R6" s="31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</row>
    <row r="7" spans="1:46" x14ac:dyDescent="0.2">
      <c r="A7" s="25"/>
      <c r="B7" s="25"/>
      <c r="C7" s="25"/>
      <c r="D7" s="25"/>
      <c r="E7" s="25"/>
      <c r="F7" s="218"/>
      <c r="G7" s="230"/>
      <c r="H7" s="25"/>
      <c r="I7" s="5"/>
      <c r="J7" s="5"/>
      <c r="K7" s="222"/>
      <c r="L7" s="222"/>
      <c r="M7" s="25"/>
      <c r="N7" s="236"/>
      <c r="O7" s="25"/>
      <c r="P7" s="25"/>
      <c r="Q7" s="25"/>
      <c r="R7" s="25"/>
      <c r="S7" s="25"/>
      <c r="T7" s="25"/>
      <c r="U7" s="25"/>
      <c r="V7" s="25"/>
      <c r="W7" s="25"/>
      <c r="X7" s="2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x14ac:dyDescent="0.2">
      <c r="A8" s="25"/>
      <c r="B8" s="25"/>
      <c r="C8" s="25"/>
      <c r="D8" s="25"/>
      <c r="E8" s="25"/>
      <c r="F8" s="218"/>
      <c r="G8" s="230"/>
      <c r="H8" s="25"/>
      <c r="I8" s="188" t="s">
        <v>178</v>
      </c>
      <c r="J8" s="188" t="s">
        <v>294</v>
      </c>
      <c r="K8" s="222"/>
      <c r="L8" s="222"/>
      <c r="M8" s="25"/>
      <c r="N8" s="236"/>
      <c r="O8" s="25"/>
      <c r="P8" s="25"/>
      <c r="Q8" s="25"/>
      <c r="R8" s="25"/>
      <c r="S8" s="25"/>
      <c r="T8" s="25"/>
      <c r="U8" s="25"/>
      <c r="V8" s="25"/>
      <c r="W8" s="25"/>
      <c r="X8" s="2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x14ac:dyDescent="0.2">
      <c r="A9" s="25"/>
      <c r="B9" s="25"/>
      <c r="C9" s="25"/>
      <c r="D9" s="25"/>
      <c r="E9" s="25"/>
      <c r="F9" s="218"/>
      <c r="G9" s="230"/>
      <c r="H9" s="25"/>
      <c r="I9" s="207">
        <v>3</v>
      </c>
      <c r="J9" s="208">
        <f>3000/'Données projet'!C5</f>
        <v>289.85507246376812</v>
      </c>
      <c r="K9" s="222"/>
      <c r="L9" s="222"/>
      <c r="M9" s="25"/>
      <c r="N9" s="236"/>
      <c r="O9" s="25"/>
      <c r="P9" s="25"/>
      <c r="Q9" s="25"/>
      <c r="R9" s="25"/>
      <c r="S9" s="25"/>
      <c r="T9" s="25"/>
      <c r="U9" s="25"/>
      <c r="V9" s="25"/>
      <c r="W9" s="25"/>
      <c r="X9" s="2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x14ac:dyDescent="0.2">
      <c r="A10" s="25"/>
      <c r="B10" s="25"/>
      <c r="C10" s="25"/>
      <c r="D10" s="25"/>
      <c r="E10" s="25"/>
      <c r="F10" s="218"/>
      <c r="G10" s="230"/>
      <c r="H10" s="25"/>
      <c r="I10" s="5"/>
      <c r="J10" s="5"/>
      <c r="K10" s="222"/>
      <c r="L10" s="222"/>
      <c r="M10" s="25"/>
      <c r="N10" s="236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x14ac:dyDescent="0.2">
      <c r="A11" s="25"/>
      <c r="B11" s="25"/>
      <c r="C11" s="25"/>
      <c r="D11" s="25"/>
      <c r="E11" s="25"/>
      <c r="F11" s="218"/>
      <c r="G11" s="25"/>
      <c r="H11" s="25"/>
      <c r="I11" s="246" t="s">
        <v>178</v>
      </c>
      <c r="J11" s="246" t="s">
        <v>289</v>
      </c>
      <c r="K11" s="25"/>
      <c r="L11" s="222"/>
      <c r="M11" s="25"/>
      <c r="N11" s="236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x14ac:dyDescent="0.2">
      <c r="A12" s="25"/>
      <c r="B12" s="25"/>
      <c r="C12" s="25"/>
      <c r="D12" s="25"/>
      <c r="E12" s="25"/>
      <c r="F12" s="234"/>
      <c r="G12" s="243"/>
      <c r="H12" s="25"/>
      <c r="I12" s="207">
        <v>1</v>
      </c>
      <c r="J12" s="208">
        <f>659+100+400+250</f>
        <v>1409</v>
      </c>
      <c r="K12" s="223"/>
      <c r="L12" s="224"/>
      <c r="M12" s="25"/>
      <c r="N12" s="186"/>
      <c r="O12" s="187" t="s">
        <v>257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x14ac:dyDescent="0.2">
      <c r="A13" s="25"/>
      <c r="B13" s="25"/>
      <c r="C13" s="25"/>
      <c r="D13" s="25"/>
      <c r="E13" s="25"/>
      <c r="F13" s="234"/>
      <c r="G13" s="243"/>
      <c r="H13" s="25"/>
      <c r="I13" s="207">
        <v>2</v>
      </c>
      <c r="J13" s="208">
        <f>400+250+10</f>
        <v>660</v>
      </c>
      <c r="K13" s="225"/>
      <c r="L13" s="224"/>
      <c r="M13" s="25"/>
      <c r="N13" s="236"/>
      <c r="O13" s="226"/>
      <c r="P13" s="25"/>
      <c r="Q13" s="25"/>
      <c r="R13" s="25"/>
      <c r="S13" s="25"/>
      <c r="T13" s="25"/>
      <c r="U13" s="25"/>
      <c r="V13" s="25"/>
      <c r="W13" s="2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x14ac:dyDescent="0.2">
      <c r="A14" s="25"/>
      <c r="B14" s="25"/>
      <c r="C14" s="25"/>
      <c r="D14" s="25"/>
      <c r="E14" s="25"/>
      <c r="F14" s="234"/>
      <c r="G14" s="243"/>
      <c r="H14" s="25"/>
      <c r="I14" s="207">
        <v>3</v>
      </c>
      <c r="J14" s="208">
        <f>400+250+10</f>
        <v>660</v>
      </c>
      <c r="K14" s="225"/>
      <c r="L14" s="224"/>
      <c r="M14" s="25"/>
      <c r="N14" s="236"/>
      <c r="O14" s="226"/>
      <c r="P14" s="25"/>
      <c r="Q14" s="25"/>
      <c r="R14" s="25"/>
      <c r="S14" s="25"/>
      <c r="T14" s="25"/>
      <c r="U14" s="25"/>
      <c r="V14" s="25"/>
      <c r="W14" s="2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x14ac:dyDescent="0.2">
      <c r="A15" s="25"/>
      <c r="B15" s="25"/>
      <c r="C15" s="25"/>
      <c r="D15" s="25"/>
      <c r="E15" s="25"/>
      <c r="F15" s="234"/>
      <c r="G15" s="243"/>
      <c r="H15" s="25"/>
      <c r="I15" s="207">
        <v>4</v>
      </c>
      <c r="J15" s="208">
        <f>250+10</f>
        <v>260</v>
      </c>
      <c r="K15" s="225"/>
      <c r="L15" s="224"/>
      <c r="M15" s="25"/>
      <c r="N15" s="236"/>
      <c r="O15" s="226"/>
      <c r="P15" s="25"/>
      <c r="Q15" s="25"/>
      <c r="R15" s="25"/>
      <c r="S15" s="25"/>
      <c r="T15" s="25"/>
      <c r="U15" s="25"/>
      <c r="V15" s="25"/>
      <c r="W15" s="2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x14ac:dyDescent="0.2">
      <c r="A16" s="25"/>
      <c r="B16" s="25"/>
      <c r="C16" s="25"/>
      <c r="D16" s="25"/>
      <c r="E16" s="25"/>
      <c r="F16" s="234"/>
      <c r="G16" s="243"/>
      <c r="H16" s="25"/>
      <c r="I16" s="207">
        <v>5</v>
      </c>
      <c r="J16" s="208">
        <f>250+10</f>
        <v>260</v>
      </c>
      <c r="K16" s="225"/>
      <c r="L16" s="224"/>
      <c r="M16" s="25"/>
      <c r="N16" s="236"/>
      <c r="O16" s="226"/>
      <c r="P16" s="25"/>
      <c r="Q16" s="25"/>
      <c r="R16" s="25"/>
      <c r="S16" s="25"/>
      <c r="T16" s="25"/>
      <c r="U16" s="25"/>
      <c r="V16" s="25"/>
      <c r="W16" s="2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60" ht="31.5" customHeight="1" x14ac:dyDescent="0.2">
      <c r="A17" s="235"/>
      <c r="B17" s="235"/>
      <c r="C17" s="25"/>
      <c r="D17" s="25"/>
      <c r="E17" s="25"/>
      <c r="F17" s="218"/>
      <c r="G17" s="230"/>
      <c r="H17" s="25"/>
      <c r="I17" s="301" t="s">
        <v>292</v>
      </c>
      <c r="J17" s="301"/>
      <c r="K17" s="301"/>
      <c r="L17" s="301"/>
      <c r="M17" s="5"/>
      <c r="N17" s="186"/>
      <c r="O17" s="311" t="s">
        <v>254</v>
      </c>
      <c r="P17" s="311"/>
      <c r="Q17" s="2"/>
      <c r="R17" s="2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60" x14ac:dyDescent="0.2">
      <c r="A18" s="49" t="s">
        <v>165</v>
      </c>
      <c r="B18" s="189" t="str">
        <f>IF('Données projet'!$B$9="","",'Données projet'!$B$9)</f>
        <v>Pin laricio</v>
      </c>
      <c r="C18" s="5"/>
      <c r="D18" s="5"/>
      <c r="E18" s="5"/>
      <c r="F18" s="218"/>
      <c r="G18" s="230"/>
      <c r="H18" s="25"/>
      <c r="I18" s="5"/>
      <c r="J18" s="5"/>
      <c r="K18" s="5"/>
      <c r="L18" s="5"/>
      <c r="M18" s="5"/>
      <c r="N18" s="186"/>
      <c r="O18" s="272" t="s">
        <v>291</v>
      </c>
      <c r="P18" s="272"/>
      <c r="Q18" s="190">
        <f>VLOOKUP(Q17,Calculateur!$A$2:$H$153,3,0)/VLOOKUP('Scénario référence'!$G$15,Paramètres!A1:I88,3,0)/VLOOKUP('Scénario référence'!$G$15,Paramètres!A1:I88,5,0)</f>
        <v>0</v>
      </c>
      <c r="R18" s="2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60" x14ac:dyDescent="0.2">
      <c r="A19" s="5"/>
      <c r="B19" s="5"/>
      <c r="C19" s="5"/>
      <c r="D19" s="5"/>
      <c r="E19" s="5"/>
      <c r="F19" s="218"/>
      <c r="G19" s="230"/>
      <c r="H19" s="25"/>
      <c r="I19" s="5"/>
      <c r="J19" s="188" t="s">
        <v>263</v>
      </c>
      <c r="K19" s="191" t="s">
        <v>249</v>
      </c>
      <c r="L19" s="188" t="s">
        <v>264</v>
      </c>
      <c r="M19" s="25"/>
      <c r="N19" s="186"/>
      <c r="O19" s="272" t="s">
        <v>255</v>
      </c>
      <c r="P19" s="272"/>
      <c r="Q19" s="209"/>
      <c r="R19" s="2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60" ht="15.75" customHeight="1" x14ac:dyDescent="0.2">
      <c r="A20" s="188" t="s">
        <v>180</v>
      </c>
      <c r="B20" s="51" t="s">
        <v>256</v>
      </c>
      <c r="C20" s="51" t="s">
        <v>255</v>
      </c>
      <c r="D20" s="188" t="s">
        <v>252</v>
      </c>
      <c r="E20" s="188" t="s">
        <v>288</v>
      </c>
      <c r="F20" s="218"/>
      <c r="G20" s="231"/>
      <c r="H20" s="25"/>
      <c r="I20" s="188" t="str">
        <f>B18</f>
        <v>Pin laricio</v>
      </c>
      <c r="J20" s="192">
        <f>IF(B18&lt;&gt;"",-E21+(D22-E22)/(1+$J$6)^A22+(D23-E23)/(1+$J$6)^A23+(D24-E24)/(1+$J$6)^A24+(D25-E25)/(1+$J$6)^A25+(D26-E26)/(1+$J$6)^A26+(D27-E27)/(1+$J$6)^A27+(D28-E28)/(1+$J$6)^A28+(D29-E29)/(1+$J$6)^A29+(D30-E30)/(1+$J$6)^A30+(D31-E31)/(1+$J$6)^A31+(D32-E32)/(1+$J$6)^A32+(D33-E33)/(1+$J$6)^A33+(D34-E34)/(1+$J$6)^A34+(D35-E35)/(1+$J$6)^A35+(D36-E36)/(1+$J$6)^A36+(D37-E37)/(1+$J$6)^A37+(D38-E38)/(1+$J$6)^A38+(D39-E39)/(1+$J$6)^A39+(D40-E40)/(1+$J$6)^A40+(D41-E41)/(1+$J$6)^A41,0)</f>
        <v>2824.5761361369177</v>
      </c>
      <c r="K20" s="193">
        <f>'Données projet'!D9</f>
        <v>2.5005600000000001</v>
      </c>
      <c r="L20" s="192">
        <f>K20*J20</f>
        <v>7063.0221029785316</v>
      </c>
      <c r="M20" s="25"/>
      <c r="N20" s="186"/>
      <c r="O20" s="272" t="s">
        <v>290</v>
      </c>
      <c r="P20" s="272"/>
      <c r="Q20" s="194">
        <f>Q18*Q19</f>
        <v>0</v>
      </c>
      <c r="R20" s="2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60" ht="15.75" customHeight="1" x14ac:dyDescent="0.2">
      <c r="A21" s="214">
        <v>0</v>
      </c>
      <c r="B21" s="217" t="s">
        <v>132</v>
      </c>
      <c r="C21" s="216" t="s">
        <v>132</v>
      </c>
      <c r="D21" s="215" t="s">
        <v>132</v>
      </c>
      <c r="E21" s="210">
        <v>1440</v>
      </c>
      <c r="F21" s="218"/>
      <c r="G21" s="231"/>
      <c r="H21" s="25"/>
      <c r="I21" s="188" t="str">
        <f>B44</f>
        <v>Pin maritime</v>
      </c>
      <c r="J21" s="192">
        <f>IF(B44&lt;&gt;"",-E47+(D48-E48)/(1+$J$6)^A48+(D49-D49)/(1+$J$6)^A49+(D50-E50)/(1+$J$6)^A50+(D51-E51)/(1+$J$6)^A51+(D52-E52)/(1+$J$6)^A52+(D53-E53)/(1+$J$6)^A53+(D54-E54)/(1+$J$6)^A54+(D55-E55)/(1+$J$6)^A55+(D56-E56)/(1+$J$6)^A56+(D57-E57)/(1+$J$6)^A57+(D58-E58)/(1+$J$6)^A58+(D59-E59)/(1+$J$6)^A59+(D60-E60)/(1+$J$6)^A60+(D61-E61)/(1+$J$6)^A61+(D62-E62)/(1+$J$6)^A62+(D63-E63)/(1+$J$6)^A63+(D64-E64)/(1+$J$6)^A64+(D65-E65)/(1+$J$6)^A65+(D66-E66)/(1+$J$6)^A66+(D67-E67)/(1+$J$6)^A67,0)</f>
        <v>1766.6673479118235</v>
      </c>
      <c r="K21" s="193">
        <f>'Données projet'!D10</f>
        <v>3.7508399999999997</v>
      </c>
      <c r="L21" s="192">
        <f t="shared" ref="L21:L29" si="0">K21*J21</f>
        <v>6626.486555241584</v>
      </c>
      <c r="M21" s="25"/>
      <c r="N21" s="236"/>
      <c r="O21" s="237"/>
      <c r="P21" s="237"/>
      <c r="Q21" s="232"/>
      <c r="R21" s="25"/>
      <c r="S21" s="25"/>
      <c r="T21" s="25"/>
      <c r="U21" s="25"/>
      <c r="V21" s="2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60" x14ac:dyDescent="0.2">
      <c r="A22" s="195">
        <f>'Données projet'!A36</f>
        <v>15</v>
      </c>
      <c r="B22" s="196">
        <f>'Données projet'!D36</f>
        <v>21</v>
      </c>
      <c r="C22" s="210">
        <f>'Données projet'!E36*30+('Données projet'!F36+'Données projet'!G36)*19.4+'Données projet'!H36*10</f>
        <v>19.399999999999999</v>
      </c>
      <c r="D22" s="197">
        <f>B22*C22</f>
        <v>407.4</v>
      </c>
      <c r="E22" s="210"/>
      <c r="F22" s="218"/>
      <c r="G22" s="227"/>
      <c r="H22" s="25"/>
      <c r="I22" s="188" t="str">
        <f>B70</f>
        <v>Chêne vert</v>
      </c>
      <c r="J22" s="192">
        <f>IF(B70&lt;&gt;"",-E73+(D74-E74)/(1+$J$6)^A74+(D75-E75)/(1+$J$6)^A75+(D76-E76)/(1+$J$6)^A76+(D77-E77)/(1+$J$6)^A77+(D78-E78)/(1+$J$6)^A78+(D79-E79)/(1+$J$6)^A79+(D80-E80)/(1+$J$6)^A80+(D81-E81)/(1+$J$6)^A81+(D82-E82)/(1+$J$6)^A82+(D83-E83)/(1+$J$6)^A83+(D84-E84)/(1+$J$6)^A84+(D85-E85)/(1+$J$6)^A85+(D86-E86)/(1+$J$6)^A86+(D87-E87)/(1+$J$6)^A87+(D88-E88)/(1+$J$6)^A88+(D89-E89)/(1+$J$6)^A89+(D90-E90)/(1+$J$6)^A90+(D91-E91)/(1+$J$6)^A91+(D92-E92)/(1+$J$6)^A92+(D93-E93)/(1+$J$6)^A93,0)</f>
        <v>-2009.5112382958077</v>
      </c>
      <c r="K22" s="193">
        <f>'Données projet'!D11</f>
        <v>0.25253999999999999</v>
      </c>
      <c r="L22" s="192">
        <f t="shared" si="0"/>
        <v>-507.48196811922327</v>
      </c>
      <c r="M22" s="25"/>
      <c r="N22" s="236"/>
      <c r="O22" s="25"/>
      <c r="P22" s="25"/>
      <c r="Q22" s="25"/>
      <c r="R22" s="25"/>
      <c r="S22" s="25"/>
      <c r="T22" s="25"/>
      <c r="U22" s="25"/>
      <c r="V22" s="2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60" x14ac:dyDescent="0.2">
      <c r="A23" s="195">
        <f>'Données projet'!A37</f>
        <v>20</v>
      </c>
      <c r="B23" s="196">
        <f>'Données projet'!D37</f>
        <v>70</v>
      </c>
      <c r="C23" s="210">
        <f>'Données projet'!E37*30+('Données projet'!F37+'Données projet'!G37)*19.4+'Données projet'!H37*10</f>
        <v>19.399999999999999</v>
      </c>
      <c r="D23" s="197">
        <f t="shared" ref="D23:D41" si="1">B23*C23</f>
        <v>1358</v>
      </c>
      <c r="E23" s="210"/>
      <c r="F23" s="219"/>
      <c r="G23" s="227"/>
      <c r="H23" s="25"/>
      <c r="I23" s="188" t="str">
        <f>B96</f>
        <v>Aulne glutineux</v>
      </c>
      <c r="J23" s="192">
        <f>IF(B96&lt;&gt;"",-E99+(D100-E100)/(1+$J$6)^A100+(D101-E101)/(1+$J$6)^A101+(D102-E102)/(1+$J$6)^A102+(D103-E103)/(1+$J$6)^A103+(D104-E104)/(1+$J$6)^A104+(D105-E105)/(1+$J$6)^A105+(D106-E106)/(1+$J$6)^A106+(D107-E107)/(1+$J$6)^A107+(D108-E108)/(1+$J$6)^A108+(D109-E109)/(1+$J$6)^A109+(D110-E110)/(1+$J$6)^A110+(D111-E111)/(1+$J$6)^A111+(D112-E112)/(1+$J$6)^A112+(D113-E113)/(1+$J$6)^A113+(D114-E114)/(1+$J$6)^A114+(D115-E115)/(1+$J$6)^A115+(D116-E116)/(1+$J$6)^A116+(D117-E117)/(1+$J$6)^A117+(D118-E118)/(1+$J$6)^A118+(D119-E119)/(1+$J$6)^A119,0)</f>
        <v>-1430.852339205735</v>
      </c>
      <c r="K23" s="193">
        <f>'Données projet'!D12</f>
        <v>0.114885</v>
      </c>
      <c r="L23" s="192">
        <f t="shared" si="0"/>
        <v>-164.38347098965087</v>
      </c>
      <c r="M23" s="226"/>
      <c r="N23" s="198"/>
      <c r="O23" s="314" t="s">
        <v>261</v>
      </c>
      <c r="P23" s="314"/>
      <c r="Q23" s="314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</row>
    <row r="24" spans="1:60" x14ac:dyDescent="0.2">
      <c r="A24" s="195">
        <f>'Données projet'!A38</f>
        <v>25</v>
      </c>
      <c r="B24" s="196">
        <f>'Données projet'!D38</f>
        <v>70</v>
      </c>
      <c r="C24" s="210">
        <f>'Données projet'!E38*30+('Données projet'!F38+'Données projet'!G38)*19.4+'Données projet'!H38*10</f>
        <v>19.399999999999999</v>
      </c>
      <c r="D24" s="197">
        <f t="shared" si="1"/>
        <v>1358</v>
      </c>
      <c r="E24" s="210"/>
      <c r="F24" s="219"/>
      <c r="G24" s="227"/>
      <c r="H24" s="25"/>
      <c r="I24" s="188" t="str">
        <f>B122</f>
        <v>Erable sycomore</v>
      </c>
      <c r="J24" s="192">
        <f>IF(B122&lt;&gt;"",-E125+(D126-E126)/(1+$J$6)^A126+(D127-E127)/(1+$J$6)^A127+(D128-E128)/(1+$J$6)^A128+(D129-E129)/(1+$J$6)^A129+(D130-E130)/(1+$J$6)^A130+(D131-E131)/(1+$J$6)^A131+(D132-E132)/(1+$J$6)^A132+(D133-E133)/(1+$J$6)^A133+(D134-E134)/(1+$J$6)^A134+(D135-E135)/(1+$J$6)^A135+(D136-E136)/(1+$J$6)^A136+(D137-E137)/(1+$J$6)^A137+(D138-E138)/(1+$J$6)^A138+(D139-E139)/(1+$J$6)^A139+(D140-E140)/(1+$J$6)^A140+(D141-E141)/(1+$J$6)^A141+(D142-E142)/(1+$J$6)^A142+(D143-E143)/(1+$J$6)^A143+(D144-E144)/(1+$J$6)^A144+(D145-E145)/(1+$J$6)^A145,0)</f>
        <v>-1150.6799391762859</v>
      </c>
      <c r="K24" s="193">
        <f>'Données projet'!D13</f>
        <v>0.114885</v>
      </c>
      <c r="L24" s="192">
        <f t="shared" si="0"/>
        <v>-132.19586481226762</v>
      </c>
      <c r="M24" s="25"/>
      <c r="N24" s="186"/>
      <c r="O24" s="312" t="s">
        <v>286</v>
      </c>
      <c r="P24" s="312"/>
      <c r="Q24" s="312"/>
      <c r="R24" s="312"/>
      <c r="S24" s="312"/>
      <c r="T24" s="209">
        <v>0</v>
      </c>
      <c r="U24" s="25"/>
      <c r="V24" s="25"/>
      <c r="W24" s="2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</row>
    <row r="25" spans="1:60" ht="15" customHeight="1" x14ac:dyDescent="0.2">
      <c r="A25" s="195">
        <f>'Données projet'!A39</f>
        <v>30</v>
      </c>
      <c r="B25" s="196">
        <f>'Données projet'!D39</f>
        <v>70</v>
      </c>
      <c r="C25" s="210">
        <f>'Données projet'!E39*30+('Données projet'!F39+'Données projet'!G39)*19.4+'Données projet'!H39*10</f>
        <v>19.399999999999999</v>
      </c>
      <c r="D25" s="197">
        <f t="shared" si="1"/>
        <v>1358</v>
      </c>
      <c r="E25" s="210"/>
      <c r="F25" s="219"/>
      <c r="G25" s="227"/>
      <c r="H25" s="25"/>
      <c r="I25" s="188" t="str">
        <f>B148</f>
        <v>Peuplier Koster</v>
      </c>
      <c r="J25" s="192">
        <f>IF(B148&lt;&gt;"",-E151+(D152-E152)/(1+$J$6)^A152+(D153-E153)/(1+$J$6)^A153+(D154-E154)/(1+$J$6)^A154+(D155-E155)/(1+$J$6)^A155+(D156-E156)/(1+$J$6)^A156+(D157-E157)/(1+$J$6)^A157+(D158-E158)/(1+$J$6)^A158+(D159-E159)/(1+$J$6)^A159+(D160-E160)/(1+$J$6)^A160+(D161-E161)/(1+$J$6)^A161+(D162-E162)/(1+$J$6)^A162+(D163-E163)/(1+$J$6)^A163+(D164-E164)/(1+$J$6)^A164+(D165-E165)/(1+$J$6)^A165+(D166-E166)/(1+$J$6)^A166+(D167-E167)/(1+$J$6)^A167+(D168-E168)/(1+$J$6)^A168+(D169-E169)/(1+$J$6)^A169+(D170-E170)/(1+$J$6)^A170+(D171-E171)/(1+$J$6)^A171,0)</f>
        <v>-551.87672456324844</v>
      </c>
      <c r="K25" s="193">
        <f>'Données projet'!D14</f>
        <v>3.5003699999999998</v>
      </c>
      <c r="L25" s="192">
        <f t="shared" si="0"/>
        <v>-1931.7727303594579</v>
      </c>
      <c r="M25" s="25"/>
      <c r="N25" s="186"/>
      <c r="O25" s="313" t="s">
        <v>258</v>
      </c>
      <c r="P25" s="313"/>
      <c r="Q25" s="313"/>
      <c r="R25" s="313"/>
      <c r="S25" s="313"/>
      <c r="T25" s="313"/>
      <c r="U25" s="25"/>
      <c r="V25" s="25"/>
      <c r="W25" s="2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</row>
    <row r="26" spans="1:60" x14ac:dyDescent="0.2">
      <c r="A26" s="195">
        <f>'Données projet'!A40</f>
        <v>35</v>
      </c>
      <c r="B26" s="196">
        <f>'Données projet'!D40</f>
        <v>70</v>
      </c>
      <c r="C26" s="210">
        <f>'Données projet'!E40*30+('Données projet'!F40+'Données projet'!G40)*19.4+'Données projet'!H40*10</f>
        <v>22.58</v>
      </c>
      <c r="D26" s="197">
        <f t="shared" si="1"/>
        <v>1580.6</v>
      </c>
      <c r="E26" s="210"/>
      <c r="F26" s="219"/>
      <c r="G26" s="227"/>
      <c r="H26" s="25"/>
      <c r="I26" s="188" t="str">
        <f>B174</f>
        <v/>
      </c>
      <c r="J26" s="192">
        <f>IF(B174&lt;&gt;"",-E177+(D178-E178)/(1+$J$6)^A178+(D179-E179)/(1+$J$6)^A179+(D180-E180)/(1+$J$6)^A180+(D181-E181)/(1+$J$6)^A181+(D182-E182)/(1+$J$6)^A182+(D183-E183)/(1+$J$6)^A183+(D184-E184)/(1+$J$6)^A184+(D185-E185)/(1+$J$6)^A185+(D186-E186)/(1+$J$6)^A186+(D187-E187)/(1+$J$6)^A187+(D188-E188)/(1+$J$6)^A188+(D189-E189)/(1+$J$6)^A189+(D190-E190)/(1+$J$6)^A190+(D191-E191)/(1+$J$6)^A191+(D192-E192)/(1+$J$6)^A192+(D193-E193)/(1+$J$6)^A193+(D194-E194)/(1+$J$6)^A194+(D195-E195)/(1+$J$6)^A195+(D196-E196)/(1+$J$6)^A196+(D197-E197)/(1+$J$6)^A197,0)</f>
        <v>0</v>
      </c>
      <c r="K26" s="193">
        <f>'Données projet'!D15</f>
        <v>0</v>
      </c>
      <c r="L26" s="192">
        <f t="shared" si="0"/>
        <v>0</v>
      </c>
      <c r="M26" s="25"/>
      <c r="N26" s="186"/>
      <c r="O26" s="313"/>
      <c r="P26" s="313"/>
      <c r="Q26" s="313"/>
      <c r="R26" s="313"/>
      <c r="S26" s="313"/>
      <c r="T26" s="313"/>
      <c r="U26" s="25"/>
      <c r="V26" s="25"/>
      <c r="W26" s="2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</row>
    <row r="27" spans="1:60" x14ac:dyDescent="0.2">
      <c r="A27" s="195">
        <f>'Données projet'!A41</f>
        <v>40</v>
      </c>
      <c r="B27" s="196">
        <f>'Données projet'!D41</f>
        <v>70</v>
      </c>
      <c r="C27" s="210">
        <f>'Données projet'!E41*30+('Données projet'!F41+'Données projet'!G41)*19.4+'Données projet'!H41*10</f>
        <v>24.7</v>
      </c>
      <c r="D27" s="197">
        <f t="shared" si="1"/>
        <v>1729</v>
      </c>
      <c r="E27" s="210"/>
      <c r="F27" s="219"/>
      <c r="G27" s="227"/>
      <c r="H27" s="25"/>
      <c r="I27" s="188" t="str">
        <f>B200</f>
        <v/>
      </c>
      <c r="J27" s="192">
        <f>IF(B200&lt;&gt;"",-E203+(D204-E204)/(1+$J$6)^A204+(D205-E205)/(1+$J$6)^A205+(D206-E206)/(1+$J$6)^A206+(D207-E207)/(1+$J$6)^A207+(D208-E208)/(1+$J$6)^A208+(D209-E209)/(1+$J$6)^A209+(D210-E210)/(1+$J$6)^A210+(D211-E211)/(1+$J$6)^A211+(D212-E212)/(1+$J$6)^A212+(D213-E213)/(1+$J$6)^A213+(D214-E214)/(1+$J$6)^A214+(D215-E215)/(1+$J$6)^A215+(D216-E216)/(1+$J$6)^A216+(D217-E217)/(1+$J$6)^A217+(D218-E218)/(1+$J$6)^A218+(D219-E219)/(1+$J$6)^A219+(D220-E220)/(1+$J$6)^A220+(D221-E221)/(1+$J$6)^A221+(D222-E222)/(1+$J$6)^A222+(D223-E223)/(1+$J$6)^A223,0)</f>
        <v>0</v>
      </c>
      <c r="K27" s="193">
        <f>'Données projet'!D16</f>
        <v>0</v>
      </c>
      <c r="L27" s="192">
        <f t="shared" si="0"/>
        <v>0</v>
      </c>
      <c r="M27" s="25"/>
      <c r="N27" s="186"/>
      <c r="O27" s="199"/>
      <c r="P27" s="199"/>
      <c r="Q27" s="199"/>
      <c r="R27" s="199"/>
      <c r="S27" s="199"/>
      <c r="T27" s="245"/>
      <c r="U27" s="25"/>
      <c r="V27" s="25"/>
      <c r="W27" s="2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</row>
    <row r="28" spans="1:60" x14ac:dyDescent="0.2">
      <c r="A28" s="195">
        <f>'Données projet'!A42</f>
        <v>45</v>
      </c>
      <c r="B28" s="196">
        <f>'Données projet'!D42</f>
        <v>64</v>
      </c>
      <c r="C28" s="210">
        <f>'Données projet'!E42*30+('Données projet'!F42+'Données projet'!G42)*19.4+'Données projet'!H42*10</f>
        <v>26.82</v>
      </c>
      <c r="D28" s="197">
        <f t="shared" si="1"/>
        <v>1716.48</v>
      </c>
      <c r="E28" s="210"/>
      <c r="F28" s="219"/>
      <c r="G28" s="227"/>
      <c r="H28" s="25"/>
      <c r="I28" s="188" t="str">
        <f>B226</f>
        <v/>
      </c>
      <c r="J28" s="192">
        <f>IF(B226&lt;&gt;"",-E229+(D230-E230)/(1+$J$6)^A230+(D231-E231)/(1+$J$6)^A231+(D232-E232)/(1+$J$6)^A232+(D233-E233)/(1+$J$6)^A233+(D234-E234)/(1+$J$6)^A234+(D235-E235)/(1+$J$6)^A235+(D236-E236)/(1+$J$6)^A236+(D237-E237)/(1+$J$6)^A237+(D238-E238)/(1+$J$6)^A238+(D239-E239)/(1+$J$6)^A239+(D240-E240)/(1+$J$6)^A240+(D241-E241)/(1+$J$6)^A241+(D242-E242)/(1+$J$6)^A242+(D243-E243)/(1+$J$6)^A243+(D244-E244)/(1+$J$6)^A244+(D245-E245)/(1+$J$6)^A245+(D246-E246)/(1+$J$6)^A246+(D247-E247)/(1+$J$6)^A247+(D248-E248)/(1+$J$6)^A248+(D249-E249)/(1+$J$6)^A249,0)</f>
        <v>0</v>
      </c>
      <c r="K28" s="193">
        <f>'Données projet'!D17</f>
        <v>0</v>
      </c>
      <c r="L28" s="192">
        <f t="shared" si="0"/>
        <v>0</v>
      </c>
      <c r="M28" s="25"/>
      <c r="N28" s="186"/>
      <c r="O28" s="188" t="s">
        <v>259</v>
      </c>
      <c r="P28" s="200">
        <f ca="1">SUM(OFFSET($S$29,0,0,MIN('Données projet'!$E$9:$E$18)+1,1))</f>
        <v>0</v>
      </c>
      <c r="Q28" s="5"/>
      <c r="R28" s="93" t="s">
        <v>178</v>
      </c>
      <c r="S28" s="93" t="s">
        <v>252</v>
      </c>
      <c r="T28" s="25"/>
      <c r="U28" s="25"/>
      <c r="V28" s="25"/>
      <c r="W28" s="2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 x14ac:dyDescent="0.2">
      <c r="A29" s="195">
        <f>'Données projet'!A43</f>
        <v>50</v>
      </c>
      <c r="B29" s="196">
        <f>'Données projet'!D43</f>
        <v>563</v>
      </c>
      <c r="C29" s="210">
        <f>'Données projet'!E43*30+('Données projet'!F43+'Données projet'!G43)*19.4+'Données projet'!H43*10</f>
        <v>28.94</v>
      </c>
      <c r="D29" s="197">
        <f t="shared" si="1"/>
        <v>16293.220000000001</v>
      </c>
      <c r="E29" s="210"/>
      <c r="F29" s="219"/>
      <c r="G29" s="227"/>
      <c r="H29" s="25"/>
      <c r="I29" s="188" t="str">
        <f>B252</f>
        <v/>
      </c>
      <c r="J29" s="192">
        <f>IF(B252&lt;&gt;"",-E255+(D256-E256)/(1+$J$6)^A256+(D257-D257)/(1+$J$6)^A257+(D258-E258)/(1+$J$6)^A258+(D259-E259)/(1+$J$6)^A259+(D260-E260)/(1+$J$6)^A260+(D261-E261)/(1+$J$6)^A261+(D262-E262)/(1+$J$6)^A262+(D263-E263)/(1+$J$6)^A263+(D264-E264)/(1+$J$6)^A264+(D265-E265)/(1+$J$6)^A265+(D266-E266)/(1+$J$6)^A266+(D267-E267)/(1+$J$6)^A267+(D268-E268)/(1+$J$6)^A268+(D269-E269)/(1+$J$6)^A269+(D270-E270)/(1+$J$6)^A270+(D271-E271)/(1+$J$6)^A271+(D272-E272)/(1+$J$6)^A272+(D273-E273)/(1+$J$6)^A273+(D274-E274)/(1+$J$6)^A274+(D275-E275)/(1+$J$6)^A275,0)</f>
        <v>0</v>
      </c>
      <c r="K29" s="193">
        <f>'Données projet'!D18</f>
        <v>0</v>
      </c>
      <c r="L29" s="192">
        <f t="shared" si="0"/>
        <v>0</v>
      </c>
      <c r="M29" s="25"/>
      <c r="N29" s="186"/>
      <c r="O29" s="5"/>
      <c r="P29" s="5"/>
      <c r="Q29" s="5"/>
      <c r="R29" s="211">
        <v>0</v>
      </c>
      <c r="S29" s="201">
        <f>$T$24/(1+$J$6)^R29</f>
        <v>0</v>
      </c>
      <c r="T29" s="25"/>
      <c r="U29" s="25"/>
      <c r="V29" s="25"/>
      <c r="W29" s="2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 x14ac:dyDescent="0.2">
      <c r="A30" s="195">
        <f>'Données projet'!A44</f>
        <v>0</v>
      </c>
      <c r="B30" s="196">
        <f>'Données projet'!D44</f>
        <v>0</v>
      </c>
      <c r="C30" s="210"/>
      <c r="D30" s="197">
        <f t="shared" si="1"/>
        <v>0</v>
      </c>
      <c r="E30" s="210"/>
      <c r="F30" s="219"/>
      <c r="G30" s="227"/>
      <c r="H30" s="25"/>
      <c r="M30" s="5"/>
      <c r="N30" s="186"/>
      <c r="O30" s="308" t="s">
        <v>260</v>
      </c>
      <c r="P30" s="308"/>
      <c r="Q30" s="309"/>
      <c r="R30" s="211">
        <f>IF(R29+1&lt;=MIN('Données projet'!$E$9:$E$18),R29+1,"STOP")</f>
        <v>1</v>
      </c>
      <c r="S30" s="201">
        <f t="shared" ref="S30:S46" si="2">$T$24/(1+$J$6)^R30</f>
        <v>0</v>
      </c>
      <c r="T30" s="25"/>
      <c r="U30" s="25"/>
      <c r="V30" s="25"/>
      <c r="W30" s="2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 x14ac:dyDescent="0.2">
      <c r="A31" s="195">
        <f>'Données projet'!A45</f>
        <v>0</v>
      </c>
      <c r="B31" s="196">
        <f>'Données projet'!D45</f>
        <v>0</v>
      </c>
      <c r="C31" s="210"/>
      <c r="D31" s="197">
        <f t="shared" si="1"/>
        <v>0</v>
      </c>
      <c r="E31" s="210"/>
      <c r="F31" s="219"/>
      <c r="G31" s="227"/>
      <c r="H31" s="25"/>
      <c r="I31" s="25"/>
      <c r="J31" s="25"/>
      <c r="K31" s="25"/>
      <c r="L31" s="25"/>
      <c r="M31" s="5"/>
      <c r="N31" s="186"/>
      <c r="O31" s="308" t="s">
        <v>297</v>
      </c>
      <c r="P31" s="308"/>
      <c r="Q31" s="309"/>
      <c r="R31" s="211">
        <f>IF(R30+1&lt;=MIN('Données projet'!$E$9:$E$18),R30+1,"STOP")</f>
        <v>2</v>
      </c>
      <c r="S31" s="201">
        <f t="shared" si="2"/>
        <v>0</v>
      </c>
      <c r="T31" s="25"/>
      <c r="U31" s="25"/>
      <c r="V31" s="25"/>
      <c r="W31" s="2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 x14ac:dyDescent="0.2">
      <c r="A32" s="195">
        <f>'Données projet'!A46</f>
        <v>0</v>
      </c>
      <c r="B32" s="196">
        <f>'Données projet'!D46</f>
        <v>0</v>
      </c>
      <c r="C32" s="210"/>
      <c r="D32" s="197">
        <f t="shared" si="1"/>
        <v>0</v>
      </c>
      <c r="E32" s="210"/>
      <c r="F32" s="219"/>
      <c r="G32" s="227"/>
      <c r="H32" s="25"/>
      <c r="I32" s="25"/>
      <c r="J32" s="25"/>
      <c r="K32" s="25"/>
      <c r="L32" s="25"/>
      <c r="M32" s="5"/>
      <c r="N32" s="236"/>
      <c r="O32" s="25"/>
      <c r="P32" s="25"/>
      <c r="Q32" s="25"/>
      <c r="R32" s="211">
        <f>IF(R31+1&lt;=MIN('Données projet'!$E$9:$E$18),R31+1,"STOP")</f>
        <v>3</v>
      </c>
      <c r="S32" s="201">
        <f t="shared" si="2"/>
        <v>0</v>
      </c>
      <c r="T32" s="25"/>
      <c r="U32" s="25"/>
      <c r="V32" s="25"/>
      <c r="W32" s="2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 x14ac:dyDescent="0.2">
      <c r="A33" s="195">
        <f>'Données projet'!A47</f>
        <v>0</v>
      </c>
      <c r="B33" s="196">
        <f>'Données projet'!D47</f>
        <v>0</v>
      </c>
      <c r="C33" s="210"/>
      <c r="D33" s="197">
        <f t="shared" si="1"/>
        <v>0</v>
      </c>
      <c r="E33" s="210"/>
      <c r="F33" s="219"/>
      <c r="G33" s="227"/>
      <c r="H33" s="25"/>
      <c r="I33" s="188" t="s">
        <v>265</v>
      </c>
      <c r="J33" s="304">
        <f>SUM(L20:L29) - (J12/(1+J6)^I12 + J13/(1+J6)^I13 + J14/(1+J6)^I14 + J15/(1+J6)^I15 + J16/(1+J6)^I16 + J9/(1+J6)^I9)*'Données projet'!C5</f>
        <v>-22287.680393284361</v>
      </c>
      <c r="K33" s="304"/>
      <c r="L33" s="304"/>
      <c r="M33" s="25"/>
      <c r="N33" s="236"/>
      <c r="O33" s="25"/>
      <c r="P33" s="25"/>
      <c r="Q33" s="25"/>
      <c r="R33" s="211">
        <f>IF(R32+1&lt;=MIN('Données projet'!$E$9:$E$18),R32+1,"STOP")</f>
        <v>4</v>
      </c>
      <c r="S33" s="201">
        <f t="shared" si="2"/>
        <v>0</v>
      </c>
      <c r="T33" s="25"/>
      <c r="U33" s="25"/>
      <c r="V33" s="25"/>
      <c r="W33" s="2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x14ac:dyDescent="0.2">
      <c r="A34" s="195">
        <f>'Données projet'!A48</f>
        <v>0</v>
      </c>
      <c r="B34" s="196">
        <f>'Données projet'!D48</f>
        <v>0</v>
      </c>
      <c r="C34" s="210"/>
      <c r="D34" s="197">
        <f t="shared" si="1"/>
        <v>0</v>
      </c>
      <c r="E34" s="210"/>
      <c r="F34" s="219"/>
      <c r="G34" s="227"/>
      <c r="H34" s="25"/>
      <c r="I34" s="188" t="s">
        <v>262</v>
      </c>
      <c r="J34" s="305">
        <f ca="1">'Scénario référence'!$B$8*$P$28*'Données projet'!$C$5+('Scénario référence'!B9+'Scénario référence'!B10+'Scénario référence'!F8+'Scénario référence'!F9)*$Q$20/(1+J6)^Q17*'Données projet'!$C$5</f>
        <v>0</v>
      </c>
      <c r="K34" s="305"/>
      <c r="L34" s="305"/>
      <c r="M34" s="25"/>
      <c r="N34" s="236"/>
      <c r="O34" s="25"/>
      <c r="P34" s="25"/>
      <c r="Q34" s="25"/>
      <c r="R34" s="211">
        <f>IF(R33+1&lt;=MIN('Données projet'!$E$9:$E$18),R33+1,"STOP")</f>
        <v>5</v>
      </c>
      <c r="S34" s="201">
        <f t="shared" si="2"/>
        <v>0</v>
      </c>
      <c r="T34" s="25"/>
      <c r="U34" s="25"/>
      <c r="V34" s="25"/>
      <c r="W34" s="2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 x14ac:dyDescent="0.2">
      <c r="A35" s="195">
        <f>'Données projet'!A49</f>
        <v>0</v>
      </c>
      <c r="B35" s="196">
        <f>'Données projet'!D49</f>
        <v>0</v>
      </c>
      <c r="C35" s="210"/>
      <c r="D35" s="197">
        <f t="shared" si="1"/>
        <v>0</v>
      </c>
      <c r="E35" s="210"/>
      <c r="F35" s="219"/>
      <c r="G35" s="227"/>
      <c r="H35" s="25"/>
      <c r="I35" s="202" t="s">
        <v>267</v>
      </c>
      <c r="J35" s="306">
        <f ca="1">J33-J34</f>
        <v>-22287.680393284361</v>
      </c>
      <c r="K35" s="306"/>
      <c r="L35" s="306"/>
      <c r="M35" s="25"/>
      <c r="N35" s="236"/>
      <c r="O35" s="25"/>
      <c r="P35" s="25"/>
      <c r="Q35" s="25"/>
      <c r="R35" s="211">
        <f>IF(R34+1&lt;=MIN('Données projet'!$E$9:$E$18),R34+1,"STOP")</f>
        <v>6</v>
      </c>
      <c r="S35" s="201">
        <f t="shared" si="2"/>
        <v>0</v>
      </c>
      <c r="T35" s="25"/>
      <c r="U35" s="25"/>
      <c r="V35" s="25"/>
      <c r="W35" s="2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 x14ac:dyDescent="0.2">
      <c r="A36" s="195">
        <f>'Données projet'!A50</f>
        <v>0</v>
      </c>
      <c r="B36" s="196">
        <f>'Données projet'!D50</f>
        <v>0</v>
      </c>
      <c r="C36" s="210"/>
      <c r="D36" s="197">
        <f t="shared" si="1"/>
        <v>0</v>
      </c>
      <c r="E36" s="210"/>
      <c r="F36" s="219"/>
      <c r="G36" s="227"/>
      <c r="H36" s="25"/>
      <c r="I36" s="202" t="s">
        <v>266</v>
      </c>
      <c r="J36" s="303" t="str">
        <f ca="1">IF(J35&lt;0,"Votre projet est additionnel","Votre projet n'est pas additionnel")</f>
        <v>Votre projet est additionnel</v>
      </c>
      <c r="K36" s="303"/>
      <c r="L36" s="303"/>
      <c r="M36" s="25"/>
      <c r="N36" s="236"/>
      <c r="O36" s="25"/>
      <c r="P36" s="25"/>
      <c r="Q36" s="25"/>
      <c r="R36" s="211">
        <f>IF(R35+1&lt;=MIN('Données projet'!$E$9:$E$18),R35+1,"STOP")</f>
        <v>7</v>
      </c>
      <c r="S36" s="201">
        <f t="shared" si="2"/>
        <v>0</v>
      </c>
      <c r="T36" s="2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 x14ac:dyDescent="0.2">
      <c r="A37" s="195">
        <f>'Données projet'!A51</f>
        <v>0</v>
      </c>
      <c r="B37" s="196">
        <f>'Données projet'!D51</f>
        <v>0</v>
      </c>
      <c r="C37" s="210"/>
      <c r="D37" s="197">
        <f t="shared" si="1"/>
        <v>0</v>
      </c>
      <c r="E37" s="210"/>
      <c r="F37" s="219"/>
      <c r="G37" s="227"/>
      <c r="H37" s="25"/>
      <c r="I37" s="307" t="s">
        <v>268</v>
      </c>
      <c r="J37" s="307"/>
      <c r="K37" s="307"/>
      <c r="L37" s="307"/>
      <c r="M37" s="25"/>
      <c r="N37" s="236"/>
      <c r="O37" s="25"/>
      <c r="P37" s="25"/>
      <c r="Q37" s="25"/>
      <c r="R37" s="211">
        <f>IF(R36+1&lt;=MIN('Données projet'!$E$9:$E$18),R36+1,"STOP")</f>
        <v>8</v>
      </c>
      <c r="S37" s="201">
        <f t="shared" si="2"/>
        <v>0</v>
      </c>
      <c r="T37" s="2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 x14ac:dyDescent="0.2">
      <c r="A38" s="195">
        <f>'Données projet'!A52</f>
        <v>0</v>
      </c>
      <c r="B38" s="196">
        <f>'Données projet'!D52</f>
        <v>0</v>
      </c>
      <c r="C38" s="210"/>
      <c r="D38" s="197">
        <f t="shared" si="1"/>
        <v>0</v>
      </c>
      <c r="E38" s="210"/>
      <c r="F38" s="219"/>
      <c r="G38" s="227"/>
      <c r="H38" s="25"/>
      <c r="I38" s="25"/>
      <c r="J38" s="25"/>
      <c r="K38" s="25"/>
      <c r="L38" s="25"/>
      <c r="M38" s="25"/>
      <c r="N38" s="236"/>
      <c r="O38" s="25"/>
      <c r="P38" s="25"/>
      <c r="Q38" s="25"/>
      <c r="R38" s="211">
        <f>IF(R37+1&lt;=MIN('Données projet'!$E$9:$E$18),R37+1,"STOP")</f>
        <v>9</v>
      </c>
      <c r="S38" s="201">
        <f t="shared" si="2"/>
        <v>0</v>
      </c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 x14ac:dyDescent="0.2">
      <c r="A39" s="195">
        <f>'Données projet'!A53</f>
        <v>0</v>
      </c>
      <c r="B39" s="196">
        <f>'Données projet'!D53</f>
        <v>0</v>
      </c>
      <c r="C39" s="210"/>
      <c r="D39" s="197">
        <f t="shared" si="1"/>
        <v>0</v>
      </c>
      <c r="E39" s="210"/>
      <c r="F39" s="219"/>
      <c r="G39" s="227"/>
      <c r="H39" s="25"/>
      <c r="I39" s="25"/>
      <c r="J39" s="25"/>
      <c r="K39" s="25"/>
      <c r="L39" s="25"/>
      <c r="M39" s="25"/>
      <c r="N39" s="236"/>
      <c r="O39" s="25"/>
      <c r="P39" s="25"/>
      <c r="Q39" s="25"/>
      <c r="R39" s="211">
        <f>IF(R38+1&lt;=MIN('Données projet'!$E$9:$E$18),R38+1,"STOP")</f>
        <v>10</v>
      </c>
      <c r="S39" s="201">
        <f t="shared" si="2"/>
        <v>0</v>
      </c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 x14ac:dyDescent="0.2">
      <c r="A40" s="195">
        <f>'Données projet'!A54</f>
        <v>0</v>
      </c>
      <c r="B40" s="196">
        <f>'Données projet'!D54</f>
        <v>0</v>
      </c>
      <c r="C40" s="210"/>
      <c r="D40" s="197">
        <f t="shared" si="1"/>
        <v>0</v>
      </c>
      <c r="E40" s="210"/>
      <c r="F40" s="219"/>
      <c r="G40" s="227"/>
      <c r="H40" s="25"/>
      <c r="I40" s="25"/>
      <c r="J40" s="25"/>
      <c r="K40" s="25"/>
      <c r="L40" s="25"/>
      <c r="M40" s="25"/>
      <c r="N40" s="236"/>
      <c r="O40" s="25"/>
      <c r="P40" s="25"/>
      <c r="Q40" s="25"/>
      <c r="R40" s="211">
        <f>IF(R39+1&lt;=MIN('Données projet'!$E$9:$E$18),R39+1,"STOP")</f>
        <v>11</v>
      </c>
      <c r="S40" s="201">
        <f t="shared" si="2"/>
        <v>0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 x14ac:dyDescent="0.2">
      <c r="A41" s="195">
        <f>'Données projet'!A55</f>
        <v>0</v>
      </c>
      <c r="B41" s="196">
        <f>'Données projet'!D55</f>
        <v>0</v>
      </c>
      <c r="C41" s="210"/>
      <c r="D41" s="197">
        <f t="shared" si="1"/>
        <v>0</v>
      </c>
      <c r="E41" s="210"/>
      <c r="F41" s="219"/>
      <c r="G41" s="227"/>
      <c r="H41" s="25"/>
      <c r="I41" s="25"/>
      <c r="J41" s="25"/>
      <c r="K41" s="25"/>
      <c r="L41" s="25"/>
      <c r="M41" s="25"/>
      <c r="N41" s="236"/>
      <c r="O41" s="25"/>
      <c r="P41" s="25"/>
      <c r="Q41" s="25"/>
      <c r="R41" s="211">
        <f>IF(R40+1&lt;=MIN('Données projet'!$E$9:$E$18),R40+1,"STOP")</f>
        <v>12</v>
      </c>
      <c r="S41" s="201">
        <f t="shared" si="2"/>
        <v>0</v>
      </c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</row>
    <row r="42" spans="1:60" s="212" customFormat="1" ht="47.25" customHeight="1" x14ac:dyDescent="0.2">
      <c r="A42" s="203"/>
      <c r="B42" s="203"/>
      <c r="C42" s="203"/>
      <c r="D42" s="203"/>
      <c r="E42" s="301" t="s">
        <v>293</v>
      </c>
      <c r="F42" s="302"/>
      <c r="G42" s="228"/>
      <c r="H42" s="229"/>
      <c r="I42" s="229"/>
      <c r="J42" s="229"/>
      <c r="K42" s="229"/>
      <c r="L42" s="229"/>
      <c r="M42" s="229"/>
      <c r="N42" s="238"/>
      <c r="O42" s="229"/>
      <c r="P42" s="229"/>
      <c r="Q42" s="229"/>
      <c r="R42" s="211">
        <f>IF(R41+1&lt;=MIN('Données projet'!$E$9:$E$18),R41+1,"STOP")</f>
        <v>13</v>
      </c>
      <c r="S42" s="204">
        <f t="shared" si="2"/>
        <v>0</v>
      </c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</row>
    <row r="43" spans="1:60" x14ac:dyDescent="0.2">
      <c r="A43" s="5"/>
      <c r="B43" s="5"/>
      <c r="C43" s="5"/>
      <c r="D43" s="5"/>
      <c r="E43" s="5"/>
      <c r="F43" s="218"/>
      <c r="G43" s="230"/>
      <c r="H43" s="25"/>
      <c r="I43" s="25"/>
      <c r="J43" s="25"/>
      <c r="K43" s="25"/>
      <c r="L43" s="25"/>
      <c r="M43" s="25"/>
      <c r="N43" s="186"/>
      <c r="O43" s="5"/>
      <c r="P43" s="5"/>
      <c r="Q43" s="5"/>
      <c r="R43" s="211">
        <f>IF(R42+1&lt;=MIN('Données projet'!$E$9:$E$18),R42+1,"STOP")</f>
        <v>14</v>
      </c>
      <c r="S43" s="201">
        <f t="shared" si="2"/>
        <v>0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 x14ac:dyDescent="0.2">
      <c r="A44" s="49" t="s">
        <v>166</v>
      </c>
      <c r="B44" s="189" t="str">
        <f>IF('Données projet'!$B$10="","",'Données projet'!$B$10)</f>
        <v>Pin maritime</v>
      </c>
      <c r="C44" s="5"/>
      <c r="D44" s="5"/>
      <c r="E44" s="5"/>
      <c r="F44" s="218"/>
      <c r="G44" s="230"/>
      <c r="H44" s="25"/>
      <c r="I44" s="25"/>
      <c r="J44" s="25"/>
      <c r="K44" s="25"/>
      <c r="L44" s="25"/>
      <c r="M44" s="25"/>
      <c r="N44" s="186"/>
      <c r="O44" s="5"/>
      <c r="P44" s="5"/>
      <c r="Q44" s="5"/>
      <c r="R44" s="211">
        <f>IF(R43+1&lt;=MIN('Données projet'!$E$9:$E$18),R43+1,"STOP")</f>
        <v>15</v>
      </c>
      <c r="S44" s="201">
        <f t="shared" si="2"/>
        <v>0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 x14ac:dyDescent="0.2">
      <c r="A45" s="5"/>
      <c r="B45" s="5"/>
      <c r="C45" s="5"/>
      <c r="D45" s="5"/>
      <c r="E45" s="5"/>
      <c r="F45" s="218"/>
      <c r="G45" s="230"/>
      <c r="H45" s="25"/>
      <c r="I45" s="25"/>
      <c r="J45" s="25"/>
      <c r="K45" s="25"/>
      <c r="L45" s="25"/>
      <c r="M45" s="25"/>
      <c r="N45" s="186"/>
      <c r="O45" s="5"/>
      <c r="P45" s="5"/>
      <c r="Q45" s="5"/>
      <c r="R45" s="211">
        <f>IF(R44+1&lt;=MIN('Données projet'!$E$9:$E$18),R44+1,"STOP")</f>
        <v>16</v>
      </c>
      <c r="S45" s="201">
        <f t="shared" si="2"/>
        <v>0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 ht="15" customHeight="1" x14ac:dyDescent="0.2">
      <c r="A46" s="188" t="s">
        <v>180</v>
      </c>
      <c r="B46" s="51" t="s">
        <v>256</v>
      </c>
      <c r="C46" s="51" t="s">
        <v>255</v>
      </c>
      <c r="D46" s="188" t="s">
        <v>252</v>
      </c>
      <c r="E46" s="188" t="s">
        <v>288</v>
      </c>
      <c r="F46" s="220"/>
      <c r="G46" s="231"/>
      <c r="H46" s="25"/>
      <c r="I46" s="25"/>
      <c r="J46" s="25"/>
      <c r="K46" s="25"/>
      <c r="L46" s="25"/>
      <c r="M46" s="25"/>
      <c r="N46" s="186"/>
      <c r="O46" s="5"/>
      <c r="P46" s="5"/>
      <c r="Q46" s="5"/>
      <c r="R46" s="211">
        <f>IF(R45+1&lt;=MIN('Données projet'!$E$9:$E$18),R45+1,"STOP")</f>
        <v>17</v>
      </c>
      <c r="S46" s="201">
        <f t="shared" si="2"/>
        <v>0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 ht="15" customHeight="1" x14ac:dyDescent="0.2">
      <c r="A47" s="214">
        <v>0</v>
      </c>
      <c r="B47" s="217" t="s">
        <v>132</v>
      </c>
      <c r="C47" s="216" t="s">
        <v>132</v>
      </c>
      <c r="D47" s="215" t="s">
        <v>132</v>
      </c>
      <c r="E47" s="210">
        <v>1440</v>
      </c>
      <c r="F47" s="220"/>
      <c r="G47" s="231"/>
      <c r="H47" s="25"/>
      <c r="I47" s="25"/>
      <c r="J47" s="25"/>
      <c r="K47" s="25"/>
      <c r="L47" s="25"/>
      <c r="M47" s="25"/>
      <c r="N47" s="186"/>
      <c r="O47" s="5"/>
      <c r="P47" s="5"/>
      <c r="Q47" s="5"/>
      <c r="R47" s="211">
        <f>IF(R46+1&lt;=MIN('Données projet'!$E$9:$E$18),R46+1,"STOP")</f>
        <v>18</v>
      </c>
      <c r="S47" s="201">
        <f t="shared" ref="S47:S60" si="3">$T$24/(1+$J$6)^R47</f>
        <v>0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 x14ac:dyDescent="0.2">
      <c r="A48" s="195">
        <f>'Données projet'!A62</f>
        <v>15</v>
      </c>
      <c r="B48" s="196">
        <f>'Données projet'!D62</f>
        <v>14</v>
      </c>
      <c r="C48" s="210">
        <f>'Données projet'!E62*42+('Données projet'!F62+'Données projet'!G62)*19.4+'Données projet'!H62*10</f>
        <v>19.399999999999999</v>
      </c>
      <c r="D48" s="194">
        <f>B48*C48</f>
        <v>271.59999999999997</v>
      </c>
      <c r="E48" s="210"/>
      <c r="F48" s="221"/>
      <c r="G48" s="232"/>
      <c r="H48" s="25"/>
      <c r="I48" s="25"/>
      <c r="J48" s="25"/>
      <c r="K48" s="25"/>
      <c r="L48" s="25"/>
      <c r="M48" s="25"/>
      <c r="N48" s="186"/>
      <c r="O48" s="5"/>
      <c r="P48" s="5"/>
      <c r="Q48" s="5"/>
      <c r="R48" s="211">
        <f>IF(R47+1&lt;=MIN('Données projet'!$E$9:$E$18),R47+1,"STOP")</f>
        <v>19</v>
      </c>
      <c r="S48" s="201">
        <f t="shared" si="3"/>
        <v>0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</row>
    <row r="49" spans="1:60" x14ac:dyDescent="0.2">
      <c r="A49" s="195">
        <f>'Données projet'!A63</f>
        <v>20</v>
      </c>
      <c r="B49" s="196">
        <f>'Données projet'!D63</f>
        <v>49</v>
      </c>
      <c r="C49" s="210">
        <f>'Données projet'!E63*42+('Données projet'!F63+'Données projet'!G63)*19.4+'Données projet'!H63*10</f>
        <v>19.399999999999999</v>
      </c>
      <c r="D49" s="194">
        <f t="shared" ref="D49:D67" si="4">B49*C49</f>
        <v>950.59999999999991</v>
      </c>
      <c r="E49" s="210"/>
      <c r="F49" s="221"/>
      <c r="G49" s="232"/>
      <c r="H49" s="25"/>
      <c r="I49" s="25"/>
      <c r="J49" s="25"/>
      <c r="K49" s="25"/>
      <c r="L49" s="25"/>
      <c r="M49" s="25"/>
      <c r="N49" s="186"/>
      <c r="O49" s="5"/>
      <c r="P49" s="5"/>
      <c r="Q49" s="5"/>
      <c r="R49" s="211">
        <f>IF(R48+1&lt;=MIN('Données projet'!$E$9:$E$18),R48+1,"STOP")</f>
        <v>20</v>
      </c>
      <c r="S49" s="201">
        <f t="shared" si="3"/>
        <v>0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</row>
    <row r="50" spans="1:60" x14ac:dyDescent="0.2">
      <c r="A50" s="195">
        <f>'Données projet'!A64</f>
        <v>25</v>
      </c>
      <c r="B50" s="196">
        <f>'Données projet'!D64</f>
        <v>49</v>
      </c>
      <c r="C50" s="210">
        <f>'Données projet'!E64*42+('Données projet'!F64+'Données projet'!G64)*19.4+'Données projet'!H64*10</f>
        <v>19.399999999999999</v>
      </c>
      <c r="D50" s="194">
        <f t="shared" si="4"/>
        <v>950.59999999999991</v>
      </c>
      <c r="E50" s="210"/>
      <c r="F50" s="221"/>
      <c r="G50" s="232"/>
      <c r="H50" s="25"/>
      <c r="I50" s="25"/>
      <c r="J50" s="25"/>
      <c r="K50" s="25"/>
      <c r="L50" s="25"/>
      <c r="M50" s="25"/>
      <c r="N50" s="186"/>
      <c r="O50" s="5"/>
      <c r="P50" s="5"/>
      <c r="Q50" s="5"/>
      <c r="R50" s="211">
        <f>IF(R49+1&lt;=MIN('Données projet'!$E$9:$E$18),R49+1,"STOP")</f>
        <v>21</v>
      </c>
      <c r="S50" s="201">
        <f t="shared" si="3"/>
        <v>0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</row>
    <row r="51" spans="1:60" x14ac:dyDescent="0.2">
      <c r="A51" s="195">
        <f>'Données projet'!A65</f>
        <v>30</v>
      </c>
      <c r="B51" s="196">
        <f>'Données projet'!D65</f>
        <v>49</v>
      </c>
      <c r="C51" s="210">
        <f>'Données projet'!E65*42+('Données projet'!F65+'Données projet'!G65)*19.4+'Données projet'!H65*10</f>
        <v>19.399999999999999</v>
      </c>
      <c r="D51" s="194">
        <f t="shared" si="4"/>
        <v>950.59999999999991</v>
      </c>
      <c r="E51" s="210"/>
      <c r="F51" s="221"/>
      <c r="G51" s="232"/>
      <c r="H51" s="25"/>
      <c r="I51" s="25"/>
      <c r="J51" s="25"/>
      <c r="K51" s="25"/>
      <c r="L51" s="25"/>
      <c r="M51" s="25"/>
      <c r="N51" s="186"/>
      <c r="O51" s="5"/>
      <c r="P51" s="5"/>
      <c r="Q51" s="5"/>
      <c r="R51" s="211">
        <f>IF(R50+1&lt;=MIN('Données projet'!$E$9:$E$18),R50+1,"STOP")</f>
        <v>22</v>
      </c>
      <c r="S51" s="201">
        <f t="shared" si="3"/>
        <v>0</v>
      </c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</row>
    <row r="52" spans="1:60" x14ac:dyDescent="0.2">
      <c r="A52" s="195">
        <f>'Données projet'!A66</f>
        <v>35</v>
      </c>
      <c r="B52" s="196">
        <f>'Données projet'!D66</f>
        <v>49</v>
      </c>
      <c r="C52" s="210">
        <f>'Données projet'!E66*42+('Données projet'!F66+'Données projet'!G66)*19.4+'Données projet'!H66*10</f>
        <v>26.18</v>
      </c>
      <c r="D52" s="194">
        <f t="shared" si="4"/>
        <v>1282.82</v>
      </c>
      <c r="E52" s="210"/>
      <c r="F52" s="221"/>
      <c r="G52" s="232"/>
      <c r="H52" s="25"/>
      <c r="I52" s="25"/>
      <c r="J52" s="233"/>
      <c r="K52" s="233"/>
      <c r="L52" s="233"/>
      <c r="M52" s="25"/>
      <c r="N52" s="186"/>
      <c r="O52" s="5"/>
      <c r="P52" s="5"/>
      <c r="Q52" s="5"/>
      <c r="R52" s="211" t="str">
        <f>IF(R51+1&lt;=MIN('Données projet'!$E$9:$E$18),R51+1,"STOP")</f>
        <v>STOP</v>
      </c>
      <c r="S52" s="201" t="e">
        <f t="shared" si="3"/>
        <v>#VALUE!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</row>
    <row r="53" spans="1:60" x14ac:dyDescent="0.2">
      <c r="A53" s="195">
        <f>'Données projet'!A67</f>
        <v>40</v>
      </c>
      <c r="B53" s="196">
        <f>'Données projet'!D67</f>
        <v>49</v>
      </c>
      <c r="C53" s="210">
        <f>'Données projet'!E67*42+('Données projet'!F67+'Données projet'!G67)*19.4+'Données projet'!H67*10</f>
        <v>30.7</v>
      </c>
      <c r="D53" s="194">
        <f t="shared" si="4"/>
        <v>1504.3</v>
      </c>
      <c r="E53" s="210"/>
      <c r="F53" s="221"/>
      <c r="G53" s="232"/>
      <c r="H53" s="25"/>
      <c r="I53" s="5"/>
      <c r="J53" s="205"/>
      <c r="K53" s="205"/>
      <c r="L53" s="205"/>
      <c r="M53" s="5"/>
      <c r="N53" s="186"/>
      <c r="O53" s="5"/>
      <c r="P53" s="5"/>
      <c r="Q53" s="5"/>
      <c r="R53" s="211" t="e">
        <f>IF(R52+1&lt;=MIN('Données projet'!$E$9:$E$18),R52+1,"STOP")</f>
        <v>#VALUE!</v>
      </c>
      <c r="S53" s="201" t="e">
        <f t="shared" si="3"/>
        <v>#VALUE!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</row>
    <row r="54" spans="1:60" x14ac:dyDescent="0.2">
      <c r="A54" s="195">
        <f>'Données projet'!A68</f>
        <v>45</v>
      </c>
      <c r="B54" s="196">
        <f>'Données projet'!D68</f>
        <v>49</v>
      </c>
      <c r="C54" s="210">
        <f>'Données projet'!E68*42+('Données projet'!F68+'Données projet'!G68)*19.4+'Données projet'!H68*10</f>
        <v>35.22</v>
      </c>
      <c r="D54" s="194">
        <f t="shared" si="4"/>
        <v>1725.78</v>
      </c>
      <c r="E54" s="210"/>
      <c r="F54" s="221"/>
      <c r="G54" s="232"/>
      <c r="H54" s="25"/>
      <c r="I54" s="5"/>
      <c r="J54" s="205"/>
      <c r="K54" s="205"/>
      <c r="L54" s="205"/>
      <c r="M54" s="5"/>
      <c r="N54" s="186"/>
      <c r="O54" s="5"/>
      <c r="P54" s="5"/>
      <c r="Q54" s="5"/>
      <c r="R54" s="211" t="e">
        <f>IF(R53+1&lt;=MIN('Données projet'!$E$9:$E$18),R53+1,"STOP")</f>
        <v>#VALUE!</v>
      </c>
      <c r="S54" s="201" t="e">
        <f t="shared" si="3"/>
        <v>#VALUE!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</row>
    <row r="55" spans="1:60" x14ac:dyDescent="0.2">
      <c r="A55" s="195">
        <f>'Données projet'!A69</f>
        <v>50</v>
      </c>
      <c r="B55" s="196">
        <f>'Données projet'!D69</f>
        <v>392</v>
      </c>
      <c r="C55" s="210">
        <f>'Données projet'!E69*42+('Données projet'!F69+'Données projet'!G69)*19.4+'Données projet'!H69*10</f>
        <v>39.74</v>
      </c>
      <c r="D55" s="194">
        <f t="shared" si="4"/>
        <v>15578.08</v>
      </c>
      <c r="E55" s="210"/>
      <c r="F55" s="221"/>
      <c r="G55" s="232"/>
      <c r="H55" s="25"/>
      <c r="I55" s="5"/>
      <c r="J55" s="205"/>
      <c r="K55" s="205"/>
      <c r="L55" s="205"/>
      <c r="M55" s="5"/>
      <c r="N55" s="186"/>
      <c r="O55" s="5"/>
      <c r="P55" s="5"/>
      <c r="Q55" s="5"/>
      <c r="R55" s="211" t="e">
        <f>IF(R54+1&lt;=MIN('Données projet'!$E$9:$E$18),R54+1,"STOP")</f>
        <v>#VALUE!</v>
      </c>
      <c r="S55" s="201" t="e">
        <f t="shared" si="3"/>
        <v>#VALUE!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</row>
    <row r="56" spans="1:60" x14ac:dyDescent="0.2">
      <c r="A56" s="195">
        <f>'Données projet'!A70</f>
        <v>0</v>
      </c>
      <c r="B56" s="196">
        <f>'Données projet'!D70</f>
        <v>0</v>
      </c>
      <c r="C56" s="208"/>
      <c r="D56" s="194">
        <f t="shared" si="4"/>
        <v>0</v>
      </c>
      <c r="E56" s="210"/>
      <c r="F56" s="221"/>
      <c r="G56" s="232"/>
      <c r="H56" s="25"/>
      <c r="I56" s="5"/>
      <c r="J56" s="205"/>
      <c r="K56" s="205"/>
      <c r="L56" s="205"/>
      <c r="M56" s="5"/>
      <c r="N56" s="186"/>
      <c r="O56" s="5"/>
      <c r="P56" s="5"/>
      <c r="Q56" s="5"/>
      <c r="R56" s="211" t="e">
        <f>IF(R55+1&lt;=MIN('Données projet'!$E$9:$E$18),R55+1,"STOP")</f>
        <v>#VALUE!</v>
      </c>
      <c r="S56" s="201" t="e">
        <f t="shared" si="3"/>
        <v>#VALUE!</v>
      </c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</row>
    <row r="57" spans="1:60" x14ac:dyDescent="0.2">
      <c r="A57" s="195">
        <f>'Données projet'!A71</f>
        <v>0</v>
      </c>
      <c r="B57" s="196">
        <f>'Données projet'!D71</f>
        <v>0</v>
      </c>
      <c r="C57" s="208"/>
      <c r="D57" s="194">
        <f t="shared" si="4"/>
        <v>0</v>
      </c>
      <c r="E57" s="210"/>
      <c r="F57" s="221"/>
      <c r="G57" s="232"/>
      <c r="H57" s="25"/>
      <c r="I57" s="5"/>
      <c r="J57" s="205"/>
      <c r="K57" s="205"/>
      <c r="L57" s="205"/>
      <c r="M57" s="5"/>
      <c r="N57" s="186"/>
      <c r="O57" s="5"/>
      <c r="P57" s="5"/>
      <c r="Q57" s="5"/>
      <c r="R57" s="211" t="e">
        <f>IF(R56+1&lt;=MIN('Données projet'!$E$9:$E$18),R56+1,"STOP")</f>
        <v>#VALUE!</v>
      </c>
      <c r="S57" s="201" t="e">
        <f t="shared" si="3"/>
        <v>#VALUE!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</row>
    <row r="58" spans="1:60" x14ac:dyDescent="0.2">
      <c r="A58" s="195">
        <f>'Données projet'!A72</f>
        <v>0</v>
      </c>
      <c r="B58" s="196">
        <f>'Données projet'!D72</f>
        <v>0</v>
      </c>
      <c r="C58" s="208"/>
      <c r="D58" s="194">
        <f t="shared" si="4"/>
        <v>0</v>
      </c>
      <c r="E58" s="210"/>
      <c r="F58" s="221"/>
      <c r="G58" s="232"/>
      <c r="H58" s="25"/>
      <c r="I58" s="5"/>
      <c r="J58" s="205"/>
      <c r="K58" s="205"/>
      <c r="L58" s="205"/>
      <c r="M58" s="5"/>
      <c r="N58" s="186"/>
      <c r="O58" s="5"/>
      <c r="P58" s="5"/>
      <c r="Q58" s="5"/>
      <c r="R58" s="211" t="e">
        <f>IF(R57+1&lt;=MIN('Données projet'!$E$9:$E$18),R57+1,"STOP")</f>
        <v>#VALUE!</v>
      </c>
      <c r="S58" s="201" t="e">
        <f t="shared" si="3"/>
        <v>#VALUE!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</row>
    <row r="59" spans="1:60" x14ac:dyDescent="0.2">
      <c r="A59" s="195">
        <f>'Données projet'!A73</f>
        <v>0</v>
      </c>
      <c r="B59" s="196">
        <f>'Données projet'!D73</f>
        <v>0</v>
      </c>
      <c r="C59" s="208"/>
      <c r="D59" s="194">
        <f t="shared" si="4"/>
        <v>0</v>
      </c>
      <c r="E59" s="210"/>
      <c r="F59" s="221"/>
      <c r="G59" s="232"/>
      <c r="H59" s="25"/>
      <c r="I59" s="5"/>
      <c r="J59" s="205"/>
      <c r="K59" s="205"/>
      <c r="L59" s="205"/>
      <c r="M59" s="5"/>
      <c r="N59" s="186"/>
      <c r="O59" s="5"/>
      <c r="P59" s="5"/>
      <c r="Q59" s="5"/>
      <c r="R59" s="211" t="e">
        <f>IF(R58+1&lt;=MIN('Données projet'!$E$9:$E$18),R58+1,"STOP")</f>
        <v>#VALUE!</v>
      </c>
      <c r="S59" s="201" t="e">
        <f t="shared" si="3"/>
        <v>#VALUE!</v>
      </c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</row>
    <row r="60" spans="1:60" x14ac:dyDescent="0.2">
      <c r="A60" s="195">
        <f>'Données projet'!A74</f>
        <v>0</v>
      </c>
      <c r="B60" s="196">
        <f>'Données projet'!D74</f>
        <v>0</v>
      </c>
      <c r="C60" s="208"/>
      <c r="D60" s="194">
        <f t="shared" si="4"/>
        <v>0</v>
      </c>
      <c r="E60" s="210"/>
      <c r="F60" s="221"/>
      <c r="G60" s="232"/>
      <c r="H60" s="25"/>
      <c r="I60" s="5"/>
      <c r="J60" s="5"/>
      <c r="K60" s="5"/>
      <c r="L60" s="5"/>
      <c r="M60" s="5"/>
      <c r="N60" s="186"/>
      <c r="O60" s="5"/>
      <c r="P60" s="5"/>
      <c r="Q60" s="5"/>
      <c r="R60" s="211" t="e">
        <f>IF(R59+1&lt;=MIN('Données projet'!$E$9:$E$18),R59+1,"STOP")</f>
        <v>#VALUE!</v>
      </c>
      <c r="S60" s="201" t="e">
        <f t="shared" si="3"/>
        <v>#VALUE!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</row>
    <row r="61" spans="1:60" x14ac:dyDescent="0.2">
      <c r="A61" s="195">
        <f>'Données projet'!A75</f>
        <v>0</v>
      </c>
      <c r="B61" s="196">
        <f>'Données projet'!D75</f>
        <v>0</v>
      </c>
      <c r="C61" s="208"/>
      <c r="D61" s="194">
        <f t="shared" si="4"/>
        <v>0</v>
      </c>
      <c r="E61" s="210"/>
      <c r="F61" s="221"/>
      <c r="G61" s="232"/>
      <c r="H61" s="25"/>
      <c r="I61" s="5"/>
      <c r="J61" s="5"/>
      <c r="K61" s="5"/>
      <c r="L61" s="5"/>
      <c r="M61" s="5"/>
      <c r="N61" s="186"/>
      <c r="O61" s="5"/>
      <c r="P61" s="5"/>
      <c r="Q61" s="5"/>
      <c r="R61" s="211" t="e">
        <f>IF(R60+1&lt;=MIN('Données projet'!$E$9:$E$18),R60+1,"STOP")</f>
        <v>#VALUE!</v>
      </c>
      <c r="S61" s="201" t="e">
        <f t="shared" ref="S61:S72" si="5">$T$24/(1+$J$6)^R61</f>
        <v>#VALUE!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</row>
    <row r="62" spans="1:60" x14ac:dyDescent="0.2">
      <c r="A62" s="195">
        <f>'Données projet'!A76</f>
        <v>0</v>
      </c>
      <c r="B62" s="196">
        <f>'Données projet'!D76</f>
        <v>0</v>
      </c>
      <c r="C62" s="208"/>
      <c r="D62" s="194">
        <f t="shared" si="4"/>
        <v>0</v>
      </c>
      <c r="E62" s="210"/>
      <c r="F62" s="221"/>
      <c r="G62" s="232"/>
      <c r="H62" s="25"/>
      <c r="I62" s="5"/>
      <c r="J62" s="5"/>
      <c r="K62" s="5"/>
      <c r="L62" s="5"/>
      <c r="M62" s="5"/>
      <c r="N62" s="186"/>
      <c r="O62" s="5"/>
      <c r="P62" s="5"/>
      <c r="Q62" s="5"/>
      <c r="R62" s="211" t="e">
        <f>IF(R61+1&lt;=MIN('Données projet'!$E$9:$E$18),R61+1,"STOP")</f>
        <v>#VALUE!</v>
      </c>
      <c r="S62" s="201" t="e">
        <f t="shared" si="5"/>
        <v>#VALUE!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</row>
    <row r="63" spans="1:60" x14ac:dyDescent="0.2">
      <c r="A63" s="195">
        <f>'Données projet'!A77</f>
        <v>0</v>
      </c>
      <c r="B63" s="196">
        <f>'Données projet'!D77</f>
        <v>0</v>
      </c>
      <c r="C63" s="208"/>
      <c r="D63" s="194">
        <f t="shared" si="4"/>
        <v>0</v>
      </c>
      <c r="E63" s="210"/>
      <c r="F63" s="221"/>
      <c r="G63" s="232"/>
      <c r="H63" s="25"/>
      <c r="I63" s="5"/>
      <c r="J63" s="5"/>
      <c r="K63" s="5"/>
      <c r="L63" s="5"/>
      <c r="M63" s="5"/>
      <c r="N63" s="186"/>
      <c r="O63" s="5"/>
      <c r="P63" s="5"/>
      <c r="Q63" s="5"/>
      <c r="R63" s="211" t="e">
        <f>IF(R62+1&lt;=MIN('Données projet'!$E$9:$E$18),R62+1,"STOP")</f>
        <v>#VALUE!</v>
      </c>
      <c r="S63" s="201" t="e">
        <f t="shared" si="5"/>
        <v>#VALUE!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</row>
    <row r="64" spans="1:60" x14ac:dyDescent="0.2">
      <c r="A64" s="195">
        <f>'Données projet'!A78</f>
        <v>0</v>
      </c>
      <c r="B64" s="196">
        <f>'Données projet'!D78</f>
        <v>0</v>
      </c>
      <c r="C64" s="208"/>
      <c r="D64" s="194">
        <f t="shared" si="4"/>
        <v>0</v>
      </c>
      <c r="E64" s="210"/>
      <c r="F64" s="221"/>
      <c r="G64" s="232"/>
      <c r="H64" s="25"/>
      <c r="I64" s="5"/>
      <c r="J64" s="5"/>
      <c r="K64" s="5"/>
      <c r="L64" s="5"/>
      <c r="M64" s="5"/>
      <c r="N64" s="186"/>
      <c r="O64" s="5"/>
      <c r="P64" s="5"/>
      <c r="Q64" s="5"/>
      <c r="R64" s="211" t="e">
        <f>IF(R63+1&lt;=MIN('Données projet'!$E$9:$E$18),R63+1,"STOP")</f>
        <v>#VALUE!</v>
      </c>
      <c r="S64" s="201" t="e">
        <f t="shared" si="5"/>
        <v>#VALUE!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</row>
    <row r="65" spans="1:60" x14ac:dyDescent="0.2">
      <c r="A65" s="195">
        <f>'Données projet'!A79</f>
        <v>0</v>
      </c>
      <c r="B65" s="196">
        <f>'Données projet'!D79</f>
        <v>0</v>
      </c>
      <c r="C65" s="208"/>
      <c r="D65" s="194">
        <f t="shared" si="4"/>
        <v>0</v>
      </c>
      <c r="E65" s="210"/>
      <c r="F65" s="221"/>
      <c r="G65" s="232"/>
      <c r="H65" s="25"/>
      <c r="I65" s="5"/>
      <c r="J65" s="5"/>
      <c r="K65" s="5"/>
      <c r="L65" s="5"/>
      <c r="M65" s="5"/>
      <c r="N65" s="186"/>
      <c r="O65" s="5"/>
      <c r="P65" s="5"/>
      <c r="Q65" s="5"/>
      <c r="R65" s="211" t="e">
        <f>IF(R64+1&lt;=MIN('Données projet'!$E$9:$E$18),R64+1,"STOP")</f>
        <v>#VALUE!</v>
      </c>
      <c r="S65" s="201" t="e">
        <f t="shared" si="5"/>
        <v>#VALUE!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</row>
    <row r="66" spans="1:60" x14ac:dyDescent="0.2">
      <c r="A66" s="195">
        <f>'Données projet'!A80</f>
        <v>0</v>
      </c>
      <c r="B66" s="196">
        <f>'Données projet'!D80</f>
        <v>0</v>
      </c>
      <c r="C66" s="208"/>
      <c r="D66" s="194">
        <f t="shared" si="4"/>
        <v>0</v>
      </c>
      <c r="E66" s="210"/>
      <c r="F66" s="221"/>
      <c r="G66" s="232"/>
      <c r="H66" s="25"/>
      <c r="I66" s="5"/>
      <c r="J66" s="5"/>
      <c r="K66" s="5"/>
      <c r="L66" s="5"/>
      <c r="M66" s="5"/>
      <c r="N66" s="186"/>
      <c r="O66" s="5"/>
      <c r="P66" s="5"/>
      <c r="Q66" s="5"/>
      <c r="R66" s="211" t="e">
        <f>IF(R65+1&lt;=MIN('Données projet'!$E$9:$E$18),R65+1,"STOP")</f>
        <v>#VALUE!</v>
      </c>
      <c r="S66" s="201" t="e">
        <f t="shared" si="5"/>
        <v>#VALUE!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</row>
    <row r="67" spans="1:60" x14ac:dyDescent="0.2">
      <c r="A67" s="195">
        <f>'Données projet'!A81</f>
        <v>0</v>
      </c>
      <c r="B67" s="196">
        <f>'Données projet'!D81</f>
        <v>0</v>
      </c>
      <c r="C67" s="208"/>
      <c r="D67" s="194">
        <f t="shared" si="4"/>
        <v>0</v>
      </c>
      <c r="E67" s="210"/>
      <c r="F67" s="221"/>
      <c r="G67" s="232"/>
      <c r="H67" s="25"/>
      <c r="I67" s="5"/>
      <c r="J67" s="5"/>
      <c r="K67" s="5"/>
      <c r="L67" s="5"/>
      <c r="M67" s="5"/>
      <c r="N67" s="186"/>
      <c r="O67" s="5"/>
      <c r="P67" s="5"/>
      <c r="Q67" s="5"/>
      <c r="R67" s="211" t="e">
        <f>IF(R66+1&lt;=MIN('Données projet'!$E$9:$E$18),R66+1,"STOP")</f>
        <v>#VALUE!</v>
      </c>
      <c r="S67" s="201" t="e">
        <f t="shared" si="5"/>
        <v>#VALUE!</v>
      </c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</row>
    <row r="68" spans="1:60" x14ac:dyDescent="0.2">
      <c r="A68" s="5"/>
      <c r="B68" s="5"/>
      <c r="C68" s="5"/>
      <c r="D68" s="5"/>
      <c r="E68" s="5"/>
      <c r="F68" s="218"/>
      <c r="G68" s="230"/>
      <c r="H68" s="25"/>
      <c r="I68" s="5"/>
      <c r="J68" s="5"/>
      <c r="K68" s="5"/>
      <c r="L68" s="5"/>
      <c r="M68" s="5"/>
      <c r="N68" s="186"/>
      <c r="O68" s="5"/>
      <c r="P68" s="5"/>
      <c r="Q68" s="5"/>
      <c r="R68" s="211" t="e">
        <f>IF(R67+1&lt;=MIN('Données projet'!$E$9:$E$18),R67+1,"STOP")</f>
        <v>#VALUE!</v>
      </c>
      <c r="S68" s="201" t="e">
        <f t="shared" si="5"/>
        <v>#VALUE!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</row>
    <row r="69" spans="1:60" x14ac:dyDescent="0.2">
      <c r="A69" s="5"/>
      <c r="B69" s="5"/>
      <c r="C69" s="5"/>
      <c r="D69" s="5"/>
      <c r="E69" s="5"/>
      <c r="F69" s="218"/>
      <c r="G69" s="230"/>
      <c r="H69" s="25"/>
      <c r="I69" s="5"/>
      <c r="J69" s="5"/>
      <c r="K69" s="5"/>
      <c r="L69" s="5"/>
      <c r="M69" s="5"/>
      <c r="N69" s="186"/>
      <c r="O69" s="5"/>
      <c r="P69" s="5"/>
      <c r="Q69" s="5"/>
      <c r="R69" s="211" t="e">
        <f>IF(R68+1&lt;=MIN('Données projet'!$E$9:$E$18),R68+1,"STOP")</f>
        <v>#VALUE!</v>
      </c>
      <c r="S69" s="201" t="e">
        <f t="shared" si="5"/>
        <v>#VALUE!</v>
      </c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</row>
    <row r="70" spans="1:60" x14ac:dyDescent="0.2">
      <c r="A70" s="49" t="s">
        <v>167</v>
      </c>
      <c r="B70" s="189" t="str">
        <f>IF('Données projet'!B11="","",'Données projet'!B11)</f>
        <v>Chêne vert</v>
      </c>
      <c r="C70" s="5"/>
      <c r="D70" s="5"/>
      <c r="E70" s="5"/>
      <c r="F70" s="218"/>
      <c r="G70" s="230"/>
      <c r="H70" s="25"/>
      <c r="I70" s="5"/>
      <c r="J70" s="5"/>
      <c r="K70" s="5"/>
      <c r="L70" s="5"/>
      <c r="M70" s="5"/>
      <c r="N70" s="186"/>
      <c r="O70" s="5"/>
      <c r="P70" s="5"/>
      <c r="Q70" s="5"/>
      <c r="R70" s="211" t="e">
        <f>IF(R69+1&lt;=MIN('Données projet'!$E$9:$E$18),R69+1,"STOP")</f>
        <v>#VALUE!</v>
      </c>
      <c r="S70" s="201" t="e">
        <f t="shared" si="5"/>
        <v>#VALUE!</v>
      </c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</row>
    <row r="71" spans="1:60" x14ac:dyDescent="0.2">
      <c r="A71" s="5"/>
      <c r="B71" s="5"/>
      <c r="C71" s="5"/>
      <c r="D71" s="5"/>
      <c r="E71" s="5"/>
      <c r="F71" s="218"/>
      <c r="G71" s="230"/>
      <c r="H71" s="25"/>
      <c r="I71" s="5"/>
      <c r="J71" s="5"/>
      <c r="K71" s="5"/>
      <c r="L71" s="5"/>
      <c r="M71" s="5"/>
      <c r="N71" s="186"/>
      <c r="O71" s="5"/>
      <c r="P71" s="5"/>
      <c r="Q71" s="5"/>
      <c r="R71" s="211" t="e">
        <f>IF(R70+1&lt;=MIN('Données projet'!$E$9:$E$18),R70+1,"STOP")</f>
        <v>#VALUE!</v>
      </c>
      <c r="S71" s="201" t="e">
        <f t="shared" si="5"/>
        <v>#VALUE!</v>
      </c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</row>
    <row r="72" spans="1:60" ht="16.5" customHeight="1" x14ac:dyDescent="0.2">
      <c r="A72" s="188" t="s">
        <v>180</v>
      </c>
      <c r="B72" s="51" t="s">
        <v>256</v>
      </c>
      <c r="C72" s="51" t="s">
        <v>255</v>
      </c>
      <c r="D72" s="188" t="s">
        <v>252</v>
      </c>
      <c r="E72" s="188" t="s">
        <v>288</v>
      </c>
      <c r="F72" s="220"/>
      <c r="G72" s="231"/>
      <c r="H72" s="25"/>
      <c r="I72" s="5"/>
      <c r="J72" s="5"/>
      <c r="K72" s="5"/>
      <c r="L72" s="5"/>
      <c r="M72" s="5"/>
      <c r="N72" s="186"/>
      <c r="O72" s="5"/>
      <c r="P72" s="5"/>
      <c r="Q72" s="5"/>
      <c r="R72" s="211" t="e">
        <f>IF(R71+1&lt;=MIN('Données projet'!$E$9:$E$18),R71+1,"STOP")</f>
        <v>#VALUE!</v>
      </c>
      <c r="S72" s="201" t="e">
        <f t="shared" si="5"/>
        <v>#VALUE!</v>
      </c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</row>
    <row r="73" spans="1:60" ht="16.5" customHeight="1" x14ac:dyDescent="0.2">
      <c r="A73" s="214">
        <v>0</v>
      </c>
      <c r="B73" s="217" t="s">
        <v>132</v>
      </c>
      <c r="C73" s="216" t="s">
        <v>132</v>
      </c>
      <c r="D73" s="215" t="s">
        <v>132</v>
      </c>
      <c r="E73" s="210">
        <v>3200</v>
      </c>
      <c r="F73" s="220"/>
      <c r="G73" s="231"/>
      <c r="H73" s="25"/>
      <c r="I73" s="5"/>
      <c r="J73" s="5"/>
      <c r="K73" s="5"/>
      <c r="L73" s="5"/>
      <c r="M73" s="5"/>
      <c r="N73" s="186"/>
      <c r="O73" s="5"/>
      <c r="P73" s="5"/>
      <c r="Q73" s="5"/>
      <c r="R73" s="211" t="e">
        <f>IF(R72+1&lt;=MIN('Données projet'!$E$9:$E$18),R72+1,"STOP")</f>
        <v>#VALUE!</v>
      </c>
      <c r="S73" s="201" t="e">
        <f t="shared" ref="S73:S92" si="6">$T$24/(1+$J$6)^R73</f>
        <v>#VALUE!</v>
      </c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</row>
    <row r="74" spans="1:60" x14ac:dyDescent="0.2">
      <c r="A74" s="195">
        <f>'Données projet'!A88</f>
        <v>20</v>
      </c>
      <c r="B74" s="196">
        <f>'Données projet'!D88</f>
        <v>0</v>
      </c>
      <c r="C74" s="210">
        <f>'Données projet'!E88*150+('Données projet'!F88+'Données projet'!G88)*19.4+'Données projet'!H88*10</f>
        <v>10</v>
      </c>
      <c r="D74" s="194">
        <f>B74*C74</f>
        <v>0</v>
      </c>
      <c r="E74" s="210"/>
      <c r="F74" s="221"/>
      <c r="G74" s="232"/>
      <c r="H74" s="25"/>
      <c r="I74" s="5"/>
      <c r="J74" s="5"/>
      <c r="K74" s="5"/>
      <c r="L74" s="5"/>
      <c r="M74" s="5"/>
      <c r="N74" s="186"/>
      <c r="O74" s="5"/>
      <c r="P74" s="5"/>
      <c r="Q74" s="5"/>
      <c r="R74" s="211" t="e">
        <f>IF(R73+1&lt;=MIN('Données projet'!$E$9:$E$18),R73+1,"STOP")</f>
        <v>#VALUE!</v>
      </c>
      <c r="S74" s="201" t="e">
        <f t="shared" si="6"/>
        <v>#VALUE!</v>
      </c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</row>
    <row r="75" spans="1:60" x14ac:dyDescent="0.2">
      <c r="A75" s="195">
        <f>'Données projet'!A89</f>
        <v>25</v>
      </c>
      <c r="B75" s="196">
        <f>'Données projet'!D89</f>
        <v>8</v>
      </c>
      <c r="C75" s="210">
        <f>'Données projet'!E89*150+('Données projet'!F89+'Données projet'!G89)*19.4+'Données projet'!H89*10</f>
        <v>10</v>
      </c>
      <c r="D75" s="194">
        <f t="shared" ref="D75:D93" si="7">B75*C75</f>
        <v>80</v>
      </c>
      <c r="E75" s="210"/>
      <c r="F75" s="221"/>
      <c r="G75" s="232"/>
      <c r="H75" s="25"/>
      <c r="I75" s="5"/>
      <c r="J75" s="5"/>
      <c r="K75" s="5"/>
      <c r="L75" s="5"/>
      <c r="M75" s="5"/>
      <c r="N75" s="186"/>
      <c r="O75" s="5"/>
      <c r="P75" s="5"/>
      <c r="Q75" s="5"/>
      <c r="R75" s="211" t="e">
        <f>IF(R74+1&lt;=MIN('Données projet'!$E$9:$E$18),R74+1,"STOP")</f>
        <v>#VALUE!</v>
      </c>
      <c r="S75" s="201" t="e">
        <f t="shared" si="6"/>
        <v>#VALUE!</v>
      </c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</row>
    <row r="76" spans="1:60" x14ac:dyDescent="0.2">
      <c r="A76" s="195">
        <f>'Données projet'!A90</f>
        <v>30</v>
      </c>
      <c r="B76" s="196">
        <f>'Données projet'!D90</f>
        <v>21</v>
      </c>
      <c r="C76" s="210">
        <f>'Données projet'!E90*150+('Données projet'!F90+'Données projet'!G90)*19.4+'Données projet'!H90*10</f>
        <v>10</v>
      </c>
      <c r="D76" s="194">
        <f t="shared" si="7"/>
        <v>210</v>
      </c>
      <c r="E76" s="210"/>
      <c r="F76" s="221"/>
      <c r="G76" s="232"/>
      <c r="H76" s="25"/>
      <c r="I76" s="5"/>
      <c r="J76" s="5"/>
      <c r="K76" s="5"/>
      <c r="L76" s="5"/>
      <c r="M76" s="5"/>
      <c r="N76" s="186"/>
      <c r="O76" s="5"/>
      <c r="P76" s="5"/>
      <c r="Q76" s="5"/>
      <c r="R76" s="211" t="e">
        <f>IF(R75+1&lt;=MIN('Données projet'!$E$9:$E$18),R75+1,"STOP")</f>
        <v>#VALUE!</v>
      </c>
      <c r="S76" s="201" t="e">
        <f t="shared" si="6"/>
        <v>#VALUE!</v>
      </c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</row>
    <row r="77" spans="1:60" x14ac:dyDescent="0.2">
      <c r="A77" s="195">
        <f>'Données projet'!A91</f>
        <v>35</v>
      </c>
      <c r="B77" s="196">
        <f>'Données projet'!D91</f>
        <v>21</v>
      </c>
      <c r="C77" s="210">
        <f>'Données projet'!E91*150+('Données projet'!F91+'Données projet'!G91)*19.4+'Données projet'!H91*10</f>
        <v>10</v>
      </c>
      <c r="D77" s="194">
        <f t="shared" si="7"/>
        <v>210</v>
      </c>
      <c r="E77" s="210"/>
      <c r="F77" s="221"/>
      <c r="G77" s="232"/>
      <c r="H77" s="25"/>
      <c r="I77" s="5"/>
      <c r="J77" s="5"/>
      <c r="K77" s="5"/>
      <c r="L77" s="5"/>
      <c r="M77" s="5"/>
      <c r="N77" s="186"/>
      <c r="O77" s="5"/>
      <c r="P77" s="5"/>
      <c r="Q77" s="5"/>
      <c r="R77" s="211" t="e">
        <f>IF(R76+1&lt;=MIN('Données projet'!$E$9:$E$18),R76+1,"STOP")</f>
        <v>#VALUE!</v>
      </c>
      <c r="S77" s="201" t="e">
        <f t="shared" si="6"/>
        <v>#VALUE!</v>
      </c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</row>
    <row r="78" spans="1:60" x14ac:dyDescent="0.2">
      <c r="A78" s="195">
        <f>'Données projet'!A92</f>
        <v>40</v>
      </c>
      <c r="B78" s="196">
        <f>'Données projet'!D92</f>
        <v>21</v>
      </c>
      <c r="C78" s="210">
        <f>'Données projet'!E92*150+('Données projet'!F92+'Données projet'!G92)*19.4+'Données projet'!H92*10</f>
        <v>38</v>
      </c>
      <c r="D78" s="194">
        <f t="shared" si="7"/>
        <v>798</v>
      </c>
      <c r="E78" s="210"/>
      <c r="F78" s="221"/>
      <c r="G78" s="232"/>
      <c r="H78" s="25"/>
      <c r="I78" s="5"/>
      <c r="J78" s="5"/>
      <c r="K78" s="5"/>
      <c r="L78" s="5"/>
      <c r="M78" s="5"/>
      <c r="N78" s="186"/>
      <c r="O78" s="5"/>
      <c r="P78" s="5"/>
      <c r="Q78" s="5"/>
      <c r="R78" s="211" t="e">
        <f>IF(R77+1&lt;=MIN('Données projet'!$E$9:$E$18),R77+1,"STOP")</f>
        <v>#VALUE!</v>
      </c>
      <c r="S78" s="201" t="e">
        <f t="shared" si="6"/>
        <v>#VALUE!</v>
      </c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</row>
    <row r="79" spans="1:60" x14ac:dyDescent="0.2">
      <c r="A79" s="195">
        <f>'Données projet'!A93</f>
        <v>45</v>
      </c>
      <c r="B79" s="196">
        <f>'Données projet'!D93</f>
        <v>21</v>
      </c>
      <c r="C79" s="210">
        <f>'Données projet'!E93*150+('Données projet'!F93+'Données projet'!G93)*19.4+'Données projet'!H93*10</f>
        <v>38</v>
      </c>
      <c r="D79" s="194">
        <f t="shared" si="7"/>
        <v>798</v>
      </c>
      <c r="E79" s="210"/>
      <c r="F79" s="221"/>
      <c r="G79" s="232"/>
      <c r="H79" s="25"/>
      <c r="I79" s="5"/>
      <c r="J79" s="5"/>
      <c r="K79" s="5"/>
      <c r="L79" s="5"/>
      <c r="M79" s="5"/>
      <c r="N79" s="186"/>
      <c r="O79" s="5"/>
      <c r="P79" s="5"/>
      <c r="Q79" s="5"/>
      <c r="R79" s="211" t="e">
        <f>IF(R78+1&lt;=MIN('Données projet'!$E$9:$E$18),R78+1,"STOP")</f>
        <v>#VALUE!</v>
      </c>
      <c r="S79" s="201" t="e">
        <f t="shared" si="6"/>
        <v>#VALUE!</v>
      </c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</row>
    <row r="80" spans="1:60" x14ac:dyDescent="0.2">
      <c r="A80" s="195">
        <f>'Données projet'!A94</f>
        <v>50</v>
      </c>
      <c r="B80" s="196">
        <f>'Données projet'!D94</f>
        <v>21</v>
      </c>
      <c r="C80" s="210">
        <f>'Données projet'!E94*150+('Données projet'!F94+'Données projet'!G94)*19.4+'Données projet'!H94*10</f>
        <v>38</v>
      </c>
      <c r="D80" s="194">
        <f t="shared" si="7"/>
        <v>798</v>
      </c>
      <c r="E80" s="210"/>
      <c r="F80" s="221"/>
      <c r="G80" s="232"/>
      <c r="H80" s="25"/>
      <c r="I80" s="5"/>
      <c r="J80" s="5"/>
      <c r="K80" s="5"/>
      <c r="L80" s="5"/>
      <c r="M80" s="5"/>
      <c r="N80" s="186"/>
      <c r="O80" s="5"/>
      <c r="P80" s="5"/>
      <c r="Q80" s="5"/>
      <c r="R80" s="211" t="e">
        <f>IF(R79+1&lt;=MIN('Données projet'!$E$9:$E$18),R79+1,"STOP")</f>
        <v>#VALUE!</v>
      </c>
      <c r="S80" s="201" t="e">
        <f t="shared" si="6"/>
        <v>#VALUE!</v>
      </c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</row>
    <row r="81" spans="1:60" x14ac:dyDescent="0.2">
      <c r="A81" s="195">
        <f>'Données projet'!A95</f>
        <v>55</v>
      </c>
      <c r="B81" s="196">
        <f>'Données projet'!D95</f>
        <v>21</v>
      </c>
      <c r="C81" s="210">
        <f>'Données projet'!E95*150+('Données projet'!F95+'Données projet'!G95)*19.4+'Données projet'!H95*10</f>
        <v>38</v>
      </c>
      <c r="D81" s="194">
        <f t="shared" si="7"/>
        <v>798</v>
      </c>
      <c r="E81" s="210"/>
      <c r="F81" s="221"/>
      <c r="G81" s="232"/>
      <c r="H81" s="25"/>
      <c r="I81" s="5"/>
      <c r="J81" s="5"/>
      <c r="K81" s="5"/>
      <c r="L81" s="5"/>
      <c r="M81" s="5"/>
      <c r="N81" s="186"/>
      <c r="O81" s="5"/>
      <c r="P81" s="5"/>
      <c r="Q81" s="5"/>
      <c r="R81" s="211" t="e">
        <f>IF(R80+1&lt;=MIN('Données projet'!$E$9:$E$18),R80+1,"STOP")</f>
        <v>#VALUE!</v>
      </c>
      <c r="S81" s="201" t="e">
        <f t="shared" si="6"/>
        <v>#VALUE!</v>
      </c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</row>
    <row r="82" spans="1:60" x14ac:dyDescent="0.2">
      <c r="A82" s="195">
        <f>'Données projet'!A96</f>
        <v>60</v>
      </c>
      <c r="B82" s="196">
        <f>'Données projet'!D96</f>
        <v>21</v>
      </c>
      <c r="C82" s="210">
        <f>'Données projet'!E96*150+('Données projet'!F96+'Données projet'!G96)*19.4+'Données projet'!H96*10</f>
        <v>52</v>
      </c>
      <c r="D82" s="194">
        <f t="shared" si="7"/>
        <v>1092</v>
      </c>
      <c r="E82" s="210"/>
      <c r="F82" s="221"/>
      <c r="G82" s="232"/>
      <c r="H82" s="25"/>
      <c r="I82" s="5"/>
      <c r="J82" s="5"/>
      <c r="K82" s="5"/>
      <c r="L82" s="5"/>
      <c r="M82" s="5"/>
      <c r="N82" s="186"/>
      <c r="O82" s="5"/>
      <c r="P82" s="5"/>
      <c r="Q82" s="5"/>
      <c r="R82" s="211" t="e">
        <f>IF(R81+1&lt;=MIN('Données projet'!$E$9:$E$18),R81+1,"STOP")</f>
        <v>#VALUE!</v>
      </c>
      <c r="S82" s="201" t="e">
        <f t="shared" si="6"/>
        <v>#VALUE!</v>
      </c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</row>
    <row r="83" spans="1:60" x14ac:dyDescent="0.2">
      <c r="A83" s="195">
        <f>'Données projet'!A97</f>
        <v>65</v>
      </c>
      <c r="B83" s="196">
        <f>'Données projet'!D97</f>
        <v>21</v>
      </c>
      <c r="C83" s="210">
        <f>'Données projet'!E97*150+('Données projet'!F97+'Données projet'!G97)*19.4+'Données projet'!H97*10</f>
        <v>52</v>
      </c>
      <c r="D83" s="194">
        <f t="shared" si="7"/>
        <v>1092</v>
      </c>
      <c r="E83" s="210"/>
      <c r="F83" s="221"/>
      <c r="G83" s="232"/>
      <c r="H83" s="25"/>
      <c r="I83" s="5"/>
      <c r="J83" s="5"/>
      <c r="K83" s="5"/>
      <c r="L83" s="5"/>
      <c r="M83" s="5"/>
      <c r="N83" s="186"/>
      <c r="O83" s="5"/>
      <c r="P83" s="5"/>
      <c r="Q83" s="5"/>
      <c r="R83" s="211" t="e">
        <f>IF(R82+1&lt;=MIN('Données projet'!$E$9:$E$18),R82+1,"STOP")</f>
        <v>#VALUE!</v>
      </c>
      <c r="S83" s="201" t="e">
        <f t="shared" si="6"/>
        <v>#VALUE!</v>
      </c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</row>
    <row r="84" spans="1:60" x14ac:dyDescent="0.2">
      <c r="A84" s="195">
        <f>'Données projet'!A98</f>
        <v>70</v>
      </c>
      <c r="B84" s="196">
        <f>'Données projet'!D98</f>
        <v>21</v>
      </c>
      <c r="C84" s="210">
        <f>'Données projet'!E98*150+('Données projet'!F98+'Données projet'!G98)*19.4+'Données projet'!H98*10</f>
        <v>66</v>
      </c>
      <c r="D84" s="194">
        <f t="shared" si="7"/>
        <v>1386</v>
      </c>
      <c r="E84" s="210"/>
      <c r="F84" s="221"/>
      <c r="G84" s="232"/>
      <c r="H84" s="25"/>
      <c r="I84" s="5"/>
      <c r="J84" s="5"/>
      <c r="K84" s="5"/>
      <c r="L84" s="5"/>
      <c r="M84" s="5"/>
      <c r="N84" s="186"/>
      <c r="O84" s="5"/>
      <c r="P84" s="5"/>
      <c r="Q84" s="5"/>
      <c r="R84" s="211" t="e">
        <f>IF(R83+1&lt;=MIN('Données projet'!$E$9:$E$18),R83+1,"STOP")</f>
        <v>#VALUE!</v>
      </c>
      <c r="S84" s="201" t="e">
        <f t="shared" si="6"/>
        <v>#VALUE!</v>
      </c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</row>
    <row r="85" spans="1:60" x14ac:dyDescent="0.2">
      <c r="A85" s="195">
        <f>'Données projet'!A99</f>
        <v>75</v>
      </c>
      <c r="B85" s="196">
        <f>'Données projet'!D99</f>
        <v>21</v>
      </c>
      <c r="C85" s="210">
        <f>'Données projet'!E99*150+('Données projet'!F99+'Données projet'!G99)*19.4+'Données projet'!H99*10</f>
        <v>66</v>
      </c>
      <c r="D85" s="194">
        <f t="shared" si="7"/>
        <v>1386</v>
      </c>
      <c r="E85" s="210"/>
      <c r="F85" s="221"/>
      <c r="G85" s="232"/>
      <c r="H85" s="25"/>
      <c r="I85" s="5"/>
      <c r="J85" s="5"/>
      <c r="K85" s="5"/>
      <c r="L85" s="5"/>
      <c r="M85" s="5"/>
      <c r="N85" s="186"/>
      <c r="O85" s="5"/>
      <c r="P85" s="5"/>
      <c r="Q85" s="5"/>
      <c r="R85" s="211" t="e">
        <f>IF(R84+1&lt;=MIN('Données projet'!$E$9:$E$18),R84+1,"STOP")</f>
        <v>#VALUE!</v>
      </c>
      <c r="S85" s="201" t="e">
        <f t="shared" si="6"/>
        <v>#VALUE!</v>
      </c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</row>
    <row r="86" spans="1:60" x14ac:dyDescent="0.2">
      <c r="A86" s="195">
        <f>'Données projet'!A100</f>
        <v>80</v>
      </c>
      <c r="B86" s="196">
        <f>'Données projet'!D100</f>
        <v>21</v>
      </c>
      <c r="C86" s="210">
        <f>'Données projet'!E100*150+('Données projet'!F100+'Données projet'!G100)*19.4+'Données projet'!H100*10</f>
        <v>80</v>
      </c>
      <c r="D86" s="194">
        <f t="shared" si="7"/>
        <v>1680</v>
      </c>
      <c r="E86" s="210"/>
      <c r="F86" s="221"/>
      <c r="G86" s="232"/>
      <c r="H86" s="25"/>
      <c r="I86" s="5"/>
      <c r="J86" s="5"/>
      <c r="K86" s="5"/>
      <c r="L86" s="5"/>
      <c r="M86" s="5"/>
      <c r="N86" s="186"/>
      <c r="O86" s="5"/>
      <c r="P86" s="5"/>
      <c r="Q86" s="5"/>
      <c r="R86" s="211" t="e">
        <f>IF(R85+1&lt;=MIN('Données projet'!$E$9:$E$18),R85+1,"STOP")</f>
        <v>#VALUE!</v>
      </c>
      <c r="S86" s="201" t="e">
        <f t="shared" si="6"/>
        <v>#VALUE!</v>
      </c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</row>
    <row r="87" spans="1:60" x14ac:dyDescent="0.2">
      <c r="A87" s="195">
        <f>'Données projet'!A101</f>
        <v>85</v>
      </c>
      <c r="B87" s="196">
        <f>'Données projet'!D101</f>
        <v>21</v>
      </c>
      <c r="C87" s="210">
        <f>'Données projet'!E101*150+('Données projet'!F101+'Données projet'!G101)*19.4+'Données projet'!H101*10</f>
        <v>80</v>
      </c>
      <c r="D87" s="194">
        <f t="shared" si="7"/>
        <v>1680</v>
      </c>
      <c r="E87" s="210"/>
      <c r="F87" s="221"/>
      <c r="G87" s="232"/>
      <c r="H87" s="25"/>
      <c r="I87" s="5"/>
      <c r="J87" s="5"/>
      <c r="K87" s="5"/>
      <c r="L87" s="5"/>
      <c r="M87" s="5"/>
      <c r="N87" s="186"/>
      <c r="O87" s="5"/>
      <c r="P87" s="5"/>
      <c r="Q87" s="5"/>
      <c r="R87" s="211" t="e">
        <f>IF(R86+1&lt;=MIN('Données projet'!$E$9:$E$18),R86+1,"STOP")</f>
        <v>#VALUE!</v>
      </c>
      <c r="S87" s="201" t="e">
        <f t="shared" si="6"/>
        <v>#VALUE!</v>
      </c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</row>
    <row r="88" spans="1:60" x14ac:dyDescent="0.2">
      <c r="A88" s="195">
        <f>'Données projet'!A102</f>
        <v>90</v>
      </c>
      <c r="B88" s="196">
        <f>'Données projet'!D102</f>
        <v>21</v>
      </c>
      <c r="C88" s="210">
        <f>'Données projet'!E102*150+('Données projet'!F102+'Données projet'!G102)*19.4+'Données projet'!H102*10</f>
        <v>94</v>
      </c>
      <c r="D88" s="194">
        <f t="shared" si="7"/>
        <v>1974</v>
      </c>
      <c r="E88" s="210"/>
      <c r="F88" s="221"/>
      <c r="G88" s="232"/>
      <c r="H88" s="25"/>
      <c r="I88" s="5"/>
      <c r="J88" s="5"/>
      <c r="K88" s="5"/>
      <c r="L88" s="5"/>
      <c r="M88" s="5"/>
      <c r="N88" s="186"/>
      <c r="O88" s="5"/>
      <c r="P88" s="5"/>
      <c r="Q88" s="5"/>
      <c r="R88" s="211" t="e">
        <f>IF(R87+1&lt;=MIN('Données projet'!$E$9:$E$18),R87+1,"STOP")</f>
        <v>#VALUE!</v>
      </c>
      <c r="S88" s="201" t="e">
        <f t="shared" si="6"/>
        <v>#VALUE!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</row>
    <row r="89" spans="1:60" x14ac:dyDescent="0.2">
      <c r="A89" s="195">
        <f>'Données projet'!A103</f>
        <v>95</v>
      </c>
      <c r="B89" s="196">
        <f>'Données projet'!D103</f>
        <v>21</v>
      </c>
      <c r="C89" s="210">
        <f>'Données projet'!E103*150+('Données projet'!F103+'Données projet'!G103)*19.4+'Données projet'!H103*10</f>
        <v>94</v>
      </c>
      <c r="D89" s="194">
        <f t="shared" si="7"/>
        <v>1974</v>
      </c>
      <c r="E89" s="210"/>
      <c r="F89" s="221"/>
      <c r="G89" s="232"/>
      <c r="H89" s="25"/>
      <c r="I89" s="5"/>
      <c r="J89" s="5"/>
      <c r="K89" s="5"/>
      <c r="L89" s="5"/>
      <c r="M89" s="5"/>
      <c r="N89" s="186"/>
      <c r="O89" s="5"/>
      <c r="P89" s="5"/>
      <c r="Q89" s="5"/>
      <c r="R89" s="211" t="e">
        <f>IF(R88+1&lt;=MIN('Données projet'!$E$9:$E$18),R88+1,"STOP")</f>
        <v>#VALUE!</v>
      </c>
      <c r="S89" s="201" t="e">
        <f t="shared" si="6"/>
        <v>#VALUE!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</row>
    <row r="90" spans="1:60" x14ac:dyDescent="0.2">
      <c r="A90" s="195">
        <f>'Données projet'!A104</f>
        <v>100</v>
      </c>
      <c r="B90" s="196">
        <f>'Données projet'!D104</f>
        <v>21</v>
      </c>
      <c r="C90" s="210">
        <f>'Données projet'!E104*150+('Données projet'!F104+'Données projet'!G104)*19.4+'Données projet'!H104*10</f>
        <v>108</v>
      </c>
      <c r="D90" s="194">
        <f t="shared" si="7"/>
        <v>2268</v>
      </c>
      <c r="E90" s="210"/>
      <c r="F90" s="221"/>
      <c r="G90" s="232"/>
      <c r="H90" s="25"/>
      <c r="I90" s="5"/>
      <c r="J90" s="5"/>
      <c r="K90" s="5"/>
      <c r="L90" s="5"/>
      <c r="M90" s="5"/>
      <c r="N90" s="186"/>
      <c r="O90" s="5"/>
      <c r="P90" s="5"/>
      <c r="Q90" s="5"/>
      <c r="R90" s="211" t="e">
        <f>IF(R89+1&lt;=MIN('Données projet'!$E$9:$E$18),R89+1,"STOP")</f>
        <v>#VALUE!</v>
      </c>
      <c r="S90" s="201" t="e">
        <f t="shared" si="6"/>
        <v>#VALUE!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</row>
    <row r="91" spans="1:60" x14ac:dyDescent="0.2">
      <c r="A91" s="195">
        <f>'Données projet'!A105</f>
        <v>105</v>
      </c>
      <c r="B91" s="196">
        <f>'Données projet'!D105</f>
        <v>20</v>
      </c>
      <c r="C91" s="210">
        <f>'Données projet'!E105*150+('Données projet'!F105+'Données projet'!G105)*19.4+'Données projet'!H105*10</f>
        <v>108</v>
      </c>
      <c r="D91" s="194">
        <f t="shared" si="7"/>
        <v>2160</v>
      </c>
      <c r="E91" s="210"/>
      <c r="F91" s="221"/>
      <c r="G91" s="232"/>
      <c r="H91" s="25"/>
      <c r="I91" s="5"/>
      <c r="J91" s="5"/>
      <c r="K91" s="5"/>
      <c r="L91" s="5"/>
      <c r="M91" s="5"/>
      <c r="N91" s="186"/>
      <c r="O91" s="5"/>
      <c r="P91" s="5"/>
      <c r="Q91" s="5"/>
      <c r="R91" s="211" t="e">
        <f>IF(R90+1&lt;=MIN('Données projet'!$E$9:$E$18),R90+1,"STOP")</f>
        <v>#VALUE!</v>
      </c>
      <c r="S91" s="201" t="e">
        <f t="shared" si="6"/>
        <v>#VALUE!</v>
      </c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</row>
    <row r="92" spans="1:60" x14ac:dyDescent="0.2">
      <c r="A92" s="195">
        <f>'Données projet'!A106</f>
        <v>110</v>
      </c>
      <c r="B92" s="196">
        <f>'Données projet'!D106</f>
        <v>19</v>
      </c>
      <c r="C92" s="210">
        <f>'Données projet'!E106*150+('Données projet'!F106+'Données projet'!G106)*19.4+'Données projet'!H106*10</f>
        <v>122</v>
      </c>
      <c r="D92" s="194">
        <f t="shared" si="7"/>
        <v>2318</v>
      </c>
      <c r="E92" s="210"/>
      <c r="F92" s="221"/>
      <c r="G92" s="232"/>
      <c r="H92" s="25"/>
      <c r="I92" s="5"/>
      <c r="J92" s="5"/>
      <c r="K92" s="5"/>
      <c r="L92" s="5"/>
      <c r="M92" s="5"/>
      <c r="N92" s="186"/>
      <c r="O92" s="5"/>
      <c r="P92" s="5"/>
      <c r="Q92" s="5"/>
      <c r="R92" s="211" t="e">
        <f>IF(R91+1&lt;=MIN('Données projet'!$E$9:$E$18),R91+1,"STOP")</f>
        <v>#VALUE!</v>
      </c>
      <c r="S92" s="201" t="e">
        <f t="shared" si="6"/>
        <v>#VALUE!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</row>
    <row r="93" spans="1:60" x14ac:dyDescent="0.2">
      <c r="A93" s="195">
        <f>'Données projet'!A107</f>
        <v>120</v>
      </c>
      <c r="B93" s="196">
        <f>'Données projet'!D107</f>
        <v>285</v>
      </c>
      <c r="C93" s="210">
        <f>'Données projet'!E107*150+('Données projet'!F107+'Données projet'!G107)*19.4+'Données projet'!H107*10</f>
        <v>122</v>
      </c>
      <c r="D93" s="194">
        <f t="shared" si="7"/>
        <v>34770</v>
      </c>
      <c r="E93" s="210"/>
      <c r="F93" s="221"/>
      <c r="G93" s="232"/>
      <c r="H93" s="25"/>
      <c r="I93" s="5"/>
      <c r="J93" s="5"/>
      <c r="K93" s="5"/>
      <c r="L93" s="5"/>
      <c r="M93" s="5"/>
      <c r="N93" s="186"/>
      <c r="O93" s="5"/>
      <c r="P93" s="5"/>
      <c r="Q93" s="5"/>
      <c r="R93" s="211" t="e">
        <f>IF(R92+1&lt;=MIN('Données projet'!$E$9:$E$18),R92+1,"STOP")</f>
        <v>#VALUE!</v>
      </c>
      <c r="S93" s="201" t="e">
        <f t="shared" ref="S93:S98" si="8">$T$24/(1+$J$6)^R93</f>
        <v>#VALUE!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</row>
    <row r="94" spans="1:60" x14ac:dyDescent="0.2">
      <c r="A94" s="5"/>
      <c r="B94" s="5"/>
      <c r="C94" s="5"/>
      <c r="D94" s="5"/>
      <c r="E94" s="5"/>
      <c r="F94" s="218"/>
      <c r="G94" s="230"/>
      <c r="H94" s="25"/>
      <c r="I94" s="5"/>
      <c r="J94" s="5"/>
      <c r="K94" s="5"/>
      <c r="L94" s="5"/>
      <c r="M94" s="5"/>
      <c r="N94" s="186"/>
      <c r="O94" s="5"/>
      <c r="P94" s="5"/>
      <c r="Q94" s="5"/>
      <c r="R94" s="211" t="e">
        <f>IF(R93+1&lt;=MIN('Données projet'!$E$9:$E$18),R93+1,"STOP")</f>
        <v>#VALUE!</v>
      </c>
      <c r="S94" s="201" t="e">
        <f t="shared" si="8"/>
        <v>#VALUE!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</row>
    <row r="95" spans="1:60" x14ac:dyDescent="0.2">
      <c r="A95" s="5"/>
      <c r="B95" s="5"/>
      <c r="C95" s="5"/>
      <c r="D95" s="5"/>
      <c r="E95" s="5"/>
      <c r="F95" s="218"/>
      <c r="G95" s="230"/>
      <c r="H95" s="25"/>
      <c r="I95" s="5"/>
      <c r="J95" s="5"/>
      <c r="K95" s="5"/>
      <c r="L95" s="5"/>
      <c r="M95" s="5"/>
      <c r="N95" s="186"/>
      <c r="O95" s="5"/>
      <c r="P95" s="5"/>
      <c r="Q95" s="5"/>
      <c r="R95" s="211" t="e">
        <f>IF(R94+1&lt;=MIN('Données projet'!$E$9:$E$18),R94+1,"STOP")</f>
        <v>#VALUE!</v>
      </c>
      <c r="S95" s="201" t="e">
        <f t="shared" si="8"/>
        <v>#VALUE!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</row>
    <row r="96" spans="1:60" x14ac:dyDescent="0.2">
      <c r="A96" s="49" t="s">
        <v>168</v>
      </c>
      <c r="B96" s="189" t="str">
        <f>IF('Données projet'!B12="","",'Données projet'!B12)</f>
        <v>Aulne glutineux</v>
      </c>
      <c r="C96" s="5"/>
      <c r="D96" s="5"/>
      <c r="E96" s="5"/>
      <c r="F96" s="218"/>
      <c r="G96" s="230"/>
      <c r="H96" s="25"/>
      <c r="I96" s="5"/>
      <c r="J96" s="5"/>
      <c r="K96" s="5"/>
      <c r="L96" s="5"/>
      <c r="M96" s="5"/>
      <c r="N96" s="186"/>
      <c r="O96" s="5"/>
      <c r="P96" s="5"/>
      <c r="Q96" s="5"/>
      <c r="R96" s="211" t="e">
        <f>IF(R95+1&lt;=MIN('Données projet'!$E$9:$E$18),R95+1,"STOP")</f>
        <v>#VALUE!</v>
      </c>
      <c r="S96" s="201" t="e">
        <f t="shared" si="8"/>
        <v>#VALUE!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</row>
    <row r="97" spans="1:60" x14ac:dyDescent="0.2">
      <c r="A97" s="5"/>
      <c r="B97" s="5"/>
      <c r="C97" s="5"/>
      <c r="D97" s="5"/>
      <c r="E97" s="5"/>
      <c r="F97" s="218"/>
      <c r="G97" s="230"/>
      <c r="H97" s="25"/>
      <c r="I97" s="5"/>
      <c r="J97" s="5"/>
      <c r="K97" s="5"/>
      <c r="L97" s="5"/>
      <c r="M97" s="5"/>
      <c r="N97" s="186"/>
      <c r="O97" s="5"/>
      <c r="P97" s="5"/>
      <c r="Q97" s="5"/>
      <c r="R97" s="211" t="e">
        <f>IF(R96+1&lt;=MIN('Données projet'!$E$9:$E$18),R96+1,"STOP")</f>
        <v>#VALUE!</v>
      </c>
      <c r="S97" s="201" t="e">
        <f t="shared" si="8"/>
        <v>#VALUE!</v>
      </c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</row>
    <row r="98" spans="1:60" ht="16.5" customHeight="1" x14ac:dyDescent="0.2">
      <c r="A98" s="188" t="s">
        <v>180</v>
      </c>
      <c r="B98" s="51" t="s">
        <v>256</v>
      </c>
      <c r="C98" s="51" t="s">
        <v>255</v>
      </c>
      <c r="D98" s="188" t="s">
        <v>252</v>
      </c>
      <c r="E98" s="188" t="s">
        <v>288</v>
      </c>
      <c r="F98" s="220"/>
      <c r="G98" s="231"/>
      <c r="H98" s="25"/>
      <c r="I98" s="5"/>
      <c r="J98" s="5"/>
      <c r="K98" s="5"/>
      <c r="L98" s="5"/>
      <c r="M98" s="5"/>
      <c r="N98" s="186"/>
      <c r="O98" s="5"/>
      <c r="P98" s="5"/>
      <c r="Q98" s="5"/>
      <c r="R98" s="211" t="e">
        <f>IF(R97+1&lt;=MIN('Données projet'!$E$9:$E$18),R97+1,"STOP")</f>
        <v>#VALUE!</v>
      </c>
      <c r="S98" s="201" t="e">
        <f t="shared" si="8"/>
        <v>#VALUE!</v>
      </c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</row>
    <row r="99" spans="1:60" ht="16.5" customHeight="1" x14ac:dyDescent="0.2">
      <c r="A99" s="214">
        <v>0</v>
      </c>
      <c r="B99" s="217" t="s">
        <v>132</v>
      </c>
      <c r="C99" s="216" t="s">
        <v>132</v>
      </c>
      <c r="D99" s="215" t="s">
        <v>132</v>
      </c>
      <c r="E99" s="210">
        <v>2700</v>
      </c>
      <c r="F99" s="220"/>
      <c r="G99" s="231"/>
      <c r="H99" s="25"/>
      <c r="I99" s="5"/>
      <c r="J99" s="5"/>
      <c r="K99" s="5"/>
      <c r="L99" s="5"/>
      <c r="M99" s="5"/>
      <c r="N99" s="186"/>
      <c r="O99" s="5"/>
      <c r="P99" s="5"/>
      <c r="Q99" s="5"/>
      <c r="R99" s="211" t="e">
        <f>IF(R98+1&lt;=MIN('Données projet'!$E$9:$E$18),R98+1,"STOP")</f>
        <v>#VALUE!</v>
      </c>
      <c r="S99" s="201" t="e">
        <f t="shared" ref="S99:S128" si="9">$T$24/(1+$J$6)^R99</f>
        <v>#VALUE!</v>
      </c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</row>
    <row r="100" spans="1:60" x14ac:dyDescent="0.2">
      <c r="A100" s="195">
        <f>'Données projet'!A114</f>
        <v>10</v>
      </c>
      <c r="B100" s="196">
        <f>'Données projet'!D114</f>
        <v>0</v>
      </c>
      <c r="C100" s="210">
        <f>'Données projet'!E114*40+('Données projet'!F114+'Données projet'!G114)*19.4+'Données projet'!H114*10</f>
        <v>10</v>
      </c>
      <c r="D100" s="194">
        <f>B100*C100</f>
        <v>0</v>
      </c>
      <c r="E100" s="210"/>
      <c r="F100" s="221"/>
      <c r="G100" s="232"/>
      <c r="H100" s="25"/>
      <c r="I100" s="5"/>
      <c r="J100" s="5"/>
      <c r="K100" s="5"/>
      <c r="L100" s="5"/>
      <c r="M100" s="5"/>
      <c r="N100" s="186"/>
      <c r="O100" s="5"/>
      <c r="P100" s="5"/>
      <c r="Q100" s="5"/>
      <c r="R100" s="211" t="e">
        <f>IF(R99+1&lt;=MIN('Données projet'!$E$9:$E$18),R99+1,"STOP")</f>
        <v>#VALUE!</v>
      </c>
      <c r="S100" s="201" t="e">
        <f t="shared" si="9"/>
        <v>#VALUE!</v>
      </c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</row>
    <row r="101" spans="1:60" x14ac:dyDescent="0.2">
      <c r="A101" s="195">
        <f>'Données projet'!A115</f>
        <v>15</v>
      </c>
      <c r="B101" s="196">
        <f>'Données projet'!D115</f>
        <v>32</v>
      </c>
      <c r="C101" s="210">
        <f>'Données projet'!E115*40+('Données projet'!F115+'Données projet'!G115)*19.4+'Données projet'!H115*10</f>
        <v>10</v>
      </c>
      <c r="D101" s="194">
        <f t="shared" ref="D101:D119" si="10">B101*C101</f>
        <v>320</v>
      </c>
      <c r="E101" s="210"/>
      <c r="F101" s="221"/>
      <c r="G101" s="232"/>
      <c r="H101" s="25"/>
      <c r="I101" s="5"/>
      <c r="J101" s="5"/>
      <c r="K101" s="5"/>
      <c r="L101" s="5"/>
      <c r="M101" s="5"/>
      <c r="N101" s="186"/>
      <c r="O101" s="5"/>
      <c r="P101" s="5"/>
      <c r="Q101" s="5"/>
      <c r="R101" s="211" t="e">
        <f>IF(R100+1&lt;=MIN('Données projet'!$E$9:$E$18),R100+1,"STOP")</f>
        <v>#VALUE!</v>
      </c>
      <c r="S101" s="201" t="e">
        <f t="shared" si="9"/>
        <v>#VALUE!</v>
      </c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</row>
    <row r="102" spans="1:60" x14ac:dyDescent="0.2">
      <c r="A102" s="195">
        <f>'Données projet'!A116</f>
        <v>20</v>
      </c>
      <c r="B102" s="196">
        <f>'Données projet'!D116</f>
        <v>35</v>
      </c>
      <c r="C102" s="210">
        <f>'Données projet'!E116*40+('Données projet'!F116+'Données projet'!G116)*19.4+'Données projet'!H116*10</f>
        <v>10</v>
      </c>
      <c r="D102" s="194">
        <f t="shared" si="10"/>
        <v>350</v>
      </c>
      <c r="E102" s="210"/>
      <c r="F102" s="221"/>
      <c r="G102" s="232"/>
      <c r="H102" s="25"/>
      <c r="I102" s="5"/>
      <c r="J102" s="5"/>
      <c r="K102" s="5"/>
      <c r="L102" s="5"/>
      <c r="M102" s="5"/>
      <c r="N102" s="186"/>
      <c r="O102" s="5"/>
      <c r="P102" s="5"/>
      <c r="Q102" s="5"/>
      <c r="R102" s="211" t="e">
        <f>IF(R101+1&lt;=MIN('Données projet'!$E$9:$E$18),R101+1,"STOP")</f>
        <v>#VALUE!</v>
      </c>
      <c r="S102" s="201" t="e">
        <f t="shared" si="9"/>
        <v>#VALUE!</v>
      </c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</row>
    <row r="103" spans="1:60" x14ac:dyDescent="0.2">
      <c r="A103" s="195">
        <f>'Données projet'!A117</f>
        <v>25</v>
      </c>
      <c r="B103" s="196">
        <f>'Données projet'!D117</f>
        <v>35</v>
      </c>
      <c r="C103" s="210">
        <f>'Données projet'!E117*40+('Données projet'!F117+'Données projet'!G117)*19.4+'Données projet'!H117*10</f>
        <v>10</v>
      </c>
      <c r="D103" s="194">
        <f t="shared" si="10"/>
        <v>350</v>
      </c>
      <c r="E103" s="210"/>
      <c r="F103" s="221"/>
      <c r="G103" s="232"/>
      <c r="H103" s="25"/>
      <c r="I103" s="5"/>
      <c r="J103" s="5"/>
      <c r="K103" s="5"/>
      <c r="L103" s="5"/>
      <c r="M103" s="5"/>
      <c r="N103" s="186"/>
      <c r="O103" s="5"/>
      <c r="P103" s="5"/>
      <c r="Q103" s="5"/>
      <c r="R103" s="211" t="e">
        <f>IF(R102+1&lt;=MIN('Données projet'!$E$9:$E$18),R102+1,"STOP")</f>
        <v>#VALUE!</v>
      </c>
      <c r="S103" s="201" t="e">
        <f t="shared" si="9"/>
        <v>#VALUE!</v>
      </c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</row>
    <row r="104" spans="1:60" x14ac:dyDescent="0.2">
      <c r="A104" s="195">
        <f>'Données projet'!A118</f>
        <v>30</v>
      </c>
      <c r="B104" s="196">
        <f>'Données projet'!D118</f>
        <v>35</v>
      </c>
      <c r="C104" s="210">
        <f>'Données projet'!E118*40+('Données projet'!F118+'Données projet'!G118)*19.4+'Données projet'!H118*10</f>
        <v>10</v>
      </c>
      <c r="D104" s="194">
        <f t="shared" si="10"/>
        <v>350</v>
      </c>
      <c r="E104" s="210"/>
      <c r="F104" s="221"/>
      <c r="G104" s="232"/>
      <c r="H104" s="25"/>
      <c r="I104" s="5"/>
      <c r="J104" s="5"/>
      <c r="K104" s="5"/>
      <c r="L104" s="5"/>
      <c r="M104" s="5"/>
      <c r="N104" s="186"/>
      <c r="O104" s="5"/>
      <c r="P104" s="5"/>
      <c r="Q104" s="5"/>
      <c r="R104" s="211" t="e">
        <f>IF(R103+1&lt;=MIN('Données projet'!$E$9:$E$18),R103+1,"STOP")</f>
        <v>#VALUE!</v>
      </c>
      <c r="S104" s="201" t="e">
        <f t="shared" si="9"/>
        <v>#VALUE!</v>
      </c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</row>
    <row r="105" spans="1:60" x14ac:dyDescent="0.2">
      <c r="A105" s="195">
        <f>'Données projet'!A119</f>
        <v>35</v>
      </c>
      <c r="B105" s="196">
        <f>'Données projet'!D119</f>
        <v>35</v>
      </c>
      <c r="C105" s="210">
        <f>'Données projet'!E119*40+('Données projet'!F119+'Données projet'!G119)*19.4+'Données projet'!H119*10</f>
        <v>16</v>
      </c>
      <c r="D105" s="194">
        <f t="shared" si="10"/>
        <v>560</v>
      </c>
      <c r="E105" s="210"/>
      <c r="F105" s="221"/>
      <c r="G105" s="232"/>
      <c r="H105" s="25"/>
      <c r="I105" s="5"/>
      <c r="J105" s="5"/>
      <c r="K105" s="5"/>
      <c r="L105" s="5"/>
      <c r="M105" s="5"/>
      <c r="N105" s="186"/>
      <c r="O105" s="5"/>
      <c r="P105" s="5"/>
      <c r="Q105" s="5"/>
      <c r="R105" s="211" t="e">
        <f>IF(R104+1&lt;=MIN('Données projet'!$E$9:$E$18),R104+1,"STOP")</f>
        <v>#VALUE!</v>
      </c>
      <c r="S105" s="201" t="e">
        <f t="shared" si="9"/>
        <v>#VALUE!</v>
      </c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</row>
    <row r="106" spans="1:60" x14ac:dyDescent="0.2">
      <c r="A106" s="195">
        <f>'Données projet'!A120</f>
        <v>40</v>
      </c>
      <c r="B106" s="196">
        <f>'Données projet'!D120</f>
        <v>35</v>
      </c>
      <c r="C106" s="210">
        <f>'Données projet'!E120*40+('Données projet'!F120+'Données projet'!G120)*19.4+'Données projet'!H120*10</f>
        <v>19</v>
      </c>
      <c r="D106" s="194">
        <f t="shared" si="10"/>
        <v>665</v>
      </c>
      <c r="E106" s="210"/>
      <c r="F106" s="221"/>
      <c r="G106" s="232"/>
      <c r="H106" s="25"/>
      <c r="I106" s="5"/>
      <c r="J106" s="5"/>
      <c r="K106" s="5"/>
      <c r="L106" s="5"/>
      <c r="M106" s="5"/>
      <c r="N106" s="186"/>
      <c r="O106" s="5"/>
      <c r="P106" s="5"/>
      <c r="Q106" s="5"/>
      <c r="R106" s="211" t="e">
        <f>IF(R105+1&lt;=MIN('Données projet'!$E$9:$E$18),R105+1,"STOP")</f>
        <v>#VALUE!</v>
      </c>
      <c r="S106" s="201" t="e">
        <f t="shared" si="9"/>
        <v>#VALUE!</v>
      </c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</row>
    <row r="107" spans="1:60" x14ac:dyDescent="0.2">
      <c r="A107" s="195">
        <f>'Données projet'!A121</f>
        <v>45</v>
      </c>
      <c r="B107" s="196">
        <f>'Données projet'!D121</f>
        <v>24</v>
      </c>
      <c r="C107" s="210">
        <f>'Données projet'!E121*40+('Données projet'!F121+'Données projet'!G121)*19.4+'Données projet'!H121*10</f>
        <v>19</v>
      </c>
      <c r="D107" s="194">
        <f t="shared" si="10"/>
        <v>456</v>
      </c>
      <c r="E107" s="210"/>
      <c r="F107" s="221"/>
      <c r="G107" s="232"/>
      <c r="H107" s="25"/>
      <c r="I107" s="5"/>
      <c r="J107" s="5"/>
      <c r="K107" s="5"/>
      <c r="L107" s="5"/>
      <c r="M107" s="5"/>
      <c r="N107" s="186"/>
      <c r="O107" s="5"/>
      <c r="P107" s="5"/>
      <c r="Q107" s="5"/>
      <c r="R107" s="211" t="e">
        <f>IF(R106+1&lt;=MIN('Données projet'!$E$9:$E$18),R106+1,"STOP")</f>
        <v>#VALUE!</v>
      </c>
      <c r="S107" s="201" t="e">
        <f t="shared" si="9"/>
        <v>#VALUE!</v>
      </c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</row>
    <row r="108" spans="1:60" x14ac:dyDescent="0.2">
      <c r="A108" s="195">
        <f>'Données projet'!A122</f>
        <v>50</v>
      </c>
      <c r="B108" s="196">
        <f>'Données projet'!D122</f>
        <v>19</v>
      </c>
      <c r="C108" s="210">
        <f>'Données projet'!E122*40+('Données projet'!F122+'Données projet'!G122)*19.4+'Données projet'!H122*10</f>
        <v>22</v>
      </c>
      <c r="D108" s="194">
        <f t="shared" si="10"/>
        <v>418</v>
      </c>
      <c r="E108" s="210"/>
      <c r="F108" s="221"/>
      <c r="G108" s="232"/>
      <c r="H108" s="25"/>
      <c r="I108" s="5"/>
      <c r="J108" s="5"/>
      <c r="K108" s="5"/>
      <c r="L108" s="5"/>
      <c r="M108" s="5"/>
      <c r="N108" s="186"/>
      <c r="O108" s="5"/>
      <c r="P108" s="5"/>
      <c r="Q108" s="5"/>
      <c r="R108" s="211" t="e">
        <f>IF(R107+1&lt;=MIN('Données projet'!$E$9:$E$18),R107+1,"STOP")</f>
        <v>#VALUE!</v>
      </c>
      <c r="S108" s="201" t="e">
        <f t="shared" si="9"/>
        <v>#VALUE!</v>
      </c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</row>
    <row r="109" spans="1:60" x14ac:dyDescent="0.2">
      <c r="A109" s="195">
        <f>'Données projet'!A123</f>
        <v>55</v>
      </c>
      <c r="B109" s="196">
        <f>'Données projet'!D123</f>
        <v>16</v>
      </c>
      <c r="C109" s="210">
        <f>'Données projet'!E123*40+('Données projet'!F123+'Données projet'!G123)*19.4+'Données projet'!H123*10</f>
        <v>22</v>
      </c>
      <c r="D109" s="194">
        <f t="shared" si="10"/>
        <v>352</v>
      </c>
      <c r="E109" s="210"/>
      <c r="F109" s="221"/>
      <c r="G109" s="232"/>
      <c r="H109" s="25"/>
      <c r="I109" s="5"/>
      <c r="J109" s="5"/>
      <c r="K109" s="5"/>
      <c r="L109" s="5"/>
      <c r="M109" s="5"/>
      <c r="N109" s="186"/>
      <c r="O109" s="5"/>
      <c r="P109" s="5"/>
      <c r="Q109" s="5"/>
      <c r="R109" s="211" t="e">
        <f>IF(R108+1&lt;=MIN('Données projet'!$E$9:$E$18),R108+1,"STOP")</f>
        <v>#VALUE!</v>
      </c>
      <c r="S109" s="201" t="e">
        <f t="shared" si="9"/>
        <v>#VALUE!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</row>
    <row r="110" spans="1:60" x14ac:dyDescent="0.2">
      <c r="A110" s="195">
        <f>'Données projet'!A124</f>
        <v>60</v>
      </c>
      <c r="B110" s="196">
        <f>'Données projet'!D124</f>
        <v>14</v>
      </c>
      <c r="C110" s="210">
        <f>'Données projet'!E124*40+('Données projet'!F124+'Données projet'!G124)*19.4+'Données projet'!H124*10</f>
        <v>25</v>
      </c>
      <c r="D110" s="194">
        <f t="shared" si="10"/>
        <v>350</v>
      </c>
      <c r="E110" s="210"/>
      <c r="F110" s="221"/>
      <c r="G110" s="232"/>
      <c r="H110" s="25"/>
      <c r="I110" s="5"/>
      <c r="J110" s="5"/>
      <c r="K110" s="5"/>
      <c r="L110" s="5"/>
      <c r="M110" s="5"/>
      <c r="N110" s="186"/>
      <c r="O110" s="5"/>
      <c r="P110" s="5"/>
      <c r="Q110" s="5"/>
      <c r="R110" s="211" t="e">
        <f>IF(R109+1&lt;=MIN('Données projet'!$E$9:$E$18),R109+1,"STOP")</f>
        <v>#VALUE!</v>
      </c>
      <c r="S110" s="201" t="e">
        <f t="shared" si="9"/>
        <v>#VALUE!</v>
      </c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</row>
    <row r="111" spans="1:60" x14ac:dyDescent="0.2">
      <c r="A111" s="195">
        <f>'Données projet'!A125</f>
        <v>65</v>
      </c>
      <c r="B111" s="196">
        <f>'Données projet'!D125</f>
        <v>13</v>
      </c>
      <c r="C111" s="210">
        <f>'Données projet'!E125*40+('Données projet'!F125+'Données projet'!G125)*19.4+'Données projet'!H125*10</f>
        <v>25</v>
      </c>
      <c r="D111" s="194">
        <f t="shared" si="10"/>
        <v>325</v>
      </c>
      <c r="E111" s="210"/>
      <c r="F111" s="221"/>
      <c r="G111" s="232"/>
      <c r="H111" s="25"/>
      <c r="I111" s="5"/>
      <c r="J111" s="5"/>
      <c r="K111" s="5"/>
      <c r="L111" s="5"/>
      <c r="M111" s="5"/>
      <c r="N111" s="186"/>
      <c r="O111" s="5"/>
      <c r="P111" s="5"/>
      <c r="Q111" s="5"/>
      <c r="R111" s="211" t="e">
        <f>IF(R110+1&lt;=MIN('Données projet'!$E$9:$E$18),R110+1,"STOP")</f>
        <v>#VALUE!</v>
      </c>
      <c r="S111" s="201" t="e">
        <f t="shared" si="9"/>
        <v>#VALUE!</v>
      </c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</row>
    <row r="112" spans="1:60" x14ac:dyDescent="0.2">
      <c r="A112" s="195">
        <f>'Données projet'!A126</f>
        <v>70</v>
      </c>
      <c r="B112" s="196">
        <f>'Données projet'!D126</f>
        <v>13</v>
      </c>
      <c r="C112" s="210">
        <f>'Données projet'!E126*40+('Données projet'!F126+'Données projet'!G126)*19.4+'Données projet'!H126*10</f>
        <v>28</v>
      </c>
      <c r="D112" s="194">
        <f t="shared" si="10"/>
        <v>364</v>
      </c>
      <c r="E112" s="210"/>
      <c r="F112" s="221"/>
      <c r="G112" s="232"/>
      <c r="H112" s="25"/>
      <c r="I112" s="5"/>
      <c r="J112" s="5"/>
      <c r="K112" s="5"/>
      <c r="L112" s="5"/>
      <c r="M112" s="5"/>
      <c r="N112" s="186"/>
      <c r="O112" s="5"/>
      <c r="P112" s="5"/>
      <c r="Q112" s="5"/>
      <c r="R112" s="211" t="e">
        <f>IF(R111+1&lt;=MIN('Données projet'!$E$9:$E$18),R111+1,"STOP")</f>
        <v>#VALUE!</v>
      </c>
      <c r="S112" s="201" t="e">
        <f t="shared" si="9"/>
        <v>#VALUE!</v>
      </c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</row>
    <row r="113" spans="1:60" x14ac:dyDescent="0.2">
      <c r="A113" s="195">
        <f>'Données projet'!A127</f>
        <v>75</v>
      </c>
      <c r="B113" s="196">
        <f>'Données projet'!D127</f>
        <v>11</v>
      </c>
      <c r="C113" s="210">
        <f>'Données projet'!E127*40+('Données projet'!F127+'Données projet'!G127)*19.4+'Données projet'!H127*10</f>
        <v>28</v>
      </c>
      <c r="D113" s="194">
        <f t="shared" si="10"/>
        <v>308</v>
      </c>
      <c r="E113" s="210"/>
      <c r="F113" s="221"/>
      <c r="G113" s="232"/>
      <c r="H113" s="25"/>
      <c r="I113" s="5"/>
      <c r="J113" s="5"/>
      <c r="K113" s="5"/>
      <c r="L113" s="5"/>
      <c r="M113" s="5"/>
      <c r="N113" s="186"/>
      <c r="O113" s="5"/>
      <c r="P113" s="5"/>
      <c r="Q113" s="5"/>
      <c r="R113" s="211"/>
      <c r="S113" s="201">
        <f t="shared" si="9"/>
        <v>0</v>
      </c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</row>
    <row r="114" spans="1:60" x14ac:dyDescent="0.2">
      <c r="A114" s="195">
        <f>'Données projet'!A128</f>
        <v>80</v>
      </c>
      <c r="B114" s="196">
        <f>'Données projet'!D128</f>
        <v>330</v>
      </c>
      <c r="C114" s="210">
        <f>'Données projet'!E128*40+('Données projet'!F128+'Données projet'!G128)*19.4+'Données projet'!H128*10</f>
        <v>31</v>
      </c>
      <c r="D114" s="194">
        <f t="shared" si="10"/>
        <v>10230</v>
      </c>
      <c r="E114" s="210"/>
      <c r="F114" s="221"/>
      <c r="G114" s="232"/>
      <c r="H114" s="25"/>
      <c r="I114" s="5"/>
      <c r="J114" s="5"/>
      <c r="K114" s="5"/>
      <c r="L114" s="5"/>
      <c r="M114" s="5"/>
      <c r="N114" s="186"/>
      <c r="O114" s="5"/>
      <c r="P114" s="5"/>
      <c r="Q114" s="5"/>
      <c r="R114" s="211"/>
      <c r="S114" s="201">
        <f t="shared" si="9"/>
        <v>0</v>
      </c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</row>
    <row r="115" spans="1:60" x14ac:dyDescent="0.2">
      <c r="A115" s="195">
        <f>'Données projet'!A129</f>
        <v>0</v>
      </c>
      <c r="B115" s="196">
        <f>'Données projet'!D129</f>
        <v>0</v>
      </c>
      <c r="C115" s="210"/>
      <c r="D115" s="194">
        <f t="shared" si="10"/>
        <v>0</v>
      </c>
      <c r="E115" s="210"/>
      <c r="F115" s="221"/>
      <c r="G115" s="232"/>
      <c r="H115" s="25"/>
      <c r="I115" s="5"/>
      <c r="J115" s="5"/>
      <c r="K115" s="5"/>
      <c r="L115" s="5"/>
      <c r="M115" s="5"/>
      <c r="N115" s="186"/>
      <c r="O115" s="5"/>
      <c r="P115" s="5"/>
      <c r="Q115" s="5"/>
      <c r="R115" s="211"/>
      <c r="S115" s="201">
        <f t="shared" si="9"/>
        <v>0</v>
      </c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</row>
    <row r="116" spans="1:60" x14ac:dyDescent="0.2">
      <c r="A116" s="195">
        <f>'Données projet'!A130</f>
        <v>0</v>
      </c>
      <c r="B116" s="196">
        <f>'Données projet'!D130</f>
        <v>0</v>
      </c>
      <c r="C116" s="210"/>
      <c r="D116" s="194">
        <f t="shared" si="10"/>
        <v>0</v>
      </c>
      <c r="E116" s="210"/>
      <c r="F116" s="221"/>
      <c r="G116" s="232"/>
      <c r="H116" s="25"/>
      <c r="I116" s="5"/>
      <c r="J116" s="5"/>
      <c r="K116" s="5"/>
      <c r="L116" s="5"/>
      <c r="M116" s="5"/>
      <c r="N116" s="186"/>
      <c r="O116" s="5"/>
      <c r="P116" s="5"/>
      <c r="Q116" s="5"/>
      <c r="R116" s="211"/>
      <c r="S116" s="201">
        <f t="shared" si="9"/>
        <v>0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</row>
    <row r="117" spans="1:60" x14ac:dyDescent="0.2">
      <c r="A117" s="195">
        <f>'Données projet'!A131</f>
        <v>0</v>
      </c>
      <c r="B117" s="196">
        <f>'Données projet'!D131</f>
        <v>0</v>
      </c>
      <c r="C117" s="208"/>
      <c r="D117" s="194">
        <f t="shared" si="10"/>
        <v>0</v>
      </c>
      <c r="E117" s="210"/>
      <c r="F117" s="221"/>
      <c r="G117" s="232"/>
      <c r="H117" s="25"/>
      <c r="I117" s="5"/>
      <c r="J117" s="5"/>
      <c r="K117" s="5"/>
      <c r="L117" s="5"/>
      <c r="M117" s="5"/>
      <c r="N117" s="186"/>
      <c r="O117" s="5"/>
      <c r="P117" s="5"/>
      <c r="Q117" s="5"/>
      <c r="R117" s="211"/>
      <c r="S117" s="201">
        <f t="shared" si="9"/>
        <v>0</v>
      </c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</row>
    <row r="118" spans="1:60" x14ac:dyDescent="0.2">
      <c r="A118" s="195">
        <f>'Données projet'!A132</f>
        <v>0</v>
      </c>
      <c r="B118" s="196">
        <f>'Données projet'!D132</f>
        <v>0</v>
      </c>
      <c r="C118" s="208"/>
      <c r="D118" s="194">
        <f t="shared" si="10"/>
        <v>0</v>
      </c>
      <c r="E118" s="210"/>
      <c r="F118" s="221"/>
      <c r="G118" s="232"/>
      <c r="H118" s="25"/>
      <c r="I118" s="5"/>
      <c r="J118" s="5"/>
      <c r="K118" s="5"/>
      <c r="L118" s="5"/>
      <c r="M118" s="5"/>
      <c r="N118" s="186"/>
      <c r="O118" s="5"/>
      <c r="P118" s="5"/>
      <c r="Q118" s="5"/>
      <c r="R118" s="211"/>
      <c r="S118" s="201">
        <f t="shared" si="9"/>
        <v>0</v>
      </c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</row>
    <row r="119" spans="1:60" x14ac:dyDescent="0.2">
      <c r="A119" s="195">
        <f>'Données projet'!A133</f>
        <v>0</v>
      </c>
      <c r="B119" s="196">
        <f>'Données projet'!D133</f>
        <v>0</v>
      </c>
      <c r="C119" s="208"/>
      <c r="D119" s="194">
        <f t="shared" si="10"/>
        <v>0</v>
      </c>
      <c r="E119" s="210"/>
      <c r="F119" s="221"/>
      <c r="G119" s="232"/>
      <c r="H119" s="25"/>
      <c r="I119" s="5"/>
      <c r="J119" s="5"/>
      <c r="K119" s="5"/>
      <c r="L119" s="5"/>
      <c r="M119" s="5"/>
      <c r="N119" s="186"/>
      <c r="O119" s="5"/>
      <c r="P119" s="5"/>
      <c r="Q119" s="5"/>
      <c r="R119" s="211"/>
      <c r="S119" s="201">
        <f t="shared" si="9"/>
        <v>0</v>
      </c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</row>
    <row r="120" spans="1:60" x14ac:dyDescent="0.2">
      <c r="A120" s="5"/>
      <c r="B120" s="5"/>
      <c r="C120" s="5"/>
      <c r="D120" s="5"/>
      <c r="E120" s="5"/>
      <c r="F120" s="218"/>
      <c r="G120" s="230"/>
      <c r="H120" s="25"/>
      <c r="I120" s="5"/>
      <c r="J120" s="5"/>
      <c r="K120" s="5"/>
      <c r="L120" s="5"/>
      <c r="M120" s="5"/>
      <c r="N120" s="186"/>
      <c r="O120" s="5"/>
      <c r="P120" s="5"/>
      <c r="Q120" s="5"/>
      <c r="R120" s="211"/>
      <c r="S120" s="201">
        <f t="shared" si="9"/>
        <v>0</v>
      </c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</row>
    <row r="121" spans="1:60" x14ac:dyDescent="0.2">
      <c r="A121" s="5"/>
      <c r="B121" s="5"/>
      <c r="C121" s="5"/>
      <c r="D121" s="5"/>
      <c r="E121" s="5"/>
      <c r="F121" s="218"/>
      <c r="G121" s="230"/>
      <c r="H121" s="25"/>
      <c r="I121" s="5"/>
      <c r="J121" s="5"/>
      <c r="K121" s="5"/>
      <c r="L121" s="5"/>
      <c r="M121" s="5"/>
      <c r="N121" s="186"/>
      <c r="O121" s="5"/>
      <c r="P121" s="5"/>
      <c r="Q121" s="5"/>
      <c r="R121" s="211"/>
      <c r="S121" s="201">
        <f t="shared" si="9"/>
        <v>0</v>
      </c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</row>
    <row r="122" spans="1:60" x14ac:dyDescent="0.2">
      <c r="A122" s="49" t="s">
        <v>169</v>
      </c>
      <c r="B122" s="189" t="str">
        <f>IF('Données projet'!B13="","",'Données projet'!B13)</f>
        <v>Erable sycomore</v>
      </c>
      <c r="C122" s="5"/>
      <c r="D122" s="5"/>
      <c r="E122" s="5"/>
      <c r="F122" s="218"/>
      <c r="G122" s="230"/>
      <c r="H122" s="25"/>
      <c r="I122" s="5"/>
      <c r="J122" s="5"/>
      <c r="K122" s="5"/>
      <c r="L122" s="5"/>
      <c r="M122" s="5"/>
      <c r="N122" s="186"/>
      <c r="O122" s="5"/>
      <c r="P122" s="5"/>
      <c r="Q122" s="5"/>
      <c r="R122" s="211"/>
      <c r="S122" s="201">
        <f t="shared" si="9"/>
        <v>0</v>
      </c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</row>
    <row r="123" spans="1:60" x14ac:dyDescent="0.2">
      <c r="A123" s="5"/>
      <c r="B123" s="5"/>
      <c r="C123" s="5"/>
      <c r="D123" s="5"/>
      <c r="E123" s="5"/>
      <c r="F123" s="218"/>
      <c r="G123" s="230"/>
      <c r="H123" s="25"/>
      <c r="I123" s="5"/>
      <c r="J123" s="5"/>
      <c r="K123" s="5"/>
      <c r="L123" s="5"/>
      <c r="M123" s="5"/>
      <c r="N123" s="186"/>
      <c r="O123" s="5"/>
      <c r="P123" s="5"/>
      <c r="Q123" s="5"/>
      <c r="R123" s="211"/>
      <c r="S123" s="201">
        <f t="shared" si="9"/>
        <v>0</v>
      </c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</row>
    <row r="124" spans="1:60" ht="15.75" customHeight="1" x14ac:dyDescent="0.2">
      <c r="A124" s="188" t="s">
        <v>180</v>
      </c>
      <c r="B124" s="51" t="s">
        <v>256</v>
      </c>
      <c r="C124" s="51" t="s">
        <v>255</v>
      </c>
      <c r="D124" s="188" t="s">
        <v>252</v>
      </c>
      <c r="E124" s="188" t="s">
        <v>288</v>
      </c>
      <c r="F124" s="220"/>
      <c r="G124" s="231"/>
      <c r="H124" s="25"/>
      <c r="I124" s="5"/>
      <c r="J124" s="5"/>
      <c r="K124" s="5"/>
      <c r="L124" s="5"/>
      <c r="M124" s="5"/>
      <c r="N124" s="186"/>
      <c r="O124" s="5"/>
      <c r="P124" s="5"/>
      <c r="Q124" s="5"/>
      <c r="R124" s="211"/>
      <c r="S124" s="201">
        <f t="shared" si="9"/>
        <v>0</v>
      </c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</row>
    <row r="125" spans="1:60" ht="15.75" customHeight="1" x14ac:dyDescent="0.2">
      <c r="A125" s="214">
        <v>0</v>
      </c>
      <c r="B125" s="217" t="s">
        <v>132</v>
      </c>
      <c r="C125" s="216" t="s">
        <v>132</v>
      </c>
      <c r="D125" s="215" t="s">
        <v>132</v>
      </c>
      <c r="E125" s="210">
        <v>2700</v>
      </c>
      <c r="F125" s="220"/>
      <c r="G125" s="231"/>
      <c r="H125" s="25"/>
      <c r="I125" s="5"/>
      <c r="J125" s="5"/>
      <c r="K125" s="5"/>
      <c r="L125" s="5"/>
      <c r="M125" s="5"/>
      <c r="N125" s="186"/>
      <c r="O125" s="5"/>
      <c r="P125" s="5"/>
      <c r="Q125" s="5"/>
      <c r="R125" s="211"/>
      <c r="S125" s="201">
        <f t="shared" si="9"/>
        <v>0</v>
      </c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</row>
    <row r="126" spans="1:60" x14ac:dyDescent="0.2">
      <c r="A126" s="45">
        <f>'Données projet'!A140</f>
        <v>10</v>
      </c>
      <c r="B126" s="190">
        <f>'Données projet'!D140</f>
        <v>0</v>
      </c>
      <c r="C126" s="210">
        <f>'Données projet'!E140*60+('Données projet'!F140+'Données projet'!G140)*19.4+'Données projet'!H140*10</f>
        <v>10</v>
      </c>
      <c r="D126" s="197">
        <f>B126*C126</f>
        <v>0</v>
      </c>
      <c r="E126" s="210"/>
      <c r="F126" s="219"/>
      <c r="G126" s="227"/>
      <c r="H126" s="25"/>
      <c r="I126" s="5"/>
      <c r="J126" s="5"/>
      <c r="K126" s="5"/>
      <c r="L126" s="5"/>
      <c r="M126" s="5"/>
      <c r="N126" s="186"/>
      <c r="O126" s="5"/>
      <c r="P126" s="5"/>
      <c r="Q126" s="5"/>
      <c r="R126" s="211"/>
      <c r="S126" s="201">
        <f t="shared" si="9"/>
        <v>0</v>
      </c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</row>
    <row r="127" spans="1:60" x14ac:dyDescent="0.2">
      <c r="A127" s="45">
        <f>'Données projet'!A141</f>
        <v>15</v>
      </c>
      <c r="B127" s="190">
        <f>'Données projet'!D141</f>
        <v>32</v>
      </c>
      <c r="C127" s="210">
        <f>'Données projet'!E141*60+('Données projet'!F141+'Données projet'!G141)*19.4+'Données projet'!H141*10</f>
        <v>10</v>
      </c>
      <c r="D127" s="197">
        <f t="shared" ref="D127:D145" si="11">B127*C127</f>
        <v>320</v>
      </c>
      <c r="E127" s="210"/>
      <c r="F127" s="219"/>
      <c r="G127" s="227"/>
      <c r="H127" s="25"/>
      <c r="I127" s="5"/>
      <c r="J127" s="5"/>
      <c r="K127" s="5"/>
      <c r="L127" s="5"/>
      <c r="M127" s="5"/>
      <c r="N127" s="186"/>
      <c r="O127" s="5"/>
      <c r="P127" s="5"/>
      <c r="Q127" s="5"/>
      <c r="R127" s="211"/>
      <c r="S127" s="201">
        <f t="shared" si="9"/>
        <v>0</v>
      </c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</row>
    <row r="128" spans="1:60" x14ac:dyDescent="0.2">
      <c r="A128" s="45">
        <f>'Données projet'!A142</f>
        <v>20</v>
      </c>
      <c r="B128" s="190">
        <f>'Données projet'!D142</f>
        <v>35</v>
      </c>
      <c r="C128" s="210">
        <f>'Données projet'!E142*60+('Données projet'!F142+'Données projet'!G142)*19.4+'Données projet'!H142*10</f>
        <v>10</v>
      </c>
      <c r="D128" s="197">
        <f t="shared" si="11"/>
        <v>350</v>
      </c>
      <c r="E128" s="210"/>
      <c r="F128" s="219"/>
      <c r="G128" s="227"/>
      <c r="H128" s="25"/>
      <c r="I128" s="5"/>
      <c r="J128" s="5"/>
      <c r="K128" s="5"/>
      <c r="L128" s="5"/>
      <c r="M128" s="5"/>
      <c r="N128" s="186"/>
      <c r="O128" s="5"/>
      <c r="P128" s="5"/>
      <c r="Q128" s="5"/>
      <c r="R128" s="211"/>
      <c r="S128" s="201">
        <f t="shared" si="9"/>
        <v>0</v>
      </c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</row>
    <row r="129" spans="1:68" x14ac:dyDescent="0.2">
      <c r="A129" s="45">
        <f>'Données projet'!A143</f>
        <v>25</v>
      </c>
      <c r="B129" s="190">
        <f>'Données projet'!D143</f>
        <v>35</v>
      </c>
      <c r="C129" s="210">
        <f>'Données projet'!E143*60+('Données projet'!F143+'Données projet'!G143)*19.4+'Données projet'!H143*10</f>
        <v>10</v>
      </c>
      <c r="D129" s="197">
        <f t="shared" si="11"/>
        <v>350</v>
      </c>
      <c r="E129" s="210"/>
      <c r="F129" s="219"/>
      <c r="G129" s="227"/>
      <c r="H129" s="25"/>
      <c r="I129" s="5"/>
      <c r="J129" s="5"/>
      <c r="K129" s="5"/>
      <c r="L129" s="5"/>
      <c r="M129" s="5"/>
      <c r="N129" s="186"/>
      <c r="O129" s="5"/>
      <c r="P129" s="5"/>
      <c r="Q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</row>
    <row r="130" spans="1:68" x14ac:dyDescent="0.2">
      <c r="A130" s="45">
        <f>'Données projet'!A144</f>
        <v>30</v>
      </c>
      <c r="B130" s="190">
        <f>'Données projet'!D144</f>
        <v>35</v>
      </c>
      <c r="C130" s="210">
        <f>'Données projet'!E144*60+('Données projet'!F144+'Données projet'!G144)*19.4+'Données projet'!H144*10</f>
        <v>10</v>
      </c>
      <c r="D130" s="197">
        <f t="shared" si="11"/>
        <v>350</v>
      </c>
      <c r="E130" s="210"/>
      <c r="F130" s="219"/>
      <c r="G130" s="227"/>
      <c r="H130" s="25"/>
      <c r="I130" s="5"/>
      <c r="J130" s="5"/>
      <c r="K130" s="5"/>
      <c r="L130" s="5"/>
      <c r="M130" s="5"/>
      <c r="N130" s="186"/>
      <c r="O130" s="5"/>
      <c r="P130" s="5"/>
      <c r="Q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</row>
    <row r="131" spans="1:68" x14ac:dyDescent="0.2">
      <c r="A131" s="45">
        <f>'Données projet'!A145</f>
        <v>35</v>
      </c>
      <c r="B131" s="190">
        <f>'Données projet'!D145</f>
        <v>35</v>
      </c>
      <c r="C131" s="210">
        <f>'Données projet'!E145*60+('Données projet'!F145+'Données projet'!G145)*19.4+'Données projet'!H145*10</f>
        <v>20</v>
      </c>
      <c r="D131" s="197">
        <f t="shared" si="11"/>
        <v>700</v>
      </c>
      <c r="E131" s="210"/>
      <c r="F131" s="219"/>
      <c r="G131" s="227"/>
      <c r="H131" s="25"/>
      <c r="I131" s="5"/>
      <c r="J131" s="5"/>
      <c r="K131" s="5"/>
      <c r="L131" s="5"/>
      <c r="M131" s="5"/>
      <c r="N131" s="186"/>
      <c r="O131" s="5"/>
      <c r="P131" s="5"/>
      <c r="Q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</row>
    <row r="132" spans="1:68" x14ac:dyDescent="0.2">
      <c r="A132" s="45">
        <f>'Données projet'!A146</f>
        <v>40</v>
      </c>
      <c r="B132" s="190">
        <f>'Données projet'!D146</f>
        <v>35</v>
      </c>
      <c r="C132" s="210">
        <f>'Données projet'!E146*60+('Données projet'!F146+'Données projet'!G146)*19.4+'Données projet'!H146*10</f>
        <v>25</v>
      </c>
      <c r="D132" s="197">
        <f t="shared" si="11"/>
        <v>875</v>
      </c>
      <c r="E132" s="210"/>
      <c r="F132" s="219"/>
      <c r="G132" s="227"/>
      <c r="H132" s="25"/>
      <c r="I132" s="5"/>
      <c r="J132" s="5"/>
      <c r="K132" s="5"/>
      <c r="L132" s="5"/>
      <c r="M132" s="5"/>
      <c r="N132" s="186"/>
      <c r="O132" s="5"/>
      <c r="P132" s="5"/>
      <c r="Q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</row>
    <row r="133" spans="1:68" x14ac:dyDescent="0.2">
      <c r="A133" s="45">
        <f>'Données projet'!A147</f>
        <v>45</v>
      </c>
      <c r="B133" s="190">
        <f>'Données projet'!D147</f>
        <v>24</v>
      </c>
      <c r="C133" s="210">
        <f>'Données projet'!E147*60+('Données projet'!F147+'Données projet'!G147)*19.4+'Données projet'!H147*10</f>
        <v>25</v>
      </c>
      <c r="D133" s="197">
        <f t="shared" si="11"/>
        <v>600</v>
      </c>
      <c r="E133" s="210"/>
      <c r="F133" s="219"/>
      <c r="G133" s="227"/>
      <c r="H133" s="25"/>
      <c r="I133" s="5"/>
      <c r="J133" s="5"/>
      <c r="K133" s="5"/>
      <c r="L133" s="5"/>
      <c r="M133" s="5"/>
      <c r="N133" s="186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</row>
    <row r="134" spans="1:68" x14ac:dyDescent="0.2">
      <c r="A134" s="45">
        <f>'Données projet'!A148</f>
        <v>50</v>
      </c>
      <c r="B134" s="190">
        <f>'Données projet'!D148</f>
        <v>19</v>
      </c>
      <c r="C134" s="210">
        <f>'Données projet'!E148*60+('Données projet'!F148+'Données projet'!G148)*19.4+'Données projet'!H148*10</f>
        <v>30</v>
      </c>
      <c r="D134" s="197">
        <f t="shared" si="11"/>
        <v>570</v>
      </c>
      <c r="E134" s="210"/>
      <c r="F134" s="219"/>
      <c r="G134" s="227"/>
      <c r="H134" s="25"/>
      <c r="I134" s="5"/>
      <c r="J134" s="5"/>
      <c r="K134" s="5"/>
      <c r="L134" s="5"/>
      <c r="M134" s="5"/>
      <c r="N134" s="186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</row>
    <row r="135" spans="1:68" x14ac:dyDescent="0.2">
      <c r="A135" s="45">
        <f>'Données projet'!A149</f>
        <v>55</v>
      </c>
      <c r="B135" s="190">
        <f>'Données projet'!D149</f>
        <v>16</v>
      </c>
      <c r="C135" s="210">
        <f>'Données projet'!E149*60+('Données projet'!F149+'Données projet'!G149)*19.4+'Données projet'!H149*10</f>
        <v>30</v>
      </c>
      <c r="D135" s="197">
        <f t="shared" si="11"/>
        <v>480</v>
      </c>
      <c r="E135" s="210"/>
      <c r="F135" s="219"/>
      <c r="G135" s="227"/>
      <c r="H135" s="25"/>
      <c r="I135" s="5"/>
      <c r="J135" s="5"/>
      <c r="K135" s="5"/>
      <c r="L135" s="5"/>
      <c r="M135" s="5"/>
      <c r="N135" s="186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</row>
    <row r="136" spans="1:68" x14ac:dyDescent="0.2">
      <c r="A136" s="45">
        <f>'Données projet'!A150</f>
        <v>60</v>
      </c>
      <c r="B136" s="190">
        <f>'Données projet'!D150</f>
        <v>14</v>
      </c>
      <c r="C136" s="210">
        <f>'Données projet'!E150*60+('Données projet'!F150+'Données projet'!G150)*19.4+'Données projet'!H150*10</f>
        <v>35</v>
      </c>
      <c r="D136" s="197">
        <f t="shared" si="11"/>
        <v>490</v>
      </c>
      <c r="E136" s="210"/>
      <c r="F136" s="219"/>
      <c r="G136" s="227"/>
      <c r="H136" s="25"/>
      <c r="I136" s="5"/>
      <c r="J136" s="5"/>
      <c r="K136" s="5"/>
      <c r="L136" s="5"/>
      <c r="M136" s="5"/>
      <c r="N136" s="186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</row>
    <row r="137" spans="1:68" x14ac:dyDescent="0.2">
      <c r="A137" s="45">
        <f>'Données projet'!A151</f>
        <v>65</v>
      </c>
      <c r="B137" s="190">
        <f>'Données projet'!D151</f>
        <v>13</v>
      </c>
      <c r="C137" s="210">
        <f>'Données projet'!E151*60+('Données projet'!F151+'Données projet'!G151)*19.4+'Données projet'!H151*10</f>
        <v>35</v>
      </c>
      <c r="D137" s="197">
        <f t="shared" si="11"/>
        <v>455</v>
      </c>
      <c r="E137" s="210"/>
      <c r="F137" s="219"/>
      <c r="G137" s="227"/>
      <c r="H137" s="25"/>
      <c r="I137" s="5"/>
      <c r="J137" s="5"/>
      <c r="K137" s="5"/>
      <c r="L137" s="5"/>
      <c r="M137" s="5"/>
      <c r="N137" s="186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</row>
    <row r="138" spans="1:68" x14ac:dyDescent="0.2">
      <c r="A138" s="45">
        <f>'Données projet'!A152</f>
        <v>70</v>
      </c>
      <c r="B138" s="190">
        <f>'Données projet'!D152</f>
        <v>13</v>
      </c>
      <c r="C138" s="210">
        <f>'Données projet'!E152*60+('Données projet'!F152+'Données projet'!G152)*19.4+'Données projet'!H152*10</f>
        <v>40</v>
      </c>
      <c r="D138" s="197">
        <f t="shared" si="11"/>
        <v>520</v>
      </c>
      <c r="E138" s="210"/>
      <c r="F138" s="219"/>
      <c r="G138" s="227"/>
      <c r="H138" s="25"/>
      <c r="I138" s="5"/>
      <c r="J138" s="5"/>
      <c r="K138" s="5"/>
      <c r="L138" s="5"/>
      <c r="M138" s="5"/>
      <c r="N138" s="186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</row>
    <row r="139" spans="1:68" x14ac:dyDescent="0.2">
      <c r="A139" s="45">
        <f>'Données projet'!A153</f>
        <v>75</v>
      </c>
      <c r="B139" s="190">
        <f>'Données projet'!D153</f>
        <v>11</v>
      </c>
      <c r="C139" s="210">
        <f>'Données projet'!E153*60+('Données projet'!F153+'Données projet'!G153)*19.4+'Données projet'!H153*10</f>
        <v>40</v>
      </c>
      <c r="D139" s="197">
        <f t="shared" si="11"/>
        <v>440</v>
      </c>
      <c r="E139" s="210"/>
      <c r="F139" s="219"/>
      <c r="G139" s="227"/>
      <c r="H139" s="25"/>
      <c r="I139" s="5"/>
      <c r="J139" s="5"/>
      <c r="K139" s="5"/>
      <c r="L139" s="5"/>
      <c r="M139" s="5"/>
      <c r="N139" s="186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</row>
    <row r="140" spans="1:68" x14ac:dyDescent="0.2">
      <c r="A140" s="45">
        <f>'Données projet'!A154</f>
        <v>80</v>
      </c>
      <c r="B140" s="190">
        <f>'Données projet'!D154</f>
        <v>330</v>
      </c>
      <c r="C140" s="210">
        <f>'Données projet'!E154*60+('Données projet'!F154+'Données projet'!G154)*19.4+'Données projet'!H154*10</f>
        <v>45</v>
      </c>
      <c r="D140" s="197">
        <f t="shared" si="11"/>
        <v>14850</v>
      </c>
      <c r="E140" s="210"/>
      <c r="F140" s="219"/>
      <c r="G140" s="227"/>
      <c r="H140" s="25"/>
      <c r="I140" s="5"/>
      <c r="J140" s="5"/>
      <c r="K140" s="5"/>
      <c r="L140" s="5"/>
      <c r="M140" s="5"/>
      <c r="N140" s="186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</row>
    <row r="141" spans="1:68" x14ac:dyDescent="0.2">
      <c r="A141" s="45">
        <f>'Données projet'!A155</f>
        <v>0</v>
      </c>
      <c r="B141" s="190">
        <f>'Données projet'!D155</f>
        <v>0</v>
      </c>
      <c r="C141" s="210"/>
      <c r="D141" s="197">
        <f t="shared" si="11"/>
        <v>0</v>
      </c>
      <c r="E141" s="210"/>
      <c r="F141" s="219"/>
      <c r="G141" s="227"/>
      <c r="H141" s="25"/>
      <c r="I141" s="5"/>
      <c r="J141" s="5"/>
      <c r="K141" s="5"/>
      <c r="L141" s="5"/>
      <c r="M141" s="5"/>
      <c r="N141" s="186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</row>
    <row r="142" spans="1:68" x14ac:dyDescent="0.2">
      <c r="A142" s="45">
        <f>'Données projet'!A156</f>
        <v>0</v>
      </c>
      <c r="B142" s="190">
        <f>'Données projet'!D156</f>
        <v>0</v>
      </c>
      <c r="C142" s="210"/>
      <c r="D142" s="197">
        <f t="shared" si="11"/>
        <v>0</v>
      </c>
      <c r="E142" s="210"/>
      <c r="F142" s="219"/>
      <c r="G142" s="227"/>
      <c r="H142" s="25"/>
      <c r="I142" s="5"/>
      <c r="J142" s="5"/>
      <c r="K142" s="5"/>
      <c r="L142" s="5"/>
      <c r="M142" s="5"/>
      <c r="N142" s="186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</row>
    <row r="143" spans="1:68" x14ac:dyDescent="0.2">
      <c r="A143" s="45">
        <f>'Données projet'!A157</f>
        <v>0</v>
      </c>
      <c r="B143" s="190">
        <f>'Données projet'!D157</f>
        <v>0</v>
      </c>
      <c r="C143" s="208"/>
      <c r="D143" s="197">
        <f t="shared" si="11"/>
        <v>0</v>
      </c>
      <c r="E143" s="210"/>
      <c r="F143" s="219"/>
      <c r="G143" s="227"/>
      <c r="H143" s="25"/>
      <c r="I143" s="5"/>
      <c r="J143" s="5"/>
      <c r="K143" s="5"/>
      <c r="L143" s="5"/>
      <c r="M143" s="5"/>
      <c r="N143" s="186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</row>
    <row r="144" spans="1:68" x14ac:dyDescent="0.2">
      <c r="A144" s="45">
        <f>'Données projet'!A158</f>
        <v>0</v>
      </c>
      <c r="B144" s="190">
        <f>'Données projet'!D158</f>
        <v>0</v>
      </c>
      <c r="C144" s="208"/>
      <c r="D144" s="197">
        <f t="shared" si="11"/>
        <v>0</v>
      </c>
      <c r="E144" s="210"/>
      <c r="F144" s="219"/>
      <c r="G144" s="227"/>
      <c r="H144" s="25"/>
      <c r="I144" s="5"/>
      <c r="J144" s="5"/>
      <c r="K144" s="5"/>
      <c r="L144" s="5"/>
      <c r="M144" s="5"/>
      <c r="N144" s="186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</row>
    <row r="145" spans="1:68" x14ac:dyDescent="0.2">
      <c r="A145" s="45">
        <f>'Données projet'!A159</f>
        <v>0</v>
      </c>
      <c r="B145" s="190">
        <f>'Données projet'!D159</f>
        <v>0</v>
      </c>
      <c r="C145" s="208"/>
      <c r="D145" s="197">
        <f t="shared" si="11"/>
        <v>0</v>
      </c>
      <c r="E145" s="210"/>
      <c r="F145" s="219"/>
      <c r="G145" s="227"/>
      <c r="H145" s="25"/>
      <c r="I145" s="5"/>
      <c r="J145" s="5"/>
      <c r="K145" s="5"/>
      <c r="L145" s="5"/>
      <c r="M145" s="5"/>
      <c r="N145" s="186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</row>
    <row r="146" spans="1:68" x14ac:dyDescent="0.2">
      <c r="A146" s="5"/>
      <c r="B146" s="5"/>
      <c r="C146" s="5"/>
      <c r="D146" s="5"/>
      <c r="E146" s="5"/>
      <c r="F146" s="218"/>
      <c r="G146" s="230"/>
      <c r="H146" s="25"/>
      <c r="I146" s="5"/>
      <c r="J146" s="5"/>
      <c r="K146" s="5"/>
      <c r="L146" s="5"/>
      <c r="M146" s="5"/>
      <c r="N146" s="186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</row>
    <row r="147" spans="1:68" x14ac:dyDescent="0.2">
      <c r="A147" s="5"/>
      <c r="B147" s="5"/>
      <c r="C147" s="5"/>
      <c r="D147" s="5"/>
      <c r="E147" s="5"/>
      <c r="F147" s="218"/>
      <c r="G147" s="230"/>
      <c r="H147" s="25"/>
      <c r="I147" s="5"/>
      <c r="J147" s="5"/>
      <c r="K147" s="5"/>
      <c r="L147" s="5"/>
      <c r="M147" s="5"/>
      <c r="N147" s="186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</row>
    <row r="148" spans="1:68" x14ac:dyDescent="0.2">
      <c r="A148" s="49" t="s">
        <v>170</v>
      </c>
      <c r="B148" s="189" t="str">
        <f>IF('Données projet'!B14="","",'Données projet'!B14)</f>
        <v>Peuplier Koster</v>
      </c>
      <c r="C148" s="5"/>
      <c r="D148" s="5"/>
      <c r="E148" s="5"/>
      <c r="F148" s="218"/>
      <c r="G148" s="230"/>
      <c r="H148" s="25"/>
      <c r="I148" s="5"/>
      <c r="J148" s="5"/>
      <c r="K148" s="5"/>
      <c r="L148" s="5"/>
      <c r="M148" s="5"/>
      <c r="N148" s="186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</row>
    <row r="149" spans="1:68" x14ac:dyDescent="0.2">
      <c r="A149" s="5"/>
      <c r="B149" s="5"/>
      <c r="C149" s="5"/>
      <c r="D149" s="5"/>
      <c r="E149" s="5"/>
      <c r="F149" s="218"/>
      <c r="G149" s="230"/>
      <c r="H149" s="25"/>
      <c r="I149" s="5"/>
      <c r="J149" s="5"/>
      <c r="K149" s="5"/>
      <c r="L149" s="5"/>
      <c r="M149" s="5"/>
      <c r="N149" s="186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</row>
    <row r="150" spans="1:68" ht="16" x14ac:dyDescent="0.2">
      <c r="A150" s="188" t="s">
        <v>180</v>
      </c>
      <c r="B150" s="51" t="s">
        <v>256</v>
      </c>
      <c r="C150" s="51" t="s">
        <v>255</v>
      </c>
      <c r="D150" s="188" t="s">
        <v>252</v>
      </c>
      <c r="E150" s="188" t="s">
        <v>288</v>
      </c>
      <c r="F150" s="220"/>
      <c r="G150" s="231"/>
      <c r="H150" s="25"/>
      <c r="I150" s="5"/>
      <c r="J150" s="5"/>
      <c r="K150" s="5"/>
      <c r="L150" s="5"/>
      <c r="M150" s="5"/>
      <c r="N150" s="186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</row>
    <row r="151" spans="1:68" ht="16" x14ac:dyDescent="0.2">
      <c r="A151" s="214">
        <v>0</v>
      </c>
      <c r="B151" s="217" t="s">
        <v>132</v>
      </c>
      <c r="C151" s="216" t="s">
        <v>132</v>
      </c>
      <c r="D151" s="215" t="s">
        <v>132</v>
      </c>
      <c r="E151" s="210">
        <v>2985</v>
      </c>
      <c r="F151" s="220" t="s">
        <v>314</v>
      </c>
      <c r="G151" s="231"/>
      <c r="H151" s="25"/>
      <c r="I151" s="5"/>
      <c r="J151" s="5"/>
      <c r="K151" s="5"/>
      <c r="L151" s="5"/>
      <c r="M151" s="5"/>
      <c r="N151" s="186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</row>
    <row r="152" spans="1:68" x14ac:dyDescent="0.2">
      <c r="A152" s="195">
        <f>'Données projet'!A166</f>
        <v>5</v>
      </c>
      <c r="B152" s="196">
        <f>'Données projet'!D166</f>
        <v>0</v>
      </c>
      <c r="C152" s="210">
        <f>'Données projet'!E166*42+('Données projet'!F166+'Données projet'!G166)*19.4+'Données projet'!H166*10</f>
        <v>0</v>
      </c>
      <c r="D152" s="194">
        <f>B152*C152</f>
        <v>0</v>
      </c>
      <c r="E152" s="210"/>
      <c r="F152" s="221"/>
      <c r="G152" s="232"/>
      <c r="H152" s="25"/>
      <c r="I152" s="5"/>
      <c r="J152" s="5"/>
      <c r="K152" s="5"/>
      <c r="L152" s="5"/>
      <c r="M152" s="5"/>
      <c r="N152" s="186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</row>
    <row r="153" spans="1:68" x14ac:dyDescent="0.2">
      <c r="A153" s="195">
        <f>'Données projet'!A167</f>
        <v>10</v>
      </c>
      <c r="B153" s="196">
        <f>'Données projet'!D167</f>
        <v>0</v>
      </c>
      <c r="C153" s="210">
        <f>'Données projet'!E167*42+('Données projet'!F167+'Données projet'!G167)*19.4+'Données projet'!H167*10</f>
        <v>0</v>
      </c>
      <c r="D153" s="194">
        <f t="shared" ref="D153:D171" si="12">B153*C153</f>
        <v>0</v>
      </c>
      <c r="E153" s="210"/>
      <c r="F153" s="221"/>
      <c r="G153" s="232"/>
      <c r="H153" s="25"/>
      <c r="I153" s="5"/>
      <c r="J153" s="5"/>
      <c r="K153" s="5"/>
      <c r="L153" s="5"/>
      <c r="M153" s="5"/>
      <c r="N153" s="186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</row>
    <row r="154" spans="1:68" x14ac:dyDescent="0.2">
      <c r="A154" s="195">
        <f>'Données projet'!A168</f>
        <v>15</v>
      </c>
      <c r="B154" s="196">
        <f>'Données projet'!D168</f>
        <v>0</v>
      </c>
      <c r="C154" s="210">
        <f>'Données projet'!E168*42+('Données projet'!F168+'Données projet'!G168)*19.4+'Données projet'!H168*10</f>
        <v>0</v>
      </c>
      <c r="D154" s="194">
        <f t="shared" si="12"/>
        <v>0</v>
      </c>
      <c r="E154" s="210"/>
      <c r="F154" s="221"/>
      <c r="G154" s="232"/>
      <c r="H154" s="25"/>
      <c r="I154" s="5"/>
      <c r="J154" s="5"/>
      <c r="K154" s="5"/>
      <c r="L154" s="5"/>
      <c r="M154" s="5"/>
      <c r="N154" s="186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</row>
    <row r="155" spans="1:68" x14ac:dyDescent="0.2">
      <c r="A155" s="195">
        <f>'Données projet'!A169</f>
        <v>22</v>
      </c>
      <c r="B155" s="196">
        <f>'Données projet'!D169</f>
        <v>180</v>
      </c>
      <c r="C155" s="210">
        <f>'Données projet'!E169*42+('Données projet'!F169+'Données projet'!G169)*19.4+'Données projet'!H169*10</f>
        <v>35.6</v>
      </c>
      <c r="D155" s="194">
        <f t="shared" si="12"/>
        <v>6408</v>
      </c>
      <c r="E155" s="210"/>
      <c r="F155" s="221"/>
      <c r="G155" s="232"/>
      <c r="H155" s="25"/>
      <c r="I155" s="5"/>
      <c r="J155" s="5"/>
      <c r="K155" s="5"/>
      <c r="L155" s="5"/>
      <c r="M155" s="5"/>
      <c r="N155" s="186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</row>
    <row r="156" spans="1:68" x14ac:dyDescent="0.2">
      <c r="A156" s="195">
        <f>'Données projet'!A170</f>
        <v>0</v>
      </c>
      <c r="B156" s="196">
        <f>'Données projet'!D170</f>
        <v>0</v>
      </c>
      <c r="C156" s="210"/>
      <c r="D156" s="194">
        <f t="shared" si="12"/>
        <v>0</v>
      </c>
      <c r="E156" s="210"/>
      <c r="F156" s="221"/>
      <c r="G156" s="232"/>
      <c r="H156" s="25"/>
      <c r="I156" s="5"/>
      <c r="J156" s="5"/>
      <c r="K156" s="5"/>
      <c r="L156" s="5"/>
      <c r="M156" s="5"/>
      <c r="N156" s="186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</row>
    <row r="157" spans="1:68" x14ac:dyDescent="0.2">
      <c r="A157" s="195">
        <f>'Données projet'!A171</f>
        <v>0</v>
      </c>
      <c r="B157" s="196">
        <f>'Données projet'!D171</f>
        <v>0</v>
      </c>
      <c r="C157" s="210"/>
      <c r="D157" s="194">
        <f t="shared" si="12"/>
        <v>0</v>
      </c>
      <c r="E157" s="210"/>
      <c r="F157" s="221"/>
      <c r="G157" s="232"/>
      <c r="H157" s="25"/>
      <c r="I157" s="5"/>
      <c r="J157" s="5"/>
      <c r="K157" s="5"/>
      <c r="L157" s="5"/>
      <c r="M157" s="5"/>
      <c r="N157" s="186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</row>
    <row r="158" spans="1:68" x14ac:dyDescent="0.2">
      <c r="A158" s="195">
        <f>'Données projet'!A172</f>
        <v>0</v>
      </c>
      <c r="B158" s="196">
        <f>'Données projet'!D172</f>
        <v>0</v>
      </c>
      <c r="C158" s="210"/>
      <c r="D158" s="194">
        <f t="shared" si="12"/>
        <v>0</v>
      </c>
      <c r="E158" s="210"/>
      <c r="F158" s="221"/>
      <c r="G158" s="232"/>
      <c r="H158" s="25"/>
      <c r="I158" s="5"/>
      <c r="J158" s="5"/>
      <c r="K158" s="5"/>
      <c r="L158" s="5"/>
      <c r="M158" s="5"/>
      <c r="N158" s="186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</row>
    <row r="159" spans="1:68" x14ac:dyDescent="0.2">
      <c r="A159" s="195">
        <f>'Données projet'!A173</f>
        <v>0</v>
      </c>
      <c r="B159" s="196">
        <f>'Données projet'!D173</f>
        <v>0</v>
      </c>
      <c r="C159" s="210"/>
      <c r="D159" s="194">
        <f t="shared" si="12"/>
        <v>0</v>
      </c>
      <c r="E159" s="210"/>
      <c r="F159" s="221"/>
      <c r="G159" s="232"/>
      <c r="H159" s="25"/>
      <c r="I159" s="5"/>
      <c r="J159" s="5"/>
      <c r="K159" s="5"/>
      <c r="L159" s="5"/>
      <c r="M159" s="5"/>
      <c r="N159" s="186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</row>
    <row r="160" spans="1:68" x14ac:dyDescent="0.2">
      <c r="A160" s="195">
        <f>'Données projet'!A174</f>
        <v>0</v>
      </c>
      <c r="B160" s="196">
        <f>'Données projet'!D174</f>
        <v>0</v>
      </c>
      <c r="C160" s="210"/>
      <c r="D160" s="194">
        <f t="shared" si="12"/>
        <v>0</v>
      </c>
      <c r="E160" s="210"/>
      <c r="F160" s="221"/>
      <c r="G160" s="232"/>
      <c r="H160" s="25"/>
      <c r="I160" s="5"/>
      <c r="J160" s="5"/>
      <c r="K160" s="5"/>
      <c r="L160" s="5"/>
      <c r="M160" s="5"/>
      <c r="N160" s="186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</row>
    <row r="161" spans="1:68" x14ac:dyDescent="0.2">
      <c r="A161" s="195">
        <f>'Données projet'!A175</f>
        <v>0</v>
      </c>
      <c r="B161" s="196">
        <f>'Données projet'!D175</f>
        <v>0</v>
      </c>
      <c r="C161" s="210"/>
      <c r="D161" s="194">
        <f t="shared" si="12"/>
        <v>0</v>
      </c>
      <c r="E161" s="210"/>
      <c r="F161" s="221"/>
      <c r="G161" s="232"/>
      <c r="H161" s="25"/>
      <c r="I161" s="5"/>
      <c r="J161" s="5"/>
      <c r="K161" s="5"/>
      <c r="L161" s="5"/>
      <c r="M161" s="5"/>
      <c r="N161" s="186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</row>
    <row r="162" spans="1:68" x14ac:dyDescent="0.2">
      <c r="A162" s="195">
        <f>'Données projet'!A176</f>
        <v>0</v>
      </c>
      <c r="B162" s="196">
        <f>'Données projet'!D176</f>
        <v>0</v>
      </c>
      <c r="C162" s="210"/>
      <c r="D162" s="194">
        <f t="shared" si="12"/>
        <v>0</v>
      </c>
      <c r="E162" s="210"/>
      <c r="F162" s="221"/>
      <c r="G162" s="232"/>
      <c r="H162" s="25"/>
      <c r="I162" s="5"/>
      <c r="J162" s="5"/>
      <c r="K162" s="5"/>
      <c r="L162" s="5"/>
      <c r="M162" s="5"/>
      <c r="N162" s="186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</row>
    <row r="163" spans="1:68" x14ac:dyDescent="0.2">
      <c r="A163" s="195">
        <f>'Données projet'!A177</f>
        <v>0</v>
      </c>
      <c r="B163" s="196">
        <f>'Données projet'!D177</f>
        <v>0</v>
      </c>
      <c r="C163" s="210"/>
      <c r="D163" s="194">
        <f t="shared" si="12"/>
        <v>0</v>
      </c>
      <c r="E163" s="210"/>
      <c r="F163" s="221"/>
      <c r="G163" s="232"/>
      <c r="H163" s="25"/>
      <c r="I163" s="5"/>
      <c r="J163" s="5"/>
      <c r="K163" s="5"/>
      <c r="L163" s="5"/>
      <c r="M163" s="5"/>
      <c r="N163" s="186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</row>
    <row r="164" spans="1:68" x14ac:dyDescent="0.2">
      <c r="A164" s="195">
        <f>'Données projet'!A178</f>
        <v>0</v>
      </c>
      <c r="B164" s="196">
        <f>'Données projet'!D178</f>
        <v>0</v>
      </c>
      <c r="C164" s="210"/>
      <c r="D164" s="194">
        <f t="shared" si="12"/>
        <v>0</v>
      </c>
      <c r="E164" s="210"/>
      <c r="F164" s="221"/>
      <c r="G164" s="232"/>
      <c r="H164" s="25"/>
      <c r="I164" s="5"/>
      <c r="J164" s="5"/>
      <c r="K164" s="5"/>
      <c r="L164" s="5"/>
      <c r="M164" s="5"/>
      <c r="N164" s="186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</row>
    <row r="165" spans="1:68" x14ac:dyDescent="0.2">
      <c r="A165" s="195">
        <f>'Données projet'!A179</f>
        <v>0</v>
      </c>
      <c r="B165" s="196">
        <f>'Données projet'!D179</f>
        <v>0</v>
      </c>
      <c r="C165" s="210"/>
      <c r="D165" s="194">
        <f t="shared" si="12"/>
        <v>0</v>
      </c>
      <c r="E165" s="210"/>
      <c r="F165" s="221"/>
      <c r="G165" s="232"/>
      <c r="H165" s="25"/>
      <c r="I165" s="5"/>
      <c r="J165" s="5"/>
      <c r="K165" s="5"/>
      <c r="L165" s="5"/>
      <c r="M165" s="5"/>
      <c r="N165" s="186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</row>
    <row r="166" spans="1:68" x14ac:dyDescent="0.2">
      <c r="A166" s="195">
        <f>'Données projet'!A180</f>
        <v>0</v>
      </c>
      <c r="B166" s="196">
        <f>'Données projet'!D180</f>
        <v>0</v>
      </c>
      <c r="C166" s="210"/>
      <c r="D166" s="194">
        <f t="shared" si="12"/>
        <v>0</v>
      </c>
      <c r="E166" s="210"/>
      <c r="F166" s="221"/>
      <c r="G166" s="232"/>
      <c r="H166" s="25"/>
      <c r="I166" s="5"/>
      <c r="J166" s="5"/>
      <c r="K166" s="5"/>
      <c r="L166" s="5"/>
      <c r="M166" s="5"/>
      <c r="N166" s="186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</row>
    <row r="167" spans="1:68" x14ac:dyDescent="0.2">
      <c r="A167" s="195">
        <f>'Données projet'!A181</f>
        <v>0</v>
      </c>
      <c r="B167" s="196">
        <f>'Données projet'!D181</f>
        <v>0</v>
      </c>
      <c r="C167" s="210"/>
      <c r="D167" s="194">
        <f t="shared" si="12"/>
        <v>0</v>
      </c>
      <c r="E167" s="210"/>
      <c r="F167" s="221"/>
      <c r="G167" s="232"/>
      <c r="H167" s="25"/>
      <c r="I167" s="5"/>
      <c r="J167" s="5"/>
      <c r="K167" s="5"/>
      <c r="L167" s="5"/>
      <c r="M167" s="5"/>
      <c r="N167" s="186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</row>
    <row r="168" spans="1:68" x14ac:dyDescent="0.2">
      <c r="A168" s="195">
        <f>'Données projet'!A182</f>
        <v>0</v>
      </c>
      <c r="B168" s="196">
        <f>'Données projet'!D182</f>
        <v>0</v>
      </c>
      <c r="C168" s="210"/>
      <c r="D168" s="194">
        <f t="shared" si="12"/>
        <v>0</v>
      </c>
      <c r="E168" s="210"/>
      <c r="F168" s="221"/>
      <c r="G168" s="232"/>
      <c r="H168" s="25"/>
      <c r="I168" s="5"/>
      <c r="J168" s="5"/>
      <c r="K168" s="5"/>
      <c r="L168" s="5"/>
      <c r="M168" s="5"/>
      <c r="N168" s="186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</row>
    <row r="169" spans="1:68" x14ac:dyDescent="0.2">
      <c r="A169" s="195">
        <f>'Données projet'!A183</f>
        <v>0</v>
      </c>
      <c r="B169" s="196">
        <f>'Données projet'!D183</f>
        <v>0</v>
      </c>
      <c r="C169" s="210"/>
      <c r="D169" s="194">
        <f t="shared" si="12"/>
        <v>0</v>
      </c>
      <c r="E169" s="210"/>
      <c r="F169" s="221"/>
      <c r="G169" s="232"/>
      <c r="H169" s="25"/>
      <c r="I169" s="5"/>
      <c r="J169" s="5"/>
      <c r="K169" s="5"/>
      <c r="L169" s="5"/>
      <c r="M169" s="5"/>
      <c r="N169" s="186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</row>
    <row r="170" spans="1:68" x14ac:dyDescent="0.2">
      <c r="A170" s="195">
        <f>'Données projet'!A184</f>
        <v>0</v>
      </c>
      <c r="B170" s="196">
        <f>'Données projet'!D184</f>
        <v>0</v>
      </c>
      <c r="C170" s="210"/>
      <c r="D170" s="194">
        <f t="shared" si="12"/>
        <v>0</v>
      </c>
      <c r="E170" s="210"/>
      <c r="F170" s="221"/>
      <c r="G170" s="232"/>
      <c r="H170" s="25"/>
      <c r="I170" s="5"/>
      <c r="J170" s="5"/>
      <c r="K170" s="5"/>
      <c r="L170" s="5"/>
      <c r="M170" s="5"/>
      <c r="N170" s="186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</row>
    <row r="171" spans="1:68" x14ac:dyDescent="0.2">
      <c r="A171" s="195">
        <f>'Données projet'!A185</f>
        <v>0</v>
      </c>
      <c r="B171" s="196">
        <f>'Données projet'!D185</f>
        <v>0</v>
      </c>
      <c r="C171" s="210"/>
      <c r="D171" s="194">
        <f t="shared" si="12"/>
        <v>0</v>
      </c>
      <c r="E171" s="210"/>
      <c r="F171" s="221"/>
      <c r="G171" s="232"/>
      <c r="H171" s="25"/>
      <c r="I171" s="5"/>
      <c r="J171" s="5"/>
      <c r="K171" s="5"/>
      <c r="L171" s="5"/>
      <c r="M171" s="5"/>
      <c r="N171" s="186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</row>
    <row r="172" spans="1:68" x14ac:dyDescent="0.2">
      <c r="A172" s="5"/>
      <c r="B172" s="5"/>
      <c r="C172" s="5"/>
      <c r="D172" s="5"/>
      <c r="E172" s="5"/>
      <c r="F172" s="218"/>
      <c r="G172" s="230"/>
      <c r="H172" s="25"/>
      <c r="I172" s="5"/>
      <c r="J172" s="5"/>
      <c r="K172" s="5"/>
      <c r="L172" s="5"/>
      <c r="M172" s="5"/>
      <c r="N172" s="186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</row>
    <row r="173" spans="1:68" x14ac:dyDescent="0.2">
      <c r="A173" s="5"/>
      <c r="B173" s="5"/>
      <c r="C173" s="5"/>
      <c r="D173" s="5"/>
      <c r="E173" s="5"/>
      <c r="F173" s="218"/>
      <c r="G173" s="230"/>
      <c r="H173" s="25"/>
      <c r="I173" s="5"/>
      <c r="J173" s="5"/>
      <c r="K173" s="5"/>
      <c r="L173" s="5"/>
      <c r="M173" s="5"/>
      <c r="N173" s="186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</row>
    <row r="174" spans="1:68" x14ac:dyDescent="0.2">
      <c r="A174" s="49" t="s">
        <v>171</v>
      </c>
      <c r="B174" s="189" t="str">
        <f>IF('Données projet'!$B$15="","",'Données projet'!$B$15)</f>
        <v/>
      </c>
      <c r="C174" s="5"/>
      <c r="D174" s="5"/>
      <c r="E174" s="5"/>
      <c r="F174" s="218"/>
      <c r="G174" s="230"/>
      <c r="H174" s="25"/>
      <c r="I174" s="5"/>
      <c r="J174" s="5"/>
      <c r="K174" s="5"/>
      <c r="L174" s="5"/>
      <c r="M174" s="5"/>
      <c r="N174" s="186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</row>
    <row r="175" spans="1:68" x14ac:dyDescent="0.2">
      <c r="A175" s="49"/>
      <c r="B175" s="5"/>
      <c r="C175" s="5"/>
      <c r="D175" s="5"/>
      <c r="E175" s="5"/>
      <c r="F175" s="218"/>
      <c r="G175" s="230"/>
      <c r="H175" s="25"/>
      <c r="I175" s="5"/>
      <c r="J175" s="5"/>
      <c r="K175" s="5"/>
      <c r="L175" s="5"/>
      <c r="M175" s="5"/>
      <c r="N175" s="186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</row>
    <row r="176" spans="1:68" ht="16" x14ac:dyDescent="0.2">
      <c r="A176" s="188" t="s">
        <v>180</v>
      </c>
      <c r="B176" s="51" t="s">
        <v>256</v>
      </c>
      <c r="C176" s="51" t="s">
        <v>255</v>
      </c>
      <c r="D176" s="188" t="s">
        <v>252</v>
      </c>
      <c r="E176" s="188" t="s">
        <v>288</v>
      </c>
      <c r="F176" s="220"/>
      <c r="G176" s="231"/>
      <c r="H176" s="25"/>
      <c r="I176" s="5"/>
      <c r="J176" s="5"/>
      <c r="K176" s="5"/>
      <c r="L176" s="5"/>
      <c r="M176" s="5"/>
      <c r="N176" s="186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</row>
    <row r="177" spans="1:68" ht="16" x14ac:dyDescent="0.2">
      <c r="A177" s="214">
        <v>0</v>
      </c>
      <c r="B177" s="217" t="s">
        <v>132</v>
      </c>
      <c r="C177" s="216" t="s">
        <v>132</v>
      </c>
      <c r="D177" s="215" t="s">
        <v>132</v>
      </c>
      <c r="E177" s="210"/>
      <c r="F177" s="220"/>
      <c r="G177" s="231"/>
      <c r="H177" s="25"/>
      <c r="I177" s="5"/>
      <c r="J177" s="5"/>
      <c r="K177" s="5"/>
      <c r="L177" s="5"/>
      <c r="M177" s="5"/>
      <c r="N177" s="186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</row>
    <row r="178" spans="1:68" x14ac:dyDescent="0.2">
      <c r="A178" s="195">
        <f>'Données projet'!A192</f>
        <v>0</v>
      </c>
      <c r="B178" s="196">
        <f>'Données projet'!D192</f>
        <v>0</v>
      </c>
      <c r="C178" s="210"/>
      <c r="D178" s="194">
        <f>B178*C178</f>
        <v>0</v>
      </c>
      <c r="E178" s="210"/>
      <c r="F178" s="221"/>
      <c r="G178" s="232"/>
      <c r="H178" s="25"/>
      <c r="I178" s="5"/>
      <c r="J178" s="5"/>
      <c r="K178" s="5"/>
      <c r="L178" s="5"/>
      <c r="M178" s="5"/>
      <c r="N178" s="186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</row>
    <row r="179" spans="1:68" x14ac:dyDescent="0.2">
      <c r="A179" s="195">
        <f>'Données projet'!A193</f>
        <v>0</v>
      </c>
      <c r="B179" s="196">
        <f>'Données projet'!D193</f>
        <v>0</v>
      </c>
      <c r="C179" s="210"/>
      <c r="D179" s="194">
        <f t="shared" ref="D179:D197" si="13">B179*C179</f>
        <v>0</v>
      </c>
      <c r="E179" s="210"/>
      <c r="F179" s="221"/>
      <c r="G179" s="232"/>
      <c r="H179" s="25"/>
      <c r="I179" s="5"/>
      <c r="J179" s="5"/>
      <c r="K179" s="5"/>
      <c r="L179" s="5"/>
      <c r="M179" s="5"/>
      <c r="N179" s="186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</row>
    <row r="180" spans="1:68" x14ac:dyDescent="0.2">
      <c r="A180" s="195">
        <f>'Données projet'!A194</f>
        <v>0</v>
      </c>
      <c r="B180" s="196">
        <f>'Données projet'!D194</f>
        <v>0</v>
      </c>
      <c r="C180" s="210"/>
      <c r="D180" s="194">
        <f t="shared" si="13"/>
        <v>0</v>
      </c>
      <c r="E180" s="210"/>
      <c r="F180" s="221"/>
      <c r="G180" s="232"/>
      <c r="H180" s="25"/>
      <c r="I180" s="5"/>
      <c r="J180" s="5"/>
      <c r="K180" s="5"/>
      <c r="L180" s="5"/>
      <c r="M180" s="5"/>
      <c r="N180" s="186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</row>
    <row r="181" spans="1:68" x14ac:dyDescent="0.2">
      <c r="A181" s="195">
        <f>'Données projet'!A195</f>
        <v>0</v>
      </c>
      <c r="B181" s="196">
        <f>'Données projet'!D195</f>
        <v>0</v>
      </c>
      <c r="C181" s="210"/>
      <c r="D181" s="194">
        <f t="shared" si="13"/>
        <v>0</v>
      </c>
      <c r="E181" s="210"/>
      <c r="F181" s="221"/>
      <c r="G181" s="232"/>
      <c r="H181" s="25"/>
      <c r="I181" s="5"/>
      <c r="J181" s="5"/>
      <c r="K181" s="5"/>
      <c r="L181" s="5"/>
      <c r="M181" s="5"/>
      <c r="N181" s="186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</row>
    <row r="182" spans="1:68" x14ac:dyDescent="0.2">
      <c r="A182" s="195">
        <f>'Données projet'!A196</f>
        <v>0</v>
      </c>
      <c r="B182" s="196">
        <f>'Données projet'!D196</f>
        <v>0</v>
      </c>
      <c r="C182" s="210"/>
      <c r="D182" s="194">
        <f t="shared" si="13"/>
        <v>0</v>
      </c>
      <c r="E182" s="210"/>
      <c r="F182" s="221"/>
      <c r="G182" s="232"/>
      <c r="H182" s="25"/>
      <c r="I182" s="5"/>
      <c r="J182" s="5"/>
      <c r="K182" s="5"/>
      <c r="L182" s="5"/>
      <c r="M182" s="5"/>
      <c r="N182" s="186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</row>
    <row r="183" spans="1:68" x14ac:dyDescent="0.2">
      <c r="A183" s="195">
        <f>'Données projet'!A197</f>
        <v>0</v>
      </c>
      <c r="B183" s="196">
        <f>'Données projet'!D197</f>
        <v>0</v>
      </c>
      <c r="C183" s="210"/>
      <c r="D183" s="194">
        <f t="shared" si="13"/>
        <v>0</v>
      </c>
      <c r="E183" s="210"/>
      <c r="F183" s="221"/>
      <c r="G183" s="232"/>
      <c r="H183" s="25"/>
      <c r="I183" s="5"/>
      <c r="J183" s="5"/>
      <c r="K183" s="5"/>
      <c r="L183" s="5"/>
      <c r="M183" s="5"/>
      <c r="N183" s="186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</row>
    <row r="184" spans="1:68" x14ac:dyDescent="0.2">
      <c r="A184" s="195">
        <f>'Données projet'!A198</f>
        <v>0</v>
      </c>
      <c r="B184" s="196">
        <f>'Données projet'!D198</f>
        <v>0</v>
      </c>
      <c r="C184" s="210"/>
      <c r="D184" s="194">
        <f t="shared" si="13"/>
        <v>0</v>
      </c>
      <c r="E184" s="210"/>
      <c r="F184" s="221"/>
      <c r="G184" s="232"/>
      <c r="H184" s="25"/>
      <c r="I184" s="5"/>
      <c r="J184" s="5"/>
      <c r="K184" s="5"/>
      <c r="L184" s="5"/>
      <c r="M184" s="5"/>
      <c r="N184" s="186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</row>
    <row r="185" spans="1:68" x14ac:dyDescent="0.2">
      <c r="A185" s="195">
        <f>'Données projet'!A199</f>
        <v>0</v>
      </c>
      <c r="B185" s="196">
        <f>'Données projet'!D199</f>
        <v>0</v>
      </c>
      <c r="C185" s="210"/>
      <c r="D185" s="194">
        <f t="shared" si="13"/>
        <v>0</v>
      </c>
      <c r="E185" s="210"/>
      <c r="F185" s="221"/>
      <c r="G185" s="232"/>
      <c r="H185" s="25"/>
      <c r="I185" s="5"/>
      <c r="J185" s="5"/>
      <c r="K185" s="5"/>
      <c r="L185" s="5"/>
      <c r="M185" s="5"/>
      <c r="N185" s="186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</row>
    <row r="186" spans="1:68" x14ac:dyDescent="0.2">
      <c r="A186" s="195">
        <f>'Données projet'!A200</f>
        <v>0</v>
      </c>
      <c r="B186" s="196">
        <f>'Données projet'!D200</f>
        <v>0</v>
      </c>
      <c r="C186" s="210"/>
      <c r="D186" s="194">
        <f t="shared" si="13"/>
        <v>0</v>
      </c>
      <c r="E186" s="210"/>
      <c r="F186" s="221"/>
      <c r="G186" s="232"/>
      <c r="H186" s="25"/>
      <c r="I186" s="5"/>
      <c r="J186" s="5"/>
      <c r="K186" s="5"/>
      <c r="L186" s="5"/>
      <c r="M186" s="5"/>
      <c r="N186" s="186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</row>
    <row r="187" spans="1:68" x14ac:dyDescent="0.2">
      <c r="A187" s="195">
        <f>'Données projet'!A201</f>
        <v>0</v>
      </c>
      <c r="B187" s="196">
        <f>'Données projet'!D201</f>
        <v>0</v>
      </c>
      <c r="C187" s="210"/>
      <c r="D187" s="194">
        <f t="shared" si="13"/>
        <v>0</v>
      </c>
      <c r="E187" s="210"/>
      <c r="F187" s="221"/>
      <c r="G187" s="232"/>
      <c r="H187" s="25"/>
      <c r="I187" s="5"/>
      <c r="J187" s="5"/>
      <c r="K187" s="5"/>
      <c r="L187" s="5"/>
      <c r="M187" s="5"/>
      <c r="N187" s="186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</row>
    <row r="188" spans="1:68" x14ac:dyDescent="0.2">
      <c r="A188" s="195">
        <f>'Données projet'!A202</f>
        <v>0</v>
      </c>
      <c r="B188" s="196">
        <f>'Données projet'!D202</f>
        <v>0</v>
      </c>
      <c r="C188" s="210"/>
      <c r="D188" s="194">
        <f t="shared" si="13"/>
        <v>0</v>
      </c>
      <c r="E188" s="210"/>
      <c r="F188" s="221"/>
      <c r="G188" s="232"/>
      <c r="H188" s="25"/>
      <c r="I188" s="5"/>
      <c r="J188" s="5"/>
      <c r="K188" s="5"/>
      <c r="L188" s="5"/>
      <c r="M188" s="5"/>
      <c r="N188" s="186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</row>
    <row r="189" spans="1:68" x14ac:dyDescent="0.2">
      <c r="A189" s="195">
        <f>'Données projet'!A203</f>
        <v>0</v>
      </c>
      <c r="B189" s="196">
        <f>'Données projet'!D203</f>
        <v>0</v>
      </c>
      <c r="C189" s="210"/>
      <c r="D189" s="194">
        <f t="shared" si="13"/>
        <v>0</v>
      </c>
      <c r="E189" s="210"/>
      <c r="F189" s="221"/>
      <c r="G189" s="232"/>
      <c r="H189" s="25"/>
      <c r="I189" s="5"/>
      <c r="J189" s="5"/>
      <c r="K189" s="5"/>
      <c r="L189" s="5"/>
      <c r="M189" s="5"/>
      <c r="N189" s="186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</row>
    <row r="190" spans="1:68" x14ac:dyDescent="0.2">
      <c r="A190" s="195">
        <f>'Données projet'!A204</f>
        <v>0</v>
      </c>
      <c r="B190" s="196">
        <f>'Données projet'!D204</f>
        <v>0</v>
      </c>
      <c r="C190" s="210"/>
      <c r="D190" s="194">
        <f t="shared" si="13"/>
        <v>0</v>
      </c>
      <c r="E190" s="210"/>
      <c r="F190" s="221"/>
      <c r="G190" s="232"/>
      <c r="H190" s="25"/>
      <c r="I190" s="5"/>
      <c r="J190" s="5"/>
      <c r="K190" s="5"/>
      <c r="L190" s="5"/>
      <c r="M190" s="5"/>
      <c r="N190" s="186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</row>
    <row r="191" spans="1:68" x14ac:dyDescent="0.2">
      <c r="A191" s="195">
        <f>'Données projet'!A205</f>
        <v>0</v>
      </c>
      <c r="B191" s="196">
        <f>'Données projet'!D205</f>
        <v>0</v>
      </c>
      <c r="C191" s="210"/>
      <c r="D191" s="194">
        <f t="shared" si="13"/>
        <v>0</v>
      </c>
      <c r="E191" s="210"/>
      <c r="F191" s="221"/>
      <c r="G191" s="232"/>
      <c r="H191" s="25"/>
      <c r="I191" s="5"/>
      <c r="J191" s="5"/>
      <c r="K191" s="5"/>
      <c r="L191" s="5"/>
      <c r="M191" s="5"/>
      <c r="N191" s="186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</row>
    <row r="192" spans="1:68" x14ac:dyDescent="0.2">
      <c r="A192" s="195">
        <f>'Données projet'!A206</f>
        <v>0</v>
      </c>
      <c r="B192" s="196">
        <f>'Données projet'!D206</f>
        <v>0</v>
      </c>
      <c r="C192" s="210"/>
      <c r="D192" s="194">
        <f t="shared" si="13"/>
        <v>0</v>
      </c>
      <c r="E192" s="210"/>
      <c r="F192" s="221"/>
      <c r="G192" s="232"/>
      <c r="H192" s="25"/>
      <c r="I192" s="5"/>
      <c r="J192" s="5"/>
      <c r="K192" s="5"/>
      <c r="L192" s="5"/>
      <c r="M192" s="5"/>
      <c r="N192" s="186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</row>
    <row r="193" spans="1:68" x14ac:dyDescent="0.2">
      <c r="A193" s="195">
        <f>'Données projet'!A207</f>
        <v>0</v>
      </c>
      <c r="B193" s="196">
        <f>'Données projet'!D207</f>
        <v>0</v>
      </c>
      <c r="C193" s="210"/>
      <c r="D193" s="194">
        <f t="shared" si="13"/>
        <v>0</v>
      </c>
      <c r="E193" s="210"/>
      <c r="F193" s="221"/>
      <c r="G193" s="232"/>
      <c r="H193" s="25"/>
      <c r="I193" s="5"/>
      <c r="J193" s="5"/>
      <c r="K193" s="5"/>
      <c r="L193" s="5"/>
      <c r="M193" s="5"/>
      <c r="N193" s="186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</row>
    <row r="194" spans="1:68" x14ac:dyDescent="0.2">
      <c r="A194" s="195">
        <f>'Données projet'!A208</f>
        <v>0</v>
      </c>
      <c r="B194" s="196">
        <f>'Données projet'!D208</f>
        <v>0</v>
      </c>
      <c r="C194" s="210"/>
      <c r="D194" s="194">
        <f t="shared" si="13"/>
        <v>0</v>
      </c>
      <c r="E194" s="210"/>
      <c r="F194" s="221"/>
      <c r="G194" s="232"/>
      <c r="H194" s="25"/>
      <c r="I194" s="5"/>
      <c r="J194" s="5"/>
      <c r="K194" s="5"/>
      <c r="L194" s="5"/>
      <c r="M194" s="5"/>
      <c r="N194" s="186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</row>
    <row r="195" spans="1:68" x14ac:dyDescent="0.2">
      <c r="A195" s="195">
        <f>'Données projet'!A209</f>
        <v>0</v>
      </c>
      <c r="B195" s="196">
        <f>'Données projet'!D209</f>
        <v>0</v>
      </c>
      <c r="C195" s="210"/>
      <c r="D195" s="194">
        <f t="shared" si="13"/>
        <v>0</v>
      </c>
      <c r="E195" s="210"/>
      <c r="F195" s="221"/>
      <c r="G195" s="232"/>
      <c r="H195" s="25"/>
      <c r="I195" s="5"/>
      <c r="J195" s="5"/>
      <c r="K195" s="5"/>
      <c r="L195" s="5"/>
      <c r="M195" s="5"/>
      <c r="N195" s="186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</row>
    <row r="196" spans="1:68" x14ac:dyDescent="0.2">
      <c r="A196" s="195">
        <f>'Données projet'!A210</f>
        <v>0</v>
      </c>
      <c r="B196" s="196">
        <f>'Données projet'!D210</f>
        <v>0</v>
      </c>
      <c r="C196" s="210"/>
      <c r="D196" s="194">
        <f t="shared" si="13"/>
        <v>0</v>
      </c>
      <c r="E196" s="210"/>
      <c r="F196" s="221"/>
      <c r="G196" s="232"/>
      <c r="H196" s="25"/>
      <c r="I196" s="5"/>
      <c r="J196" s="5"/>
      <c r="K196" s="5"/>
      <c r="L196" s="5"/>
      <c r="M196" s="5"/>
      <c r="N196" s="186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</row>
    <row r="197" spans="1:68" x14ac:dyDescent="0.2">
      <c r="A197" s="195">
        <f>'Données projet'!A211</f>
        <v>0</v>
      </c>
      <c r="B197" s="196">
        <f>'Données projet'!D211</f>
        <v>0</v>
      </c>
      <c r="C197" s="210"/>
      <c r="D197" s="194">
        <f t="shared" si="13"/>
        <v>0</v>
      </c>
      <c r="E197" s="210"/>
      <c r="F197" s="221"/>
      <c r="G197" s="232"/>
      <c r="H197" s="25"/>
      <c r="I197" s="5"/>
      <c r="J197" s="5"/>
      <c r="K197" s="5"/>
      <c r="L197" s="5"/>
      <c r="M197" s="5"/>
      <c r="N197" s="186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</row>
    <row r="198" spans="1:68" x14ac:dyDescent="0.2">
      <c r="A198" s="5"/>
      <c r="B198" s="5"/>
      <c r="C198" s="5"/>
      <c r="D198" s="5"/>
      <c r="E198" s="5"/>
      <c r="F198" s="218"/>
      <c r="G198" s="230"/>
      <c r="H198" s="25"/>
      <c r="I198" s="5"/>
      <c r="J198" s="5"/>
      <c r="K198" s="5"/>
      <c r="L198" s="5"/>
      <c r="M198" s="5"/>
      <c r="N198" s="186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</row>
    <row r="199" spans="1:68" x14ac:dyDescent="0.2">
      <c r="A199" s="5"/>
      <c r="B199" s="5"/>
      <c r="C199" s="5"/>
      <c r="D199" s="5"/>
      <c r="E199" s="5"/>
      <c r="F199" s="218"/>
      <c r="G199" s="230"/>
      <c r="H199" s="25"/>
      <c r="I199" s="5"/>
      <c r="J199" s="5"/>
      <c r="K199" s="5"/>
      <c r="L199" s="5"/>
      <c r="M199" s="5"/>
      <c r="N199" s="186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</row>
    <row r="200" spans="1:68" x14ac:dyDescent="0.2">
      <c r="A200" s="49" t="s">
        <v>172</v>
      </c>
      <c r="B200" s="189" t="str">
        <f>IF('Données projet'!$B$16="","",'Données projet'!$B$16)</f>
        <v/>
      </c>
      <c r="C200" s="5"/>
      <c r="D200" s="5"/>
      <c r="E200" s="5"/>
      <c r="F200" s="218"/>
      <c r="G200" s="230"/>
      <c r="H200" s="25"/>
      <c r="I200" s="5"/>
      <c r="J200" s="5"/>
      <c r="K200" s="5"/>
      <c r="L200" s="5"/>
      <c r="M200" s="5"/>
      <c r="N200" s="186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</row>
    <row r="201" spans="1:68" x14ac:dyDescent="0.2">
      <c r="A201" s="49"/>
      <c r="B201" s="5"/>
      <c r="C201" s="5"/>
      <c r="D201" s="5"/>
      <c r="E201" s="5"/>
      <c r="F201" s="218"/>
      <c r="G201" s="230"/>
      <c r="H201" s="25"/>
      <c r="I201" s="5"/>
      <c r="J201" s="5"/>
      <c r="K201" s="5"/>
      <c r="L201" s="5"/>
      <c r="M201" s="5"/>
      <c r="N201" s="186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</row>
    <row r="202" spans="1:68" ht="16" x14ac:dyDescent="0.2">
      <c r="A202" s="188" t="s">
        <v>180</v>
      </c>
      <c r="B202" s="51" t="s">
        <v>256</v>
      </c>
      <c r="C202" s="51" t="s">
        <v>255</v>
      </c>
      <c r="D202" s="188" t="s">
        <v>252</v>
      </c>
      <c r="E202" s="188" t="s">
        <v>288</v>
      </c>
      <c r="F202" s="220"/>
      <c r="G202" s="231"/>
      <c r="H202" s="25"/>
      <c r="I202" s="5"/>
      <c r="J202" s="5"/>
      <c r="K202" s="5"/>
      <c r="L202" s="5"/>
      <c r="M202" s="5"/>
      <c r="N202" s="186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</row>
    <row r="203" spans="1:68" ht="16" x14ac:dyDescent="0.2">
      <c r="A203" s="214">
        <v>0</v>
      </c>
      <c r="B203" s="217" t="s">
        <v>132</v>
      </c>
      <c r="C203" s="216" t="s">
        <v>132</v>
      </c>
      <c r="D203" s="215" t="s">
        <v>132</v>
      </c>
      <c r="E203" s="210"/>
      <c r="F203" s="220"/>
      <c r="G203" s="231"/>
      <c r="H203" s="25"/>
      <c r="I203" s="5"/>
      <c r="J203" s="5"/>
      <c r="K203" s="5"/>
      <c r="L203" s="5"/>
      <c r="M203" s="5"/>
      <c r="N203" s="186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</row>
    <row r="204" spans="1:68" x14ac:dyDescent="0.2">
      <c r="A204" s="195">
        <f>'Données projet'!A218</f>
        <v>0</v>
      </c>
      <c r="B204" s="196">
        <f>'Données projet'!D218</f>
        <v>0</v>
      </c>
      <c r="C204" s="210"/>
      <c r="D204" s="194">
        <f>B204*C204</f>
        <v>0</v>
      </c>
      <c r="E204" s="210"/>
      <c r="F204" s="221"/>
      <c r="G204" s="232"/>
      <c r="H204" s="25"/>
      <c r="I204" s="5"/>
      <c r="J204" s="5"/>
      <c r="K204" s="5"/>
      <c r="L204" s="5"/>
      <c r="M204" s="5"/>
      <c r="N204" s="186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</row>
    <row r="205" spans="1:68" x14ac:dyDescent="0.2">
      <c r="A205" s="195">
        <f>'Données projet'!A219</f>
        <v>0</v>
      </c>
      <c r="B205" s="196">
        <f>'Données projet'!D219</f>
        <v>0</v>
      </c>
      <c r="C205" s="210"/>
      <c r="D205" s="194">
        <f t="shared" ref="D205:D223" si="14">B205*C205</f>
        <v>0</v>
      </c>
      <c r="E205" s="210"/>
      <c r="F205" s="221"/>
      <c r="G205" s="232"/>
      <c r="H205" s="25"/>
      <c r="I205" s="5"/>
      <c r="J205" s="5"/>
      <c r="K205" s="5"/>
      <c r="L205" s="5"/>
      <c r="M205" s="5"/>
      <c r="N205" s="186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</row>
    <row r="206" spans="1:68" x14ac:dyDescent="0.2">
      <c r="A206" s="195">
        <f>'Données projet'!A220</f>
        <v>0</v>
      </c>
      <c r="B206" s="196">
        <f>'Données projet'!D220</f>
        <v>0</v>
      </c>
      <c r="C206" s="210"/>
      <c r="D206" s="194">
        <f t="shared" si="14"/>
        <v>0</v>
      </c>
      <c r="E206" s="210"/>
      <c r="F206" s="221"/>
      <c r="G206" s="232"/>
      <c r="H206" s="25"/>
      <c r="I206" s="5"/>
      <c r="J206" s="5"/>
      <c r="K206" s="5"/>
      <c r="L206" s="5"/>
      <c r="M206" s="5"/>
      <c r="N206" s="186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</row>
    <row r="207" spans="1:68" x14ac:dyDescent="0.2">
      <c r="A207" s="195">
        <f>'Données projet'!A221</f>
        <v>0</v>
      </c>
      <c r="B207" s="196">
        <f>'Données projet'!D221</f>
        <v>0</v>
      </c>
      <c r="C207" s="210"/>
      <c r="D207" s="194">
        <f t="shared" si="14"/>
        <v>0</v>
      </c>
      <c r="E207" s="210"/>
      <c r="F207" s="221"/>
      <c r="G207" s="232"/>
      <c r="H207" s="25"/>
      <c r="I207" s="5"/>
      <c r="J207" s="5"/>
      <c r="K207" s="5"/>
      <c r="L207" s="5"/>
      <c r="M207" s="5"/>
      <c r="N207" s="186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</row>
    <row r="208" spans="1:68" x14ac:dyDescent="0.2">
      <c r="A208" s="195">
        <f>'Données projet'!A222</f>
        <v>0</v>
      </c>
      <c r="B208" s="196">
        <f>'Données projet'!D222</f>
        <v>0</v>
      </c>
      <c r="C208" s="210"/>
      <c r="D208" s="194">
        <f t="shared" si="14"/>
        <v>0</v>
      </c>
      <c r="E208" s="210"/>
      <c r="F208" s="221"/>
      <c r="G208" s="232"/>
      <c r="H208" s="25"/>
      <c r="I208" s="5"/>
      <c r="J208" s="5"/>
      <c r="K208" s="5"/>
      <c r="L208" s="5"/>
      <c r="M208" s="5"/>
      <c r="N208" s="186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</row>
    <row r="209" spans="1:68" x14ac:dyDescent="0.2">
      <c r="A209" s="195">
        <f>'Données projet'!A223</f>
        <v>0</v>
      </c>
      <c r="B209" s="196">
        <f>'Données projet'!D223</f>
        <v>0</v>
      </c>
      <c r="C209" s="210"/>
      <c r="D209" s="194">
        <f t="shared" si="14"/>
        <v>0</v>
      </c>
      <c r="E209" s="210"/>
      <c r="F209" s="221"/>
      <c r="G209" s="232"/>
      <c r="H209" s="25"/>
      <c r="I209" s="5"/>
      <c r="J209" s="5"/>
      <c r="K209" s="5"/>
      <c r="L209" s="5"/>
      <c r="M209" s="5"/>
      <c r="N209" s="186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</row>
    <row r="210" spans="1:68" x14ac:dyDescent="0.2">
      <c r="A210" s="195">
        <f>'Données projet'!A224</f>
        <v>0</v>
      </c>
      <c r="B210" s="196">
        <f>'Données projet'!D224</f>
        <v>0</v>
      </c>
      <c r="C210" s="210"/>
      <c r="D210" s="194">
        <f t="shared" si="14"/>
        <v>0</v>
      </c>
      <c r="E210" s="210"/>
      <c r="F210" s="221"/>
      <c r="G210" s="232"/>
      <c r="H210" s="25"/>
      <c r="I210" s="5"/>
      <c r="J210" s="5"/>
      <c r="K210" s="5"/>
      <c r="L210" s="5"/>
      <c r="M210" s="5"/>
      <c r="N210" s="186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</row>
    <row r="211" spans="1:68" x14ac:dyDescent="0.2">
      <c r="A211" s="195">
        <f>'Données projet'!A225</f>
        <v>0</v>
      </c>
      <c r="B211" s="196">
        <f>'Données projet'!D225</f>
        <v>0</v>
      </c>
      <c r="C211" s="210"/>
      <c r="D211" s="194">
        <f t="shared" si="14"/>
        <v>0</v>
      </c>
      <c r="E211" s="210"/>
      <c r="F211" s="221"/>
      <c r="G211" s="232"/>
      <c r="H211" s="25"/>
      <c r="I211" s="5"/>
      <c r="J211" s="5"/>
      <c r="K211" s="5"/>
      <c r="L211" s="5"/>
      <c r="M211" s="5"/>
      <c r="N211" s="186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</row>
    <row r="212" spans="1:68" x14ac:dyDescent="0.2">
      <c r="A212" s="195">
        <f>'Données projet'!A226</f>
        <v>0</v>
      </c>
      <c r="B212" s="196">
        <f>'Données projet'!D226</f>
        <v>0</v>
      </c>
      <c r="C212" s="210"/>
      <c r="D212" s="194">
        <f t="shared" si="14"/>
        <v>0</v>
      </c>
      <c r="E212" s="210"/>
      <c r="F212" s="221"/>
      <c r="G212" s="232"/>
      <c r="H212" s="25"/>
      <c r="I212" s="5"/>
      <c r="J212" s="5"/>
      <c r="K212" s="5"/>
      <c r="L212" s="5"/>
      <c r="M212" s="5"/>
      <c r="N212" s="186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</row>
    <row r="213" spans="1:68" x14ac:dyDescent="0.2">
      <c r="A213" s="195">
        <f>'Données projet'!A227</f>
        <v>0</v>
      </c>
      <c r="B213" s="196">
        <f>'Données projet'!D227</f>
        <v>0</v>
      </c>
      <c r="C213" s="210"/>
      <c r="D213" s="194">
        <f t="shared" si="14"/>
        <v>0</v>
      </c>
      <c r="E213" s="210"/>
      <c r="F213" s="221"/>
      <c r="G213" s="232"/>
      <c r="H213" s="25"/>
      <c r="I213" s="5"/>
      <c r="J213" s="5"/>
      <c r="K213" s="5"/>
      <c r="L213" s="5"/>
      <c r="M213" s="5"/>
      <c r="N213" s="186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</row>
    <row r="214" spans="1:68" x14ac:dyDescent="0.2">
      <c r="A214" s="195">
        <f>'Données projet'!A228</f>
        <v>0</v>
      </c>
      <c r="B214" s="196">
        <f>'Données projet'!D228</f>
        <v>0</v>
      </c>
      <c r="C214" s="210"/>
      <c r="D214" s="194">
        <f t="shared" si="14"/>
        <v>0</v>
      </c>
      <c r="E214" s="210"/>
      <c r="F214" s="221"/>
      <c r="G214" s="232"/>
      <c r="H214" s="25"/>
      <c r="I214" s="5"/>
      <c r="J214" s="5"/>
      <c r="K214" s="5"/>
      <c r="L214" s="5"/>
      <c r="M214" s="5"/>
      <c r="N214" s="186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</row>
    <row r="215" spans="1:68" x14ac:dyDescent="0.2">
      <c r="A215" s="195">
        <f>'Données projet'!A229</f>
        <v>0</v>
      </c>
      <c r="B215" s="196">
        <f>'Données projet'!D229</f>
        <v>0</v>
      </c>
      <c r="C215" s="210"/>
      <c r="D215" s="194">
        <f t="shared" si="14"/>
        <v>0</v>
      </c>
      <c r="E215" s="210"/>
      <c r="F215" s="221"/>
      <c r="G215" s="232"/>
      <c r="H215" s="25"/>
      <c r="I215" s="5"/>
      <c r="J215" s="5"/>
      <c r="K215" s="5"/>
      <c r="L215" s="5"/>
      <c r="M215" s="5"/>
      <c r="N215" s="186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</row>
    <row r="216" spans="1:68" x14ac:dyDescent="0.2">
      <c r="A216" s="195">
        <f>'Données projet'!A230</f>
        <v>0</v>
      </c>
      <c r="B216" s="196">
        <f>'Données projet'!D230</f>
        <v>0</v>
      </c>
      <c r="C216" s="210"/>
      <c r="D216" s="194">
        <f t="shared" si="14"/>
        <v>0</v>
      </c>
      <c r="E216" s="210"/>
      <c r="F216" s="221"/>
      <c r="G216" s="232"/>
      <c r="H216" s="25"/>
      <c r="I216" s="5"/>
      <c r="J216" s="5"/>
      <c r="K216" s="5"/>
      <c r="L216" s="5"/>
      <c r="M216" s="5"/>
      <c r="N216" s="186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</row>
    <row r="217" spans="1:68" x14ac:dyDescent="0.2">
      <c r="A217" s="195">
        <f>'Données projet'!A231</f>
        <v>0</v>
      </c>
      <c r="B217" s="196">
        <f>'Données projet'!D231</f>
        <v>0</v>
      </c>
      <c r="C217" s="210"/>
      <c r="D217" s="194">
        <f t="shared" si="14"/>
        <v>0</v>
      </c>
      <c r="E217" s="210"/>
      <c r="F217" s="221"/>
      <c r="G217" s="232"/>
      <c r="H217" s="25"/>
      <c r="I217" s="5"/>
      <c r="J217" s="5"/>
      <c r="K217" s="5"/>
      <c r="L217" s="5"/>
      <c r="M217" s="5"/>
      <c r="N217" s="186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</row>
    <row r="218" spans="1:68" x14ac:dyDescent="0.2">
      <c r="A218" s="195">
        <f>'Données projet'!A232</f>
        <v>0</v>
      </c>
      <c r="B218" s="196">
        <f>'Données projet'!D232</f>
        <v>0</v>
      </c>
      <c r="C218" s="210"/>
      <c r="D218" s="194">
        <f t="shared" si="14"/>
        <v>0</v>
      </c>
      <c r="E218" s="210"/>
      <c r="F218" s="221"/>
      <c r="G218" s="232"/>
      <c r="H218" s="25"/>
      <c r="I218" s="5"/>
      <c r="J218" s="5"/>
      <c r="K218" s="5"/>
      <c r="L218" s="5"/>
      <c r="M218" s="5"/>
      <c r="N218" s="186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</row>
    <row r="219" spans="1:68" x14ac:dyDescent="0.2">
      <c r="A219" s="195">
        <f>'Données projet'!A233</f>
        <v>0</v>
      </c>
      <c r="B219" s="196">
        <f>'Données projet'!D233</f>
        <v>0</v>
      </c>
      <c r="C219" s="210"/>
      <c r="D219" s="194">
        <f t="shared" si="14"/>
        <v>0</v>
      </c>
      <c r="E219" s="210"/>
      <c r="F219" s="221"/>
      <c r="G219" s="232"/>
      <c r="H219" s="25"/>
      <c r="I219" s="5"/>
      <c r="J219" s="5"/>
      <c r="K219" s="5"/>
      <c r="L219" s="5"/>
      <c r="M219" s="5"/>
      <c r="N219" s="186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</row>
    <row r="220" spans="1:68" x14ac:dyDescent="0.2">
      <c r="A220" s="195">
        <f>'Données projet'!A234</f>
        <v>0</v>
      </c>
      <c r="B220" s="196">
        <f>'Données projet'!D234</f>
        <v>0</v>
      </c>
      <c r="C220" s="210"/>
      <c r="D220" s="194">
        <f t="shared" si="14"/>
        <v>0</v>
      </c>
      <c r="E220" s="210"/>
      <c r="F220" s="221"/>
      <c r="G220" s="232"/>
      <c r="H220" s="25"/>
      <c r="I220" s="5"/>
      <c r="J220" s="5"/>
      <c r="K220" s="5"/>
      <c r="L220" s="5"/>
      <c r="M220" s="5"/>
      <c r="N220" s="186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</row>
    <row r="221" spans="1:68" x14ac:dyDescent="0.2">
      <c r="A221" s="195">
        <f>'Données projet'!A235</f>
        <v>0</v>
      </c>
      <c r="B221" s="196">
        <f>'Données projet'!D235</f>
        <v>0</v>
      </c>
      <c r="C221" s="210"/>
      <c r="D221" s="194">
        <f t="shared" si="14"/>
        <v>0</v>
      </c>
      <c r="E221" s="210"/>
      <c r="F221" s="221"/>
      <c r="G221" s="232"/>
      <c r="H221" s="25"/>
      <c r="I221" s="5"/>
      <c r="J221" s="5"/>
      <c r="K221" s="5"/>
      <c r="L221" s="5"/>
      <c r="M221" s="5"/>
      <c r="N221" s="186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</row>
    <row r="222" spans="1:68" x14ac:dyDescent="0.2">
      <c r="A222" s="195">
        <f>'Données projet'!A236</f>
        <v>0</v>
      </c>
      <c r="B222" s="196">
        <f>'Données projet'!D236</f>
        <v>0</v>
      </c>
      <c r="C222" s="210"/>
      <c r="D222" s="194">
        <f t="shared" si="14"/>
        <v>0</v>
      </c>
      <c r="E222" s="210"/>
      <c r="F222" s="221"/>
      <c r="G222" s="232"/>
      <c r="H222" s="25"/>
      <c r="I222" s="5"/>
      <c r="J222" s="5"/>
      <c r="K222" s="5"/>
      <c r="L222" s="5"/>
      <c r="M222" s="5"/>
      <c r="N222" s="186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</row>
    <row r="223" spans="1:68" x14ac:dyDescent="0.2">
      <c r="A223" s="195">
        <f>'Données projet'!A237</f>
        <v>0</v>
      </c>
      <c r="B223" s="196">
        <f>'Données projet'!D237</f>
        <v>0</v>
      </c>
      <c r="C223" s="210"/>
      <c r="D223" s="194">
        <f t="shared" si="14"/>
        <v>0</v>
      </c>
      <c r="E223" s="210"/>
      <c r="F223" s="221"/>
      <c r="G223" s="232"/>
      <c r="H223" s="25"/>
      <c r="I223" s="5"/>
      <c r="J223" s="5"/>
      <c r="K223" s="5"/>
      <c r="L223" s="5"/>
      <c r="M223" s="5"/>
      <c r="N223" s="186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</row>
    <row r="224" spans="1:68" x14ac:dyDescent="0.2">
      <c r="A224" s="5"/>
      <c r="B224" s="5"/>
      <c r="C224" s="5"/>
      <c r="D224" s="5"/>
      <c r="E224" s="5"/>
      <c r="F224" s="218"/>
      <c r="G224" s="230"/>
      <c r="H224" s="25"/>
      <c r="I224" s="5"/>
      <c r="J224" s="5"/>
      <c r="K224" s="5"/>
      <c r="L224" s="5"/>
      <c r="M224" s="5"/>
      <c r="N224" s="186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</row>
    <row r="225" spans="1:68" x14ac:dyDescent="0.2">
      <c r="A225" s="5"/>
      <c r="B225" s="5"/>
      <c r="C225" s="5"/>
      <c r="D225" s="5"/>
      <c r="E225" s="5"/>
      <c r="F225" s="218"/>
      <c r="G225" s="230"/>
      <c r="H225" s="25"/>
      <c r="I225" s="5"/>
      <c r="J225" s="5"/>
      <c r="K225" s="5"/>
      <c r="L225" s="5"/>
      <c r="M225" s="5"/>
      <c r="N225" s="186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</row>
    <row r="226" spans="1:68" x14ac:dyDescent="0.2">
      <c r="A226" s="49" t="s">
        <v>173</v>
      </c>
      <c r="B226" s="189" t="str">
        <f>IF('Données projet'!$B$17="","",'Données projet'!$B$17)</f>
        <v/>
      </c>
      <c r="C226" s="5"/>
      <c r="D226" s="5"/>
      <c r="E226" s="5"/>
      <c r="F226" s="218"/>
      <c r="G226" s="230"/>
      <c r="H226" s="25"/>
      <c r="I226" s="5"/>
      <c r="J226" s="5"/>
      <c r="K226" s="5"/>
      <c r="L226" s="5"/>
      <c r="M226" s="5"/>
      <c r="N226" s="186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</row>
    <row r="227" spans="1:68" x14ac:dyDescent="0.2">
      <c r="A227" s="49"/>
      <c r="B227" s="5"/>
      <c r="C227" s="5"/>
      <c r="D227" s="5"/>
      <c r="E227" s="5"/>
      <c r="F227" s="218"/>
      <c r="G227" s="230"/>
      <c r="H227" s="25"/>
      <c r="I227" s="5"/>
      <c r="J227" s="5"/>
      <c r="K227" s="5"/>
      <c r="L227" s="5"/>
      <c r="M227" s="5"/>
      <c r="N227" s="186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</row>
    <row r="228" spans="1:68" ht="16" x14ac:dyDescent="0.2">
      <c r="A228" s="188" t="s">
        <v>180</v>
      </c>
      <c r="B228" s="51" t="s">
        <v>256</v>
      </c>
      <c r="C228" s="51" t="s">
        <v>255</v>
      </c>
      <c r="D228" s="188" t="s">
        <v>252</v>
      </c>
      <c r="E228" s="188" t="s">
        <v>288</v>
      </c>
      <c r="F228" s="220"/>
      <c r="G228" s="231"/>
      <c r="H228" s="25"/>
      <c r="I228" s="5"/>
      <c r="J228" s="5"/>
      <c r="K228" s="5"/>
      <c r="L228" s="5"/>
      <c r="M228" s="5"/>
      <c r="N228" s="186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</row>
    <row r="229" spans="1:68" ht="16" x14ac:dyDescent="0.2">
      <c r="A229" s="214">
        <v>0</v>
      </c>
      <c r="B229" s="217" t="s">
        <v>132</v>
      </c>
      <c r="C229" s="216" t="s">
        <v>132</v>
      </c>
      <c r="D229" s="215" t="s">
        <v>132</v>
      </c>
      <c r="E229" s="210"/>
      <c r="F229" s="220"/>
      <c r="G229" s="231"/>
      <c r="H229" s="25"/>
      <c r="I229" s="5"/>
      <c r="J229" s="5"/>
      <c r="K229" s="5"/>
      <c r="L229" s="5"/>
      <c r="M229" s="5"/>
      <c r="N229" s="186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</row>
    <row r="230" spans="1:68" x14ac:dyDescent="0.2">
      <c r="A230" s="195">
        <f>'Données projet'!A244</f>
        <v>0</v>
      </c>
      <c r="B230" s="196">
        <f>'Données projet'!D244</f>
        <v>0</v>
      </c>
      <c r="C230" s="210"/>
      <c r="D230" s="194">
        <f>B230*C230</f>
        <v>0</v>
      </c>
      <c r="E230" s="210"/>
      <c r="F230" s="221"/>
      <c r="G230" s="232"/>
      <c r="H230" s="25"/>
      <c r="I230" s="5"/>
      <c r="J230" s="5"/>
      <c r="K230" s="5"/>
      <c r="L230" s="5"/>
      <c r="M230" s="5"/>
      <c r="N230" s="186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</row>
    <row r="231" spans="1:68" x14ac:dyDescent="0.2">
      <c r="A231" s="195">
        <f>'Données projet'!A245</f>
        <v>0</v>
      </c>
      <c r="B231" s="196">
        <f>'Données projet'!D245</f>
        <v>0</v>
      </c>
      <c r="C231" s="210"/>
      <c r="D231" s="194">
        <f t="shared" ref="D231:D249" si="15">B231*C231</f>
        <v>0</v>
      </c>
      <c r="E231" s="210"/>
      <c r="F231" s="221"/>
      <c r="G231" s="232"/>
      <c r="H231" s="25"/>
      <c r="I231" s="5"/>
      <c r="J231" s="5"/>
      <c r="K231" s="5"/>
      <c r="L231" s="5"/>
      <c r="M231" s="5"/>
      <c r="N231" s="186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</row>
    <row r="232" spans="1:68" x14ac:dyDescent="0.2">
      <c r="A232" s="195">
        <f>'Données projet'!A246</f>
        <v>0</v>
      </c>
      <c r="B232" s="196">
        <f>'Données projet'!D246</f>
        <v>0</v>
      </c>
      <c r="C232" s="210"/>
      <c r="D232" s="194">
        <f t="shared" si="15"/>
        <v>0</v>
      </c>
      <c r="E232" s="210"/>
      <c r="F232" s="221"/>
      <c r="G232" s="232"/>
      <c r="H232" s="25"/>
      <c r="I232" s="5"/>
      <c r="J232" s="5"/>
      <c r="K232" s="5"/>
      <c r="L232" s="5"/>
      <c r="M232" s="5"/>
      <c r="N232" s="186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</row>
    <row r="233" spans="1:68" x14ac:dyDescent="0.2">
      <c r="A233" s="195">
        <f>'Données projet'!A247</f>
        <v>0</v>
      </c>
      <c r="B233" s="196">
        <f>'Données projet'!D247</f>
        <v>0</v>
      </c>
      <c r="C233" s="210"/>
      <c r="D233" s="194">
        <f t="shared" si="15"/>
        <v>0</v>
      </c>
      <c r="E233" s="210"/>
      <c r="F233" s="221"/>
      <c r="G233" s="232"/>
      <c r="H233" s="25"/>
      <c r="I233" s="5"/>
      <c r="J233" s="5"/>
      <c r="K233" s="5"/>
      <c r="L233" s="5"/>
      <c r="M233" s="5"/>
      <c r="N233" s="186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</row>
    <row r="234" spans="1:68" x14ac:dyDescent="0.2">
      <c r="A234" s="195">
        <f>'Données projet'!A248</f>
        <v>0</v>
      </c>
      <c r="B234" s="196">
        <f>'Données projet'!D248</f>
        <v>0</v>
      </c>
      <c r="C234" s="210"/>
      <c r="D234" s="194">
        <f t="shared" si="15"/>
        <v>0</v>
      </c>
      <c r="E234" s="210"/>
      <c r="F234" s="221"/>
      <c r="G234" s="232"/>
      <c r="H234" s="25"/>
      <c r="I234" s="5"/>
      <c r="J234" s="5"/>
      <c r="K234" s="5"/>
      <c r="L234" s="5"/>
      <c r="M234" s="5"/>
      <c r="N234" s="186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</row>
    <row r="235" spans="1:68" x14ac:dyDescent="0.2">
      <c r="A235" s="195">
        <f>'Données projet'!A249</f>
        <v>0</v>
      </c>
      <c r="B235" s="196">
        <f>'Données projet'!D249</f>
        <v>0</v>
      </c>
      <c r="C235" s="210"/>
      <c r="D235" s="194">
        <f t="shared" si="15"/>
        <v>0</v>
      </c>
      <c r="E235" s="210"/>
      <c r="F235" s="221"/>
      <c r="G235" s="232"/>
      <c r="H235" s="25"/>
      <c r="I235" s="5"/>
      <c r="J235" s="5"/>
      <c r="K235" s="5"/>
      <c r="L235" s="5"/>
      <c r="M235" s="5"/>
      <c r="N235" s="186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</row>
    <row r="236" spans="1:68" x14ac:dyDescent="0.2">
      <c r="A236" s="195">
        <f>'Données projet'!A250</f>
        <v>0</v>
      </c>
      <c r="B236" s="196">
        <f>'Données projet'!D250</f>
        <v>0</v>
      </c>
      <c r="C236" s="210"/>
      <c r="D236" s="194">
        <f t="shared" si="15"/>
        <v>0</v>
      </c>
      <c r="E236" s="210"/>
      <c r="F236" s="221"/>
      <c r="G236" s="232"/>
      <c r="H236" s="25"/>
      <c r="I236" s="5"/>
      <c r="J236" s="5"/>
      <c r="K236" s="5"/>
      <c r="L236" s="5"/>
      <c r="M236" s="5"/>
      <c r="N236" s="186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</row>
    <row r="237" spans="1:68" x14ac:dyDescent="0.2">
      <c r="A237" s="195">
        <f>'Données projet'!A251</f>
        <v>0</v>
      </c>
      <c r="B237" s="196">
        <f>'Données projet'!D251</f>
        <v>0</v>
      </c>
      <c r="C237" s="210"/>
      <c r="D237" s="194">
        <f t="shared" si="15"/>
        <v>0</v>
      </c>
      <c r="E237" s="210"/>
      <c r="F237" s="221"/>
      <c r="G237" s="232"/>
      <c r="H237" s="25"/>
      <c r="I237" s="5"/>
      <c r="J237" s="5"/>
      <c r="K237" s="5"/>
      <c r="L237" s="5"/>
      <c r="M237" s="5"/>
      <c r="N237" s="186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</row>
    <row r="238" spans="1:68" x14ac:dyDescent="0.2">
      <c r="A238" s="195">
        <f>'Données projet'!A252</f>
        <v>0</v>
      </c>
      <c r="B238" s="196">
        <f>'Données projet'!D252</f>
        <v>0</v>
      </c>
      <c r="C238" s="210"/>
      <c r="D238" s="194">
        <f t="shared" si="15"/>
        <v>0</v>
      </c>
      <c r="E238" s="210"/>
      <c r="F238" s="221"/>
      <c r="G238" s="232"/>
      <c r="H238" s="25"/>
      <c r="I238" s="5"/>
      <c r="J238" s="5"/>
      <c r="K238" s="5"/>
      <c r="L238" s="5"/>
      <c r="M238" s="5"/>
      <c r="N238" s="186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</row>
    <row r="239" spans="1:68" x14ac:dyDescent="0.2">
      <c r="A239" s="195">
        <f>'Données projet'!A253</f>
        <v>0</v>
      </c>
      <c r="B239" s="196">
        <f>'Données projet'!D253</f>
        <v>0</v>
      </c>
      <c r="C239" s="210"/>
      <c r="D239" s="194">
        <f t="shared" si="15"/>
        <v>0</v>
      </c>
      <c r="E239" s="210"/>
      <c r="F239" s="221"/>
      <c r="G239" s="232"/>
      <c r="H239" s="25"/>
      <c r="I239" s="5"/>
      <c r="J239" s="5"/>
      <c r="K239" s="5"/>
      <c r="L239" s="5"/>
      <c r="M239" s="5"/>
      <c r="N239" s="186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</row>
    <row r="240" spans="1:68" x14ac:dyDescent="0.2">
      <c r="A240" s="195">
        <f>'Données projet'!A254</f>
        <v>0</v>
      </c>
      <c r="B240" s="196">
        <f>'Données projet'!D254</f>
        <v>0</v>
      </c>
      <c r="C240" s="210"/>
      <c r="D240" s="194">
        <f t="shared" si="15"/>
        <v>0</v>
      </c>
      <c r="E240" s="210"/>
      <c r="F240" s="221"/>
      <c r="G240" s="232"/>
      <c r="H240" s="25"/>
      <c r="I240" s="5"/>
      <c r="J240" s="5"/>
      <c r="K240" s="5"/>
      <c r="L240" s="5"/>
      <c r="M240" s="5"/>
      <c r="N240" s="186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</row>
    <row r="241" spans="1:68" x14ac:dyDescent="0.2">
      <c r="A241" s="195">
        <f>'Données projet'!A255</f>
        <v>0</v>
      </c>
      <c r="B241" s="196">
        <f>'Données projet'!D255</f>
        <v>0</v>
      </c>
      <c r="C241" s="210"/>
      <c r="D241" s="194">
        <f t="shared" si="15"/>
        <v>0</v>
      </c>
      <c r="E241" s="210"/>
      <c r="F241" s="221"/>
      <c r="G241" s="232"/>
      <c r="H241" s="25"/>
      <c r="I241" s="5"/>
      <c r="J241" s="5"/>
      <c r="K241" s="5"/>
      <c r="L241" s="5"/>
      <c r="M241" s="5"/>
      <c r="N241" s="186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</row>
    <row r="242" spans="1:68" x14ac:dyDescent="0.2">
      <c r="A242" s="195">
        <f>'Données projet'!A256</f>
        <v>0</v>
      </c>
      <c r="B242" s="196">
        <f>'Données projet'!D256</f>
        <v>0</v>
      </c>
      <c r="C242" s="210"/>
      <c r="D242" s="194">
        <f t="shared" si="15"/>
        <v>0</v>
      </c>
      <c r="E242" s="210"/>
      <c r="F242" s="221"/>
      <c r="G242" s="232"/>
      <c r="H242" s="25"/>
      <c r="I242" s="5"/>
      <c r="J242" s="5"/>
      <c r="K242" s="5"/>
      <c r="L242" s="5"/>
      <c r="M242" s="5"/>
      <c r="N242" s="186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</row>
    <row r="243" spans="1:68" x14ac:dyDescent="0.2">
      <c r="A243" s="195">
        <f>'Données projet'!A257</f>
        <v>0</v>
      </c>
      <c r="B243" s="196">
        <f>'Données projet'!D257</f>
        <v>0</v>
      </c>
      <c r="C243" s="210"/>
      <c r="D243" s="194">
        <f t="shared" si="15"/>
        <v>0</v>
      </c>
      <c r="E243" s="210"/>
      <c r="F243" s="221"/>
      <c r="G243" s="232"/>
      <c r="H243" s="25"/>
      <c r="I243" s="5"/>
      <c r="J243" s="5"/>
      <c r="K243" s="5"/>
      <c r="L243" s="5"/>
      <c r="M243" s="5"/>
      <c r="N243" s="186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</row>
    <row r="244" spans="1:68" x14ac:dyDescent="0.2">
      <c r="A244" s="195">
        <f>'Données projet'!A258</f>
        <v>0</v>
      </c>
      <c r="B244" s="196">
        <f>'Données projet'!D258</f>
        <v>0</v>
      </c>
      <c r="C244" s="210"/>
      <c r="D244" s="194">
        <f t="shared" si="15"/>
        <v>0</v>
      </c>
      <c r="E244" s="210"/>
      <c r="F244" s="221"/>
      <c r="G244" s="232"/>
      <c r="H244" s="25"/>
      <c r="I244" s="5"/>
      <c r="J244" s="5"/>
      <c r="K244" s="5"/>
      <c r="L244" s="5"/>
      <c r="M244" s="5"/>
      <c r="N244" s="186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</row>
    <row r="245" spans="1:68" x14ac:dyDescent="0.2">
      <c r="A245" s="195">
        <f>'Données projet'!A259</f>
        <v>0</v>
      </c>
      <c r="B245" s="196">
        <f>'Données projet'!D259</f>
        <v>0</v>
      </c>
      <c r="C245" s="210"/>
      <c r="D245" s="194">
        <f t="shared" si="15"/>
        <v>0</v>
      </c>
      <c r="E245" s="210"/>
      <c r="F245" s="221"/>
      <c r="G245" s="232"/>
      <c r="H245" s="25"/>
      <c r="I245" s="5"/>
      <c r="J245" s="5"/>
      <c r="K245" s="5"/>
      <c r="L245" s="5"/>
      <c r="M245" s="5"/>
      <c r="N245" s="186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</row>
    <row r="246" spans="1:68" x14ac:dyDescent="0.2">
      <c r="A246" s="195">
        <f>'Données projet'!A260</f>
        <v>0</v>
      </c>
      <c r="B246" s="196">
        <f>'Données projet'!D260</f>
        <v>0</v>
      </c>
      <c r="C246" s="210"/>
      <c r="D246" s="194">
        <f t="shared" si="15"/>
        <v>0</v>
      </c>
      <c r="E246" s="210"/>
      <c r="F246" s="221"/>
      <c r="G246" s="232"/>
      <c r="H246" s="25"/>
      <c r="I246" s="5"/>
      <c r="J246" s="5"/>
      <c r="K246" s="5"/>
      <c r="L246" s="5"/>
      <c r="M246" s="5"/>
      <c r="N246" s="186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</row>
    <row r="247" spans="1:68" x14ac:dyDescent="0.2">
      <c r="A247" s="195">
        <f>'Données projet'!A261</f>
        <v>0</v>
      </c>
      <c r="B247" s="196">
        <f>'Données projet'!D261</f>
        <v>0</v>
      </c>
      <c r="C247" s="210"/>
      <c r="D247" s="194">
        <f t="shared" si="15"/>
        <v>0</v>
      </c>
      <c r="E247" s="210"/>
      <c r="F247" s="221"/>
      <c r="G247" s="232"/>
      <c r="H247" s="25"/>
      <c r="I247" s="5"/>
      <c r="J247" s="5"/>
      <c r="K247" s="5"/>
      <c r="L247" s="5"/>
      <c r="M247" s="5"/>
      <c r="N247" s="186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</row>
    <row r="248" spans="1:68" x14ac:dyDescent="0.2">
      <c r="A248" s="195">
        <f>'Données projet'!A262</f>
        <v>0</v>
      </c>
      <c r="B248" s="196">
        <f>'Données projet'!D262</f>
        <v>0</v>
      </c>
      <c r="C248" s="210"/>
      <c r="D248" s="194">
        <f t="shared" si="15"/>
        <v>0</v>
      </c>
      <c r="E248" s="210"/>
      <c r="F248" s="221"/>
      <c r="G248" s="232"/>
      <c r="H248" s="25"/>
      <c r="I248" s="5"/>
      <c r="J248" s="5"/>
      <c r="K248" s="5"/>
      <c r="L248" s="5"/>
      <c r="M248" s="5"/>
      <c r="N248" s="186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</row>
    <row r="249" spans="1:68" x14ac:dyDescent="0.2">
      <c r="A249" s="195">
        <f>'Données projet'!A263</f>
        <v>0</v>
      </c>
      <c r="B249" s="196">
        <f>'Données projet'!D263</f>
        <v>0</v>
      </c>
      <c r="C249" s="210"/>
      <c r="D249" s="194">
        <f t="shared" si="15"/>
        <v>0</v>
      </c>
      <c r="E249" s="210"/>
      <c r="F249" s="221"/>
      <c r="G249" s="232"/>
      <c r="H249" s="25"/>
      <c r="I249" s="5"/>
      <c r="J249" s="5"/>
      <c r="K249" s="5"/>
      <c r="L249" s="5"/>
      <c r="M249" s="5"/>
      <c r="N249" s="186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</row>
    <row r="250" spans="1:68" x14ac:dyDescent="0.2">
      <c r="A250" s="5"/>
      <c r="B250" s="5"/>
      <c r="C250" s="5"/>
      <c r="D250" s="5"/>
      <c r="E250" s="5"/>
      <c r="F250" s="218"/>
      <c r="G250" s="230"/>
      <c r="H250" s="25"/>
      <c r="I250" s="5"/>
      <c r="J250" s="5"/>
      <c r="K250" s="5"/>
      <c r="L250" s="5"/>
      <c r="M250" s="5"/>
      <c r="N250" s="186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</row>
    <row r="251" spans="1:68" x14ac:dyDescent="0.2">
      <c r="A251" s="5"/>
      <c r="B251" s="5"/>
      <c r="C251" s="5"/>
      <c r="D251" s="5"/>
      <c r="E251" s="5"/>
      <c r="F251" s="218"/>
      <c r="G251" s="230"/>
      <c r="H251" s="25"/>
      <c r="I251" s="5"/>
      <c r="J251" s="5"/>
      <c r="K251" s="5"/>
      <c r="L251" s="5"/>
      <c r="M251" s="5"/>
      <c r="N251" s="186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</row>
    <row r="252" spans="1:68" x14ac:dyDescent="0.2">
      <c r="A252" s="49" t="s">
        <v>174</v>
      </c>
      <c r="B252" s="189" t="str">
        <f>IF('Données projet'!$B$18="","",'Données projet'!$B$18)</f>
        <v/>
      </c>
      <c r="C252" s="5"/>
      <c r="D252" s="5"/>
      <c r="E252" s="5"/>
      <c r="F252" s="218"/>
      <c r="G252" s="230"/>
      <c r="H252" s="25"/>
      <c r="I252" s="5"/>
      <c r="J252" s="5"/>
      <c r="K252" s="5"/>
      <c r="L252" s="5"/>
      <c r="M252" s="5"/>
      <c r="N252" s="186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</row>
    <row r="253" spans="1:68" x14ac:dyDescent="0.2">
      <c r="A253" s="49"/>
      <c r="B253" s="5"/>
      <c r="C253" s="5"/>
      <c r="D253" s="5"/>
      <c r="E253" s="5"/>
      <c r="F253" s="218"/>
      <c r="G253" s="230"/>
      <c r="H253" s="25"/>
      <c r="I253" s="5"/>
      <c r="J253" s="5"/>
      <c r="K253" s="5"/>
      <c r="L253" s="5"/>
      <c r="M253" s="5"/>
      <c r="N253" s="186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</row>
    <row r="254" spans="1:68" ht="16" x14ac:dyDescent="0.2">
      <c r="A254" s="188" t="s">
        <v>180</v>
      </c>
      <c r="B254" s="51" t="s">
        <v>256</v>
      </c>
      <c r="C254" s="51" t="s">
        <v>255</v>
      </c>
      <c r="D254" s="188" t="s">
        <v>252</v>
      </c>
      <c r="E254" s="188" t="s">
        <v>288</v>
      </c>
      <c r="F254" s="220"/>
      <c r="G254" s="231"/>
      <c r="H254" s="25"/>
      <c r="I254" s="5"/>
      <c r="J254" s="5"/>
      <c r="K254" s="5"/>
      <c r="L254" s="5"/>
      <c r="M254" s="5"/>
      <c r="N254" s="186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</row>
    <row r="255" spans="1:68" ht="16" x14ac:dyDescent="0.2">
      <c r="A255" s="214">
        <v>0</v>
      </c>
      <c r="B255" s="217" t="s">
        <v>132</v>
      </c>
      <c r="C255" s="216" t="s">
        <v>132</v>
      </c>
      <c r="D255" s="215" t="s">
        <v>132</v>
      </c>
      <c r="E255" s="210"/>
      <c r="F255" s="220"/>
      <c r="G255" s="231"/>
      <c r="H255" s="25"/>
      <c r="I255" s="5"/>
      <c r="J255" s="5"/>
      <c r="K255" s="5"/>
      <c r="L255" s="5"/>
      <c r="M255" s="5"/>
      <c r="N255" s="186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</row>
    <row r="256" spans="1:68" x14ac:dyDescent="0.2">
      <c r="A256" s="195">
        <f>'Données projet'!A270</f>
        <v>0</v>
      </c>
      <c r="B256" s="196">
        <f>'Données projet'!D270</f>
        <v>0</v>
      </c>
      <c r="C256" s="208"/>
      <c r="D256" s="197">
        <f>B256*C256</f>
        <v>0</v>
      </c>
      <c r="E256" s="210"/>
      <c r="F256" s="219"/>
      <c r="G256" s="227"/>
      <c r="H256" s="25"/>
      <c r="I256" s="5"/>
      <c r="J256" s="5"/>
      <c r="K256" s="5"/>
      <c r="L256" s="5"/>
      <c r="M256" s="5"/>
      <c r="N256" s="186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</row>
    <row r="257" spans="1:68" x14ac:dyDescent="0.2">
      <c r="A257" s="195">
        <f>'Données projet'!A271</f>
        <v>0</v>
      </c>
      <c r="B257" s="196">
        <f>'Données projet'!D271</f>
        <v>0</v>
      </c>
      <c r="C257" s="208"/>
      <c r="D257" s="197">
        <f t="shared" ref="D257:D275" si="16">B257*C257</f>
        <v>0</v>
      </c>
      <c r="E257" s="210"/>
      <c r="F257" s="219"/>
      <c r="G257" s="227"/>
      <c r="H257" s="25"/>
      <c r="I257" s="5"/>
      <c r="J257" s="5"/>
      <c r="K257" s="5"/>
      <c r="L257" s="5"/>
      <c r="M257" s="5"/>
      <c r="N257" s="186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</row>
    <row r="258" spans="1:68" x14ac:dyDescent="0.2">
      <c r="A258" s="195">
        <f>'Données projet'!A272</f>
        <v>0</v>
      </c>
      <c r="B258" s="196">
        <f>'Données projet'!D272</f>
        <v>0</v>
      </c>
      <c r="C258" s="208"/>
      <c r="D258" s="197">
        <f t="shared" si="16"/>
        <v>0</v>
      </c>
      <c r="E258" s="210"/>
      <c r="F258" s="219"/>
      <c r="G258" s="227"/>
      <c r="H258" s="25"/>
      <c r="I258" s="5"/>
      <c r="J258" s="5"/>
      <c r="K258" s="5"/>
      <c r="L258" s="5"/>
      <c r="M258" s="5"/>
      <c r="N258" s="186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</row>
    <row r="259" spans="1:68" x14ac:dyDescent="0.2">
      <c r="A259" s="195">
        <f>'Données projet'!A273</f>
        <v>0</v>
      </c>
      <c r="B259" s="196">
        <f>'Données projet'!D273</f>
        <v>0</v>
      </c>
      <c r="C259" s="208"/>
      <c r="D259" s="197">
        <f t="shared" si="16"/>
        <v>0</v>
      </c>
      <c r="E259" s="210"/>
      <c r="F259" s="219"/>
      <c r="G259" s="227"/>
      <c r="H259" s="25"/>
      <c r="I259" s="5"/>
      <c r="J259" s="5"/>
      <c r="K259" s="5"/>
      <c r="L259" s="5"/>
      <c r="M259" s="5"/>
      <c r="N259" s="186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</row>
    <row r="260" spans="1:68" x14ac:dyDescent="0.2">
      <c r="A260" s="195">
        <f>'Données projet'!A274</f>
        <v>0</v>
      </c>
      <c r="B260" s="196">
        <f>'Données projet'!D274</f>
        <v>0</v>
      </c>
      <c r="C260" s="208"/>
      <c r="D260" s="197">
        <f t="shared" si="16"/>
        <v>0</v>
      </c>
      <c r="E260" s="210"/>
      <c r="F260" s="219"/>
      <c r="G260" s="227"/>
      <c r="H260" s="25"/>
      <c r="I260" s="5"/>
      <c r="J260" s="5"/>
      <c r="K260" s="5"/>
      <c r="L260" s="5"/>
      <c r="M260" s="5"/>
      <c r="N260" s="186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</row>
    <row r="261" spans="1:68" x14ac:dyDescent="0.2">
      <c r="A261" s="195">
        <f>'Données projet'!A275</f>
        <v>0</v>
      </c>
      <c r="B261" s="196">
        <f>'Données projet'!D275</f>
        <v>0</v>
      </c>
      <c r="C261" s="208"/>
      <c r="D261" s="197">
        <f t="shared" si="16"/>
        <v>0</v>
      </c>
      <c r="E261" s="210"/>
      <c r="F261" s="219"/>
      <c r="G261" s="227"/>
      <c r="H261" s="25"/>
      <c r="I261" s="5"/>
      <c r="J261" s="5"/>
      <c r="K261" s="5"/>
      <c r="L261" s="5"/>
      <c r="M261" s="5"/>
      <c r="N261" s="186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</row>
    <row r="262" spans="1:68" x14ac:dyDescent="0.2">
      <c r="A262" s="195">
        <f>'Données projet'!A276</f>
        <v>0</v>
      </c>
      <c r="B262" s="196">
        <f>'Données projet'!D276</f>
        <v>0</v>
      </c>
      <c r="C262" s="208"/>
      <c r="D262" s="197">
        <f t="shared" si="16"/>
        <v>0</v>
      </c>
      <c r="E262" s="210"/>
      <c r="F262" s="219"/>
      <c r="G262" s="227"/>
      <c r="H262" s="25"/>
      <c r="I262" s="5"/>
      <c r="J262" s="5"/>
      <c r="K262" s="5"/>
      <c r="L262" s="5"/>
      <c r="M262" s="5"/>
      <c r="N262" s="186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</row>
    <row r="263" spans="1:68" x14ac:dyDescent="0.2">
      <c r="A263" s="195">
        <f>'Données projet'!A277</f>
        <v>0</v>
      </c>
      <c r="B263" s="196">
        <f>'Données projet'!D277</f>
        <v>0</v>
      </c>
      <c r="C263" s="208"/>
      <c r="D263" s="197">
        <f t="shared" si="16"/>
        <v>0</v>
      </c>
      <c r="E263" s="210"/>
      <c r="F263" s="219"/>
      <c r="G263" s="227"/>
      <c r="H263" s="25"/>
      <c r="I263" s="5"/>
      <c r="J263" s="5"/>
      <c r="K263" s="5"/>
      <c r="L263" s="5"/>
      <c r="M263" s="5"/>
      <c r="N263" s="186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</row>
    <row r="264" spans="1:68" x14ac:dyDescent="0.2">
      <c r="A264" s="195">
        <f>'Données projet'!A278</f>
        <v>0</v>
      </c>
      <c r="B264" s="196">
        <f>'Données projet'!D278</f>
        <v>0</v>
      </c>
      <c r="C264" s="208"/>
      <c r="D264" s="197">
        <f t="shared" si="16"/>
        <v>0</v>
      </c>
      <c r="E264" s="210"/>
      <c r="F264" s="219"/>
      <c r="G264" s="227"/>
      <c r="H264" s="25"/>
      <c r="I264" s="5"/>
      <c r="J264" s="5"/>
      <c r="K264" s="5"/>
      <c r="L264" s="5"/>
      <c r="M264" s="5"/>
      <c r="N264" s="186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</row>
    <row r="265" spans="1:68" x14ac:dyDescent="0.2">
      <c r="A265" s="195">
        <f>'Données projet'!A279</f>
        <v>0</v>
      </c>
      <c r="B265" s="196">
        <f>'Données projet'!D279</f>
        <v>0</v>
      </c>
      <c r="C265" s="208"/>
      <c r="D265" s="197">
        <f t="shared" si="16"/>
        <v>0</v>
      </c>
      <c r="E265" s="210"/>
      <c r="F265" s="219"/>
      <c r="G265" s="227"/>
      <c r="H265" s="25"/>
      <c r="I265" s="5"/>
      <c r="J265" s="5"/>
      <c r="K265" s="5"/>
      <c r="L265" s="5"/>
      <c r="M265" s="5"/>
      <c r="N265" s="186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</row>
    <row r="266" spans="1:68" x14ac:dyDescent="0.2">
      <c r="A266" s="195">
        <f>'Données projet'!A280</f>
        <v>0</v>
      </c>
      <c r="B266" s="196">
        <f>'Données projet'!D280</f>
        <v>0</v>
      </c>
      <c r="C266" s="208"/>
      <c r="D266" s="197">
        <f t="shared" si="16"/>
        <v>0</v>
      </c>
      <c r="E266" s="210"/>
      <c r="F266" s="219"/>
      <c r="G266" s="227"/>
      <c r="H266" s="25"/>
      <c r="I266" s="5"/>
      <c r="J266" s="5"/>
      <c r="K266" s="5"/>
      <c r="L266" s="5"/>
      <c r="M266" s="5"/>
      <c r="N266" s="186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</row>
    <row r="267" spans="1:68" x14ac:dyDescent="0.2">
      <c r="A267" s="195">
        <f>'Données projet'!A281</f>
        <v>0</v>
      </c>
      <c r="B267" s="196">
        <f>'Données projet'!D281</f>
        <v>0</v>
      </c>
      <c r="C267" s="208"/>
      <c r="D267" s="197">
        <f t="shared" si="16"/>
        <v>0</v>
      </c>
      <c r="E267" s="210"/>
      <c r="F267" s="219"/>
      <c r="G267" s="227"/>
      <c r="H267" s="25"/>
      <c r="I267" s="5"/>
      <c r="J267" s="5"/>
      <c r="K267" s="5"/>
      <c r="L267" s="5"/>
      <c r="M267" s="5"/>
      <c r="N267" s="186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</row>
    <row r="268" spans="1:68" x14ac:dyDescent="0.2">
      <c r="A268" s="195">
        <f>'Données projet'!A282</f>
        <v>0</v>
      </c>
      <c r="B268" s="196">
        <f>'Données projet'!D282</f>
        <v>0</v>
      </c>
      <c r="C268" s="208"/>
      <c r="D268" s="197">
        <f t="shared" si="16"/>
        <v>0</v>
      </c>
      <c r="E268" s="210"/>
      <c r="F268" s="219"/>
      <c r="G268" s="227"/>
      <c r="H268" s="25"/>
      <c r="I268" s="5"/>
      <c r="J268" s="5"/>
      <c r="K268" s="5"/>
      <c r="L268" s="5"/>
      <c r="M268" s="5"/>
      <c r="N268" s="186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</row>
    <row r="269" spans="1:68" x14ac:dyDescent="0.2">
      <c r="A269" s="195">
        <f>'Données projet'!A283</f>
        <v>0</v>
      </c>
      <c r="B269" s="196">
        <f>'Données projet'!D283</f>
        <v>0</v>
      </c>
      <c r="C269" s="208"/>
      <c r="D269" s="197">
        <f t="shared" si="16"/>
        <v>0</v>
      </c>
      <c r="E269" s="210"/>
      <c r="F269" s="219"/>
      <c r="G269" s="227"/>
      <c r="H269" s="25"/>
      <c r="I269" s="5"/>
      <c r="J269" s="5"/>
      <c r="K269" s="5"/>
      <c r="L269" s="5"/>
      <c r="M269" s="5"/>
      <c r="N269" s="186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</row>
    <row r="270" spans="1:68" x14ac:dyDescent="0.2">
      <c r="A270" s="195">
        <f>'Données projet'!A284</f>
        <v>0</v>
      </c>
      <c r="B270" s="196">
        <f>'Données projet'!D284</f>
        <v>0</v>
      </c>
      <c r="C270" s="208"/>
      <c r="D270" s="197">
        <f t="shared" si="16"/>
        <v>0</v>
      </c>
      <c r="E270" s="210"/>
      <c r="F270" s="219"/>
      <c r="G270" s="227"/>
      <c r="H270" s="25"/>
      <c r="I270" s="5"/>
      <c r="J270" s="5"/>
      <c r="K270" s="5"/>
      <c r="L270" s="5"/>
      <c r="M270" s="5"/>
      <c r="N270" s="186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</row>
    <row r="271" spans="1:68" x14ac:dyDescent="0.2">
      <c r="A271" s="195">
        <f>'Données projet'!A285</f>
        <v>0</v>
      </c>
      <c r="B271" s="196">
        <f>'Données projet'!D285</f>
        <v>0</v>
      </c>
      <c r="C271" s="208"/>
      <c r="D271" s="197">
        <f t="shared" si="16"/>
        <v>0</v>
      </c>
      <c r="E271" s="210"/>
      <c r="F271" s="219"/>
      <c r="G271" s="227"/>
      <c r="H271" s="25"/>
      <c r="I271" s="5"/>
      <c r="J271" s="5"/>
      <c r="K271" s="5"/>
      <c r="L271" s="5"/>
      <c r="M271" s="5"/>
      <c r="N271" s="186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</row>
    <row r="272" spans="1:68" x14ac:dyDescent="0.2">
      <c r="A272" s="195">
        <f>'Données projet'!A286</f>
        <v>0</v>
      </c>
      <c r="B272" s="196">
        <f>'Données projet'!D286</f>
        <v>0</v>
      </c>
      <c r="C272" s="208"/>
      <c r="D272" s="197">
        <f t="shared" si="16"/>
        <v>0</v>
      </c>
      <c r="E272" s="210"/>
      <c r="F272" s="219"/>
      <c r="G272" s="227"/>
      <c r="H272" s="25"/>
      <c r="I272" s="5"/>
      <c r="J272" s="5"/>
      <c r="K272" s="5"/>
      <c r="L272" s="5"/>
      <c r="M272" s="5"/>
      <c r="N272" s="186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</row>
    <row r="273" spans="1:60" x14ac:dyDescent="0.2">
      <c r="A273" s="195">
        <f>'Données projet'!A287</f>
        <v>0</v>
      </c>
      <c r="B273" s="196">
        <f>'Données projet'!D287</f>
        <v>0</v>
      </c>
      <c r="C273" s="208"/>
      <c r="D273" s="197">
        <f t="shared" si="16"/>
        <v>0</v>
      </c>
      <c r="E273" s="210"/>
      <c r="F273" s="219"/>
      <c r="G273" s="227"/>
      <c r="H273" s="25"/>
      <c r="I273" s="5"/>
      <c r="J273" s="5"/>
      <c r="K273" s="5"/>
      <c r="L273" s="5"/>
      <c r="M273" s="5"/>
      <c r="N273" s="186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</row>
    <row r="274" spans="1:60" x14ac:dyDescent="0.2">
      <c r="A274" s="195">
        <f>'Données projet'!A288</f>
        <v>0</v>
      </c>
      <c r="B274" s="196">
        <f>'Données projet'!D288</f>
        <v>0</v>
      </c>
      <c r="C274" s="208"/>
      <c r="D274" s="197">
        <f t="shared" si="16"/>
        <v>0</v>
      </c>
      <c r="E274" s="210"/>
      <c r="F274" s="219"/>
      <c r="G274" s="227"/>
      <c r="H274" s="25"/>
      <c r="I274" s="5"/>
      <c r="J274" s="5"/>
      <c r="K274" s="5"/>
      <c r="L274" s="5"/>
      <c r="M274" s="5"/>
      <c r="N274" s="186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</row>
    <row r="275" spans="1:60" x14ac:dyDescent="0.2">
      <c r="A275" s="195">
        <f>'Données projet'!A289</f>
        <v>0</v>
      </c>
      <c r="B275" s="196">
        <f>'Données projet'!D289</f>
        <v>0</v>
      </c>
      <c r="C275" s="213"/>
      <c r="D275" s="197">
        <f t="shared" si="16"/>
        <v>0</v>
      </c>
      <c r="E275" s="210"/>
      <c r="F275" s="219"/>
      <c r="G275" s="227"/>
      <c r="H275" s="25"/>
      <c r="I275" s="5"/>
      <c r="J275" s="5"/>
      <c r="K275" s="5"/>
      <c r="L275" s="5"/>
      <c r="M275" s="5"/>
      <c r="N275" s="186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</row>
    <row r="276" spans="1:60" x14ac:dyDescent="0.2">
      <c r="A276" s="5"/>
      <c r="B276" s="5"/>
      <c r="C276" s="5"/>
      <c r="D276" s="5"/>
      <c r="E276" s="5"/>
      <c r="F276" s="244"/>
      <c r="G276" s="244"/>
      <c r="H276" s="2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</row>
    <row r="277" spans="1:60" x14ac:dyDescent="0.2">
      <c r="A277" s="5"/>
      <c r="B277" s="5"/>
      <c r="C277" s="5"/>
      <c r="D277" s="5"/>
      <c r="E277" s="5"/>
      <c r="F277" s="244"/>
      <c r="G277" s="244"/>
      <c r="H277" s="2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</row>
    <row r="278" spans="1:60" x14ac:dyDescent="0.2">
      <c r="A278" s="5"/>
      <c r="B278" s="5"/>
      <c r="C278" s="5"/>
      <c r="D278" s="5"/>
      <c r="E278" s="5"/>
      <c r="F278" s="244"/>
      <c r="G278" s="244"/>
      <c r="H278" s="2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</row>
    <row r="279" spans="1:60" x14ac:dyDescent="0.2">
      <c r="A279" s="5"/>
      <c r="B279" s="5"/>
      <c r="C279" s="5"/>
      <c r="D279" s="5"/>
      <c r="E279" s="5"/>
      <c r="F279" s="244"/>
      <c r="G279" s="244"/>
      <c r="H279" s="2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</row>
    <row r="280" spans="1:60" x14ac:dyDescent="0.2">
      <c r="A280" s="5"/>
      <c r="B280" s="5"/>
      <c r="C280" s="5"/>
      <c r="D280" s="5"/>
      <c r="E280" s="5"/>
      <c r="F280" s="244"/>
      <c r="G280" s="244"/>
      <c r="H280" s="2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</row>
    <row r="281" spans="1:60" x14ac:dyDescent="0.2">
      <c r="A281" s="5"/>
      <c r="B281" s="5"/>
      <c r="C281" s="5"/>
      <c r="D281" s="5"/>
      <c r="E281" s="5"/>
      <c r="F281" s="244"/>
      <c r="G281" s="244"/>
      <c r="H281" s="2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</row>
    <row r="282" spans="1:60" x14ac:dyDescent="0.2">
      <c r="A282" s="5"/>
      <c r="B282" s="5"/>
      <c r="C282" s="5"/>
      <c r="D282" s="5"/>
      <c r="E282" s="5"/>
      <c r="F282" s="244"/>
      <c r="G282" s="244"/>
      <c r="H282" s="2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</row>
    <row r="283" spans="1:60" x14ac:dyDescent="0.2">
      <c r="A283" s="5"/>
      <c r="B283" s="5"/>
      <c r="C283" s="5"/>
      <c r="D283" s="5"/>
      <c r="E283" s="5"/>
      <c r="F283" s="244"/>
      <c r="G283" s="244"/>
      <c r="H283" s="2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</row>
    <row r="284" spans="1:60" x14ac:dyDescent="0.2">
      <c r="A284" s="5"/>
      <c r="B284" s="5"/>
      <c r="C284" s="5"/>
      <c r="D284" s="5"/>
      <c r="E284" s="5"/>
      <c r="F284" s="244"/>
      <c r="G284" s="244"/>
      <c r="H284" s="2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</row>
    <row r="285" spans="1:60" x14ac:dyDescent="0.2">
      <c r="A285" s="5"/>
      <c r="B285" s="5"/>
      <c r="C285" s="5"/>
      <c r="D285" s="5"/>
      <c r="E285" s="5"/>
      <c r="F285" s="244"/>
      <c r="G285" s="244"/>
      <c r="H285" s="2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</row>
    <row r="286" spans="1:60" x14ac:dyDescent="0.2">
      <c r="A286" s="5"/>
      <c r="B286" s="5"/>
      <c r="C286" s="5"/>
      <c r="D286" s="5"/>
      <c r="E286" s="5"/>
      <c r="F286" s="244"/>
      <c r="G286" s="244"/>
      <c r="H286" s="2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</row>
    <row r="287" spans="1:60" x14ac:dyDescent="0.2">
      <c r="A287" s="5"/>
      <c r="B287" s="5"/>
      <c r="C287" s="5"/>
      <c r="D287" s="5"/>
      <c r="E287" s="5"/>
      <c r="F287" s="244"/>
      <c r="G287" s="244"/>
      <c r="H287" s="2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</row>
    <row r="288" spans="1:60" x14ac:dyDescent="0.2">
      <c r="A288" s="5"/>
      <c r="B288" s="5"/>
      <c r="C288" s="5"/>
      <c r="D288" s="5"/>
      <c r="E288" s="5"/>
      <c r="F288" s="244"/>
      <c r="G288" s="244"/>
      <c r="H288" s="2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</row>
    <row r="289" spans="1:60" x14ac:dyDescent="0.2">
      <c r="A289" s="5"/>
      <c r="B289" s="5"/>
      <c r="C289" s="5"/>
      <c r="D289" s="5"/>
      <c r="E289" s="5"/>
      <c r="F289" s="244"/>
      <c r="G289" s="244"/>
      <c r="H289" s="2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</row>
    <row r="290" spans="1:60" x14ac:dyDescent="0.2">
      <c r="A290" s="5"/>
      <c r="B290" s="5"/>
      <c r="C290" s="5"/>
      <c r="D290" s="5"/>
      <c r="E290" s="5"/>
      <c r="F290" s="244"/>
      <c r="G290" s="244"/>
      <c r="H290" s="2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</row>
    <row r="291" spans="1:60" x14ac:dyDescent="0.2">
      <c r="A291" s="5"/>
      <c r="B291" s="5"/>
      <c r="C291" s="5"/>
      <c r="D291" s="5"/>
      <c r="E291" s="5"/>
      <c r="F291" s="244"/>
      <c r="G291" s="244"/>
      <c r="H291" s="2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</row>
    <row r="292" spans="1:60" x14ac:dyDescent="0.2">
      <c r="A292" s="5"/>
      <c r="B292" s="5"/>
      <c r="C292" s="5"/>
      <c r="D292" s="5"/>
      <c r="E292" s="5"/>
      <c r="F292" s="244"/>
      <c r="G292" s="244"/>
      <c r="H292" s="2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</row>
    <row r="293" spans="1:60" x14ac:dyDescent="0.2">
      <c r="A293" s="5"/>
      <c r="B293" s="5"/>
      <c r="C293" s="5"/>
      <c r="D293" s="5"/>
      <c r="E293" s="5"/>
      <c r="F293" s="244"/>
      <c r="G293" s="244"/>
      <c r="H293" s="2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</row>
    <row r="294" spans="1:60" x14ac:dyDescent="0.2">
      <c r="A294" s="5"/>
      <c r="B294" s="5"/>
      <c r="C294" s="5"/>
      <c r="D294" s="5"/>
      <c r="E294" s="5"/>
      <c r="F294" s="244"/>
      <c r="G294" s="244"/>
      <c r="H294" s="2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</row>
    <row r="295" spans="1:60" x14ac:dyDescent="0.2">
      <c r="A295" s="5"/>
      <c r="B295" s="5"/>
      <c r="C295" s="5"/>
      <c r="D295" s="5"/>
      <c r="E295" s="5"/>
      <c r="F295" s="244"/>
      <c r="G295" s="244"/>
      <c r="H295" s="2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</row>
    <row r="296" spans="1:60" x14ac:dyDescent="0.2">
      <c r="A296" s="5"/>
      <c r="B296" s="5"/>
      <c r="C296" s="5"/>
      <c r="D296" s="5"/>
      <c r="E296" s="5"/>
      <c r="F296" s="244"/>
      <c r="G296" s="244"/>
      <c r="H296" s="2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</row>
    <row r="297" spans="1:60" x14ac:dyDescent="0.2">
      <c r="A297" s="5"/>
      <c r="B297" s="5"/>
      <c r="C297" s="5"/>
      <c r="D297" s="5"/>
      <c r="E297" s="5"/>
      <c r="F297" s="244"/>
      <c r="G297" s="244"/>
      <c r="H297" s="2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</row>
    <row r="298" spans="1:60" x14ac:dyDescent="0.2">
      <c r="A298" s="5"/>
      <c r="B298" s="5"/>
      <c r="C298" s="5"/>
      <c r="D298" s="5"/>
      <c r="E298" s="5"/>
      <c r="F298" s="244"/>
      <c r="G298" s="244"/>
      <c r="H298" s="2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</row>
    <row r="299" spans="1:60" x14ac:dyDescent="0.2">
      <c r="A299" s="5"/>
      <c r="B299" s="5"/>
      <c r="C299" s="5"/>
      <c r="D299" s="5"/>
      <c r="E299" s="5"/>
      <c r="F299" s="244"/>
      <c r="G299" s="244"/>
      <c r="H299" s="2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</row>
    <row r="300" spans="1:60" x14ac:dyDescent="0.2">
      <c r="A300" s="5"/>
      <c r="B300" s="5"/>
      <c r="C300" s="5"/>
      <c r="D300" s="5"/>
      <c r="E300" s="5"/>
      <c r="F300" s="244"/>
      <c r="G300" s="244"/>
      <c r="H300" s="2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</row>
    <row r="301" spans="1:60" x14ac:dyDescent="0.2">
      <c r="A301" s="5"/>
      <c r="B301" s="5"/>
      <c r="C301" s="5"/>
      <c r="D301" s="5"/>
      <c r="E301" s="5"/>
      <c r="F301" s="244"/>
      <c r="G301" s="244"/>
      <c r="H301" s="2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</row>
    <row r="302" spans="1:60" x14ac:dyDescent="0.2">
      <c r="A302" s="5"/>
      <c r="B302" s="5"/>
      <c r="C302" s="5"/>
      <c r="D302" s="5"/>
      <c r="E302" s="5"/>
      <c r="F302" s="244"/>
      <c r="G302" s="244"/>
      <c r="H302" s="2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</row>
    <row r="303" spans="1:60" x14ac:dyDescent="0.2">
      <c r="A303" s="5"/>
      <c r="B303" s="5"/>
      <c r="C303" s="5"/>
      <c r="D303" s="5"/>
      <c r="E303" s="5"/>
      <c r="F303" s="244"/>
      <c r="G303" s="244"/>
      <c r="H303" s="2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</row>
    <row r="304" spans="1:60" x14ac:dyDescent="0.2">
      <c r="A304" s="5"/>
      <c r="B304" s="5"/>
      <c r="C304" s="5"/>
      <c r="D304" s="5"/>
      <c r="E304" s="5"/>
      <c r="F304" s="244"/>
      <c r="G304" s="244"/>
      <c r="H304" s="2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</row>
    <row r="305" spans="1:60" x14ac:dyDescent="0.2">
      <c r="A305" s="5"/>
      <c r="B305" s="5"/>
      <c r="C305" s="5"/>
      <c r="D305" s="5"/>
      <c r="E305" s="5"/>
      <c r="F305" s="244"/>
      <c r="G305" s="244"/>
      <c r="H305" s="2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</row>
    <row r="306" spans="1:60" x14ac:dyDescent="0.2">
      <c r="A306" s="5"/>
      <c r="B306" s="5"/>
      <c r="C306" s="5"/>
      <c r="D306" s="5"/>
      <c r="E306" s="5"/>
      <c r="F306" s="244"/>
      <c r="G306" s="244"/>
      <c r="H306" s="2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</row>
    <row r="307" spans="1:60" x14ac:dyDescent="0.2">
      <c r="A307" s="5"/>
      <c r="B307" s="5"/>
      <c r="C307" s="5"/>
      <c r="D307" s="5"/>
      <c r="E307" s="5"/>
      <c r="F307" s="244"/>
      <c r="G307" s="244"/>
      <c r="H307" s="2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</row>
    <row r="308" spans="1:60" x14ac:dyDescent="0.2">
      <c r="A308" s="5"/>
      <c r="B308" s="5"/>
      <c r="C308" s="5"/>
      <c r="D308" s="5"/>
      <c r="E308" s="5"/>
      <c r="F308" s="244"/>
      <c r="G308" s="244"/>
      <c r="H308" s="2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</row>
    <row r="309" spans="1:60" x14ac:dyDescent="0.2">
      <c r="A309" s="5"/>
      <c r="B309" s="5"/>
      <c r="C309" s="5"/>
      <c r="D309" s="5"/>
      <c r="E309" s="5"/>
      <c r="F309" s="244"/>
      <c r="G309" s="244"/>
      <c r="H309" s="2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</row>
    <row r="310" spans="1:60" x14ac:dyDescent="0.2">
      <c r="A310" s="5"/>
      <c r="B310" s="5"/>
      <c r="C310" s="5"/>
      <c r="D310" s="5"/>
      <c r="E310" s="5"/>
      <c r="F310" s="244"/>
      <c r="G310" s="244"/>
      <c r="H310" s="2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</row>
    <row r="311" spans="1:60" x14ac:dyDescent="0.2">
      <c r="A311" s="5"/>
      <c r="B311" s="5"/>
      <c r="C311" s="5"/>
      <c r="D311" s="5"/>
      <c r="E311" s="5"/>
      <c r="F311" s="244"/>
      <c r="G311" s="244"/>
      <c r="H311" s="2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</row>
    <row r="312" spans="1:60" x14ac:dyDescent="0.2">
      <c r="A312" s="5"/>
      <c r="B312" s="5"/>
      <c r="C312" s="5"/>
      <c r="D312" s="5"/>
      <c r="E312" s="5"/>
      <c r="F312" s="244"/>
      <c r="G312" s="244"/>
      <c r="H312" s="2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</row>
    <row r="313" spans="1:60" x14ac:dyDescent="0.2">
      <c r="A313" s="5"/>
      <c r="B313" s="5"/>
      <c r="C313" s="5"/>
      <c r="D313" s="5"/>
      <c r="E313" s="5"/>
      <c r="F313" s="244"/>
      <c r="G313" s="244"/>
      <c r="H313" s="2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</row>
    <row r="314" spans="1:60" x14ac:dyDescent="0.2">
      <c r="A314" s="5"/>
      <c r="B314" s="5"/>
      <c r="C314" s="5"/>
      <c r="D314" s="5"/>
      <c r="E314" s="5"/>
      <c r="F314" s="244"/>
      <c r="G314" s="244"/>
      <c r="H314" s="2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</row>
    <row r="315" spans="1:60" x14ac:dyDescent="0.2">
      <c r="A315" s="5"/>
      <c r="B315" s="5"/>
      <c r="C315" s="5"/>
      <c r="D315" s="5"/>
      <c r="E315" s="5"/>
      <c r="F315" s="244"/>
      <c r="G315" s="244"/>
      <c r="H315" s="2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</row>
    <row r="316" spans="1:60" x14ac:dyDescent="0.2">
      <c r="A316" s="5"/>
      <c r="B316" s="5"/>
      <c r="C316" s="5"/>
      <c r="D316" s="5"/>
      <c r="E316" s="5"/>
      <c r="F316" s="244"/>
      <c r="G316" s="244"/>
      <c r="H316" s="2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</row>
    <row r="317" spans="1:60" x14ac:dyDescent="0.2">
      <c r="A317" s="5"/>
      <c r="B317" s="5"/>
      <c r="C317" s="5"/>
      <c r="D317" s="5"/>
      <c r="E317" s="5"/>
      <c r="F317" s="244"/>
      <c r="G317" s="244"/>
      <c r="H317" s="2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</row>
    <row r="318" spans="1:60" x14ac:dyDescent="0.2">
      <c r="A318" s="5"/>
      <c r="B318" s="5"/>
      <c r="C318" s="5"/>
      <c r="D318" s="5"/>
      <c r="E318" s="5"/>
      <c r="F318" s="244"/>
      <c r="G318" s="7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</row>
    <row r="319" spans="1:60" x14ac:dyDescent="0.2">
      <c r="A319" s="5"/>
      <c r="B319" s="5"/>
      <c r="C319" s="5"/>
      <c r="D319" s="5"/>
      <c r="E319" s="5"/>
      <c r="F319" s="244"/>
      <c r="G319" s="7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</row>
    <row r="320" spans="1:60" x14ac:dyDescent="0.2">
      <c r="A320" s="5"/>
      <c r="B320" s="5"/>
      <c r="C320" s="5"/>
      <c r="D320" s="5"/>
      <c r="E320" s="5"/>
      <c r="F320" s="244"/>
      <c r="G320" s="7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</row>
    <row r="321" spans="1:60" x14ac:dyDescent="0.2">
      <c r="A321" s="5"/>
      <c r="B321" s="5"/>
      <c r="C321" s="5"/>
      <c r="D321" s="5"/>
      <c r="E321" s="5"/>
      <c r="F321" s="244"/>
      <c r="G321" s="7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</row>
    <row r="322" spans="1:60" x14ac:dyDescent="0.2">
      <c r="A322" s="5"/>
      <c r="B322" s="5"/>
      <c r="C322" s="5"/>
      <c r="D322" s="5"/>
      <c r="E322" s="5"/>
      <c r="F322" s="244"/>
      <c r="G322" s="7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</row>
    <row r="323" spans="1:60" x14ac:dyDescent="0.2">
      <c r="A323" s="5"/>
      <c r="B323" s="5"/>
      <c r="C323" s="5"/>
      <c r="D323" s="5"/>
      <c r="E323" s="5"/>
      <c r="F323" s="244"/>
      <c r="G323" s="7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</row>
    <row r="324" spans="1:60" x14ac:dyDescent="0.2">
      <c r="A324" s="5"/>
      <c r="B324" s="5"/>
      <c r="C324" s="5"/>
      <c r="D324" s="5"/>
      <c r="E324" s="5"/>
      <c r="F324" s="244"/>
      <c r="G324" s="7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</row>
    <row r="325" spans="1:60" x14ac:dyDescent="0.2">
      <c r="A325" s="5"/>
      <c r="B325" s="5"/>
      <c r="C325" s="5"/>
      <c r="D325" s="5"/>
      <c r="E325" s="5"/>
      <c r="F325" s="244"/>
      <c r="G325" s="7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</row>
    <row r="326" spans="1:60" x14ac:dyDescent="0.2">
      <c r="A326" s="5"/>
      <c r="B326" s="5"/>
      <c r="C326" s="5"/>
      <c r="D326" s="5"/>
      <c r="E326" s="5"/>
      <c r="F326" s="244"/>
      <c r="G326" s="7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</row>
    <row r="327" spans="1:60" x14ac:dyDescent="0.2">
      <c r="A327" s="5"/>
      <c r="B327" s="5"/>
      <c r="C327" s="5"/>
      <c r="D327" s="5"/>
      <c r="E327" s="5"/>
      <c r="F327" s="244"/>
      <c r="G327" s="7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</row>
    <row r="328" spans="1:60" x14ac:dyDescent="0.2">
      <c r="A328" s="5"/>
      <c r="B328" s="5"/>
      <c r="C328" s="5"/>
      <c r="D328" s="5"/>
      <c r="E328" s="5"/>
      <c r="F328" s="244"/>
      <c r="G328" s="7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</row>
    <row r="329" spans="1:60" x14ac:dyDescent="0.2">
      <c r="A329" s="5"/>
      <c r="B329" s="5"/>
      <c r="C329" s="5"/>
      <c r="D329" s="5"/>
      <c r="E329" s="5"/>
      <c r="F329" s="244"/>
      <c r="G329" s="7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</row>
    <row r="330" spans="1:60" x14ac:dyDescent="0.2">
      <c r="A330" s="5"/>
      <c r="B330" s="5"/>
      <c r="C330" s="5"/>
      <c r="D330" s="5"/>
      <c r="E330" s="5"/>
      <c r="F330" s="244"/>
      <c r="G330" s="7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</row>
    <row r="331" spans="1:60" x14ac:dyDescent="0.2">
      <c r="A331" s="5"/>
      <c r="B331" s="5"/>
      <c r="C331" s="5"/>
      <c r="D331" s="5"/>
      <c r="E331" s="5"/>
      <c r="F331" s="244"/>
      <c r="G331" s="7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</row>
    <row r="332" spans="1:60" x14ac:dyDescent="0.2">
      <c r="A332" s="5"/>
      <c r="B332" s="5"/>
      <c r="C332" s="5"/>
      <c r="D332" s="5"/>
      <c r="E332" s="5"/>
      <c r="F332" s="244"/>
      <c r="G332" s="7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</row>
    <row r="333" spans="1:60" x14ac:dyDescent="0.2">
      <c r="A333" s="5"/>
      <c r="B333" s="5"/>
      <c r="C333" s="5"/>
      <c r="D333" s="5"/>
      <c r="E333" s="5"/>
      <c r="F333" s="244"/>
      <c r="G333" s="7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</row>
    <row r="334" spans="1:60" x14ac:dyDescent="0.2">
      <c r="A334" s="5"/>
      <c r="B334" s="5"/>
      <c r="C334" s="5"/>
      <c r="D334" s="5"/>
      <c r="E334" s="5"/>
      <c r="F334" s="244"/>
      <c r="G334" s="7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</row>
    <row r="335" spans="1:60" x14ac:dyDescent="0.2">
      <c r="A335" s="5"/>
      <c r="B335" s="5"/>
      <c r="C335" s="5"/>
      <c r="D335" s="5"/>
      <c r="E335" s="5"/>
      <c r="F335" s="244"/>
      <c r="G335" s="7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</row>
    <row r="336" spans="1:60" x14ac:dyDescent="0.2">
      <c r="A336" s="5"/>
      <c r="B336" s="5"/>
      <c r="C336" s="5"/>
      <c r="D336" s="5"/>
      <c r="E336" s="5"/>
      <c r="F336" s="244"/>
      <c r="G336" s="7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</row>
    <row r="337" spans="1:60" x14ac:dyDescent="0.2">
      <c r="A337" s="5"/>
      <c r="B337" s="5"/>
      <c r="C337" s="5"/>
      <c r="D337" s="5"/>
      <c r="E337" s="5"/>
      <c r="F337" s="244"/>
      <c r="G337" s="7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</row>
    <row r="338" spans="1:60" x14ac:dyDescent="0.2">
      <c r="A338" s="5"/>
      <c r="B338" s="5"/>
      <c r="C338" s="5"/>
      <c r="D338" s="5"/>
      <c r="E338" s="5"/>
      <c r="F338" s="244"/>
      <c r="G338" s="7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</row>
    <row r="339" spans="1:60" x14ac:dyDescent="0.2">
      <c r="A339" s="5"/>
      <c r="B339" s="5"/>
      <c r="C339" s="5"/>
      <c r="D339" s="5"/>
      <c r="E339" s="5"/>
      <c r="F339" s="244"/>
      <c r="G339" s="7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</row>
    <row r="340" spans="1:60" x14ac:dyDescent="0.2">
      <c r="A340" s="5"/>
      <c r="B340" s="5"/>
      <c r="C340" s="5"/>
      <c r="D340" s="5"/>
      <c r="E340" s="5"/>
      <c r="F340" s="244"/>
      <c r="G340" s="7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</row>
    <row r="341" spans="1:60" x14ac:dyDescent="0.2">
      <c r="A341" s="5"/>
      <c r="B341" s="5"/>
      <c r="C341" s="5"/>
      <c r="D341" s="5"/>
      <c r="E341" s="5"/>
      <c r="F341" s="244"/>
      <c r="G341" s="7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</row>
    <row r="342" spans="1:60" x14ac:dyDescent="0.2">
      <c r="A342" s="5"/>
      <c r="B342" s="5"/>
      <c r="C342" s="5"/>
      <c r="D342" s="5"/>
      <c r="E342" s="5"/>
      <c r="F342" s="244"/>
      <c r="G342" s="7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</row>
    <row r="343" spans="1:60" x14ac:dyDescent="0.2">
      <c r="A343" s="5"/>
      <c r="B343" s="5"/>
      <c r="C343" s="5"/>
      <c r="D343" s="5"/>
      <c r="E343" s="5"/>
      <c r="F343" s="244"/>
      <c r="G343" s="7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</row>
    <row r="344" spans="1:60" x14ac:dyDescent="0.2">
      <c r="A344" s="5"/>
      <c r="B344" s="5"/>
      <c r="C344" s="5"/>
      <c r="D344" s="5"/>
      <c r="E344" s="5"/>
      <c r="F344" s="71"/>
      <c r="G344" s="7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</row>
    <row r="345" spans="1:60" x14ac:dyDescent="0.2">
      <c r="A345" s="5"/>
      <c r="B345" s="5"/>
      <c r="C345" s="5"/>
      <c r="D345" s="5"/>
      <c r="E345" s="5"/>
      <c r="F345" s="71"/>
      <c r="G345" s="7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</row>
    <row r="346" spans="1:60" x14ac:dyDescent="0.2">
      <c r="A346" s="5"/>
      <c r="B346" s="5"/>
      <c r="C346" s="5"/>
      <c r="D346" s="5"/>
      <c r="E346" s="5"/>
      <c r="F346" s="71"/>
      <c r="G346" s="7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</row>
    <row r="347" spans="1:60" x14ac:dyDescent="0.2">
      <c r="A347" s="5"/>
      <c r="B347" s="5"/>
      <c r="C347" s="5"/>
      <c r="D347" s="5"/>
      <c r="E347" s="5"/>
      <c r="F347" s="71"/>
      <c r="G347" s="7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</row>
    <row r="348" spans="1:60" x14ac:dyDescent="0.2">
      <c r="A348" s="5"/>
      <c r="B348" s="5"/>
      <c r="C348" s="5"/>
      <c r="D348" s="5"/>
      <c r="E348" s="5"/>
      <c r="F348" s="71"/>
      <c r="G348" s="7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</row>
    <row r="349" spans="1:60" x14ac:dyDescent="0.2">
      <c r="A349" s="5"/>
      <c r="B349" s="5"/>
      <c r="C349" s="5"/>
      <c r="D349" s="5"/>
      <c r="E349" s="5"/>
      <c r="F349" s="71"/>
      <c r="G349" s="7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</row>
    <row r="350" spans="1:60" x14ac:dyDescent="0.2">
      <c r="A350" s="5"/>
      <c r="B350" s="5"/>
      <c r="C350" s="5"/>
      <c r="D350" s="5"/>
      <c r="E350" s="5"/>
      <c r="F350" s="71"/>
      <c r="G350" s="7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</row>
    <row r="351" spans="1:60" x14ac:dyDescent="0.2">
      <c r="A351" s="5"/>
      <c r="B351" s="5"/>
      <c r="C351" s="5"/>
      <c r="D351" s="5"/>
      <c r="E351" s="5"/>
      <c r="F351" s="71"/>
      <c r="G351" s="7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</row>
    <row r="352" spans="1:60" x14ac:dyDescent="0.2">
      <c r="A352" s="5"/>
      <c r="B352" s="5"/>
      <c r="C352" s="5"/>
      <c r="D352" s="5"/>
      <c r="E352" s="5"/>
      <c r="F352" s="71"/>
      <c r="G352" s="7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</row>
    <row r="353" spans="1:60" x14ac:dyDescent="0.2">
      <c r="A353" s="5"/>
      <c r="B353" s="5"/>
      <c r="C353" s="5"/>
      <c r="D353" s="5"/>
      <c r="E353" s="5"/>
      <c r="F353" s="71"/>
      <c r="G353" s="7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</row>
    <row r="354" spans="1:60" x14ac:dyDescent="0.2">
      <c r="A354" s="5"/>
      <c r="B354" s="5"/>
      <c r="C354" s="5"/>
      <c r="D354" s="5"/>
      <c r="E354" s="5"/>
      <c r="F354" s="71"/>
      <c r="G354" s="7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</row>
    <row r="355" spans="1:60" x14ac:dyDescent="0.2">
      <c r="A355" s="5"/>
      <c r="B355" s="5"/>
      <c r="C355" s="5"/>
      <c r="D355" s="5"/>
      <c r="E355" s="5"/>
      <c r="F355" s="71"/>
      <c r="G355" s="7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</row>
    <row r="356" spans="1:60" x14ac:dyDescent="0.2">
      <c r="A356" s="5"/>
      <c r="B356" s="5"/>
      <c r="C356" s="5"/>
      <c r="D356" s="5"/>
      <c r="E356" s="5"/>
      <c r="F356" s="71"/>
      <c r="G356" s="7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</row>
    <row r="357" spans="1:60" x14ac:dyDescent="0.2">
      <c r="A357" s="5"/>
      <c r="B357" s="5"/>
      <c r="C357" s="5"/>
      <c r="D357" s="5"/>
      <c r="E357" s="5"/>
      <c r="F357" s="71"/>
      <c r="G357" s="7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</row>
    <row r="358" spans="1:60" x14ac:dyDescent="0.2">
      <c r="A358" s="5"/>
      <c r="B358" s="5"/>
      <c r="C358" s="5"/>
      <c r="D358" s="5"/>
      <c r="E358" s="5"/>
      <c r="F358" s="71"/>
      <c r="G358" s="7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</row>
    <row r="359" spans="1:60" x14ac:dyDescent="0.2">
      <c r="A359" s="5"/>
      <c r="B359" s="5"/>
      <c r="C359" s="5"/>
      <c r="D359" s="5"/>
      <c r="E359" s="5"/>
      <c r="F359" s="71"/>
      <c r="G359" s="7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</row>
    <row r="360" spans="1:60" x14ac:dyDescent="0.2">
      <c r="A360" s="5"/>
      <c r="B360" s="5"/>
      <c r="C360" s="5"/>
      <c r="D360" s="5"/>
      <c r="E360" s="5"/>
      <c r="F360" s="71"/>
      <c r="G360" s="7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</row>
    <row r="361" spans="1:60" x14ac:dyDescent="0.2">
      <c r="A361" s="5"/>
      <c r="B361" s="5"/>
      <c r="C361" s="5"/>
      <c r="D361" s="5"/>
      <c r="E361" s="5"/>
      <c r="F361" s="71"/>
      <c r="G361" s="7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</row>
    <row r="362" spans="1:60" x14ac:dyDescent="0.2">
      <c r="A362" s="5"/>
      <c r="B362" s="5"/>
      <c r="C362" s="5"/>
      <c r="D362" s="5"/>
      <c r="E362" s="5"/>
      <c r="F362" s="71"/>
      <c r="G362" s="7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</row>
    <row r="363" spans="1:60" x14ac:dyDescent="0.2">
      <c r="A363" s="5"/>
      <c r="B363" s="5"/>
      <c r="C363" s="5"/>
      <c r="D363" s="5"/>
      <c r="E363" s="5"/>
      <c r="F363" s="71"/>
      <c r="G363" s="7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</row>
    <row r="364" spans="1:60" x14ac:dyDescent="0.2">
      <c r="A364" s="5"/>
      <c r="B364" s="5"/>
      <c r="C364" s="5"/>
      <c r="D364" s="5"/>
      <c r="E364" s="5"/>
      <c r="F364" s="71"/>
      <c r="G364" s="7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</row>
    <row r="365" spans="1:60" x14ac:dyDescent="0.2">
      <c r="A365" s="5"/>
      <c r="B365" s="5"/>
      <c r="C365" s="5"/>
      <c r="D365" s="5"/>
      <c r="E365" s="5"/>
      <c r="F365" s="71"/>
      <c r="G365" s="7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</row>
    <row r="366" spans="1:60" x14ac:dyDescent="0.2">
      <c r="A366" s="5"/>
      <c r="B366" s="5"/>
      <c r="C366" s="5"/>
      <c r="D366" s="5"/>
      <c r="E366" s="5"/>
      <c r="F366" s="71"/>
      <c r="G366" s="7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</row>
    <row r="367" spans="1:60" x14ac:dyDescent="0.2">
      <c r="A367" s="5"/>
      <c r="B367" s="5"/>
      <c r="C367" s="5"/>
      <c r="D367" s="5"/>
      <c r="E367" s="5"/>
      <c r="F367" s="71"/>
      <c r="G367" s="7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</row>
    <row r="368" spans="1:60" x14ac:dyDescent="0.2">
      <c r="A368" s="5"/>
      <c r="B368" s="5"/>
      <c r="C368" s="5"/>
      <c r="D368" s="5"/>
      <c r="E368" s="5"/>
      <c r="F368" s="71"/>
      <c r="G368" s="7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</row>
    <row r="369" spans="1:60" x14ac:dyDescent="0.2">
      <c r="A369" s="5"/>
      <c r="B369" s="5"/>
      <c r="C369" s="5"/>
      <c r="D369" s="5"/>
      <c r="E369" s="5"/>
      <c r="F369" s="71"/>
      <c r="G369" s="7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</row>
    <row r="370" spans="1:60" x14ac:dyDescent="0.2">
      <c r="A370" s="5"/>
      <c r="B370" s="5"/>
      <c r="C370" s="5"/>
      <c r="D370" s="5"/>
      <c r="E370" s="5"/>
      <c r="F370" s="7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</row>
    <row r="371" spans="1:60" x14ac:dyDescent="0.2">
      <c r="A371" s="5"/>
      <c r="B371" s="5"/>
      <c r="C371" s="5"/>
      <c r="D371" s="5"/>
      <c r="E371" s="5"/>
      <c r="F371" s="7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</row>
    <row r="372" spans="1:60" x14ac:dyDescent="0.2">
      <c r="A372" s="5"/>
      <c r="B372" s="5"/>
      <c r="C372" s="5"/>
      <c r="D372" s="5"/>
      <c r="E372" s="5"/>
      <c r="F372" s="7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</row>
    <row r="373" spans="1:60" x14ac:dyDescent="0.2">
      <c r="A373" s="5"/>
      <c r="B373" s="5"/>
      <c r="C373" s="5"/>
      <c r="D373" s="5"/>
      <c r="E373" s="5"/>
      <c r="F373" s="7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</row>
    <row r="374" spans="1:60" x14ac:dyDescent="0.2">
      <c r="A374" s="5"/>
      <c r="B374" s="5"/>
      <c r="C374" s="5"/>
      <c r="D374" s="5"/>
      <c r="E374" s="5"/>
      <c r="F374" s="7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</row>
    <row r="375" spans="1:60" x14ac:dyDescent="0.2">
      <c r="A375" s="5"/>
      <c r="B375" s="5"/>
      <c r="C375" s="5"/>
      <c r="D375" s="5"/>
      <c r="E375" s="5"/>
      <c r="F375" s="7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</row>
    <row r="376" spans="1:60" x14ac:dyDescent="0.2">
      <c r="A376" s="5"/>
      <c r="B376" s="5"/>
      <c r="C376" s="5"/>
      <c r="D376" s="5"/>
      <c r="E376" s="5"/>
      <c r="F376" s="7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</row>
    <row r="377" spans="1:60" x14ac:dyDescent="0.2">
      <c r="A377" s="5"/>
      <c r="B377" s="5"/>
      <c r="C377" s="5"/>
      <c r="D377" s="5"/>
      <c r="E377" s="5"/>
      <c r="F377" s="7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</row>
    <row r="378" spans="1:60" x14ac:dyDescent="0.2">
      <c r="A378" s="5"/>
      <c r="B378" s="5"/>
      <c r="C378" s="5"/>
      <c r="D378" s="5"/>
      <c r="E378" s="5"/>
      <c r="F378" s="7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</row>
    <row r="379" spans="1:60" x14ac:dyDescent="0.2">
      <c r="A379" s="5"/>
      <c r="B379" s="5"/>
      <c r="C379" s="5"/>
      <c r="D379" s="5"/>
      <c r="E379" s="5"/>
      <c r="F379" s="7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</row>
    <row r="380" spans="1:60" x14ac:dyDescent="0.2">
      <c r="A380" s="5"/>
      <c r="B380" s="5"/>
      <c r="C380" s="5"/>
      <c r="D380" s="5"/>
      <c r="E380" s="5"/>
      <c r="F380" s="7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</row>
    <row r="381" spans="1:60" x14ac:dyDescent="0.2">
      <c r="A381" s="5"/>
      <c r="B381" s="5"/>
      <c r="C381" s="5"/>
      <c r="D381" s="5"/>
      <c r="E381" s="5"/>
      <c r="F381" s="7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</row>
    <row r="382" spans="1:60" x14ac:dyDescent="0.2">
      <c r="A382" s="5"/>
      <c r="B382" s="5"/>
      <c r="C382" s="5"/>
      <c r="D382" s="5"/>
      <c r="E382" s="5"/>
      <c r="F382" s="7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</row>
    <row r="383" spans="1:60" x14ac:dyDescent="0.2">
      <c r="A383" s="5"/>
      <c r="B383" s="5"/>
      <c r="C383" s="5"/>
      <c r="D383" s="5"/>
      <c r="E383" s="5"/>
      <c r="F383" s="7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</row>
    <row r="384" spans="1:60" x14ac:dyDescent="0.2">
      <c r="A384" s="5"/>
      <c r="B384" s="5"/>
      <c r="C384" s="5"/>
      <c r="D384" s="5"/>
      <c r="E384" s="5"/>
      <c r="F384" s="7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</row>
    <row r="385" spans="1:60" x14ac:dyDescent="0.2">
      <c r="A385" s="5"/>
      <c r="B385" s="5"/>
      <c r="C385" s="5"/>
      <c r="D385" s="5"/>
      <c r="E385" s="5"/>
      <c r="F385" s="7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</row>
    <row r="386" spans="1:60" x14ac:dyDescent="0.2">
      <c r="A386" s="5"/>
      <c r="B386" s="5"/>
      <c r="C386" s="5"/>
      <c r="D386" s="5"/>
      <c r="E386" s="5"/>
      <c r="F386" s="7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</row>
    <row r="387" spans="1:60" x14ac:dyDescent="0.2">
      <c r="A387" s="5"/>
      <c r="B387" s="5"/>
      <c r="C387" s="5"/>
      <c r="D387" s="5"/>
      <c r="E387" s="5"/>
      <c r="F387" s="7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</row>
    <row r="388" spans="1:60" x14ac:dyDescent="0.2">
      <c r="A388" s="5"/>
      <c r="B388" s="5"/>
      <c r="C388" s="5"/>
      <c r="D388" s="5"/>
      <c r="E388" s="5"/>
      <c r="F388" s="7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</row>
    <row r="389" spans="1:60" x14ac:dyDescent="0.2">
      <c r="A389" s="5"/>
      <c r="B389" s="5"/>
      <c r="C389" s="5"/>
      <c r="D389" s="5"/>
      <c r="E389" s="5"/>
      <c r="F389" s="7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</row>
    <row r="390" spans="1:60" x14ac:dyDescent="0.2"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</row>
    <row r="391" spans="1:60" x14ac:dyDescent="0.2"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</row>
    <row r="392" spans="1:60" x14ac:dyDescent="0.2"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</row>
    <row r="393" spans="1:60" x14ac:dyDescent="0.2"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</row>
    <row r="394" spans="1:60" x14ac:dyDescent="0.2"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</row>
    <row r="395" spans="1:60" x14ac:dyDescent="0.2"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</row>
    <row r="396" spans="1:60" x14ac:dyDescent="0.2"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</row>
    <row r="397" spans="1:60" x14ac:dyDescent="0.2"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</row>
    <row r="398" spans="1:60" x14ac:dyDescent="0.2"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</row>
    <row r="399" spans="1:60" x14ac:dyDescent="0.2"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</row>
    <row r="400" spans="1:60" x14ac:dyDescent="0.2"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</row>
    <row r="401" spans="15:60" x14ac:dyDescent="0.2"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</row>
    <row r="402" spans="15:60" x14ac:dyDescent="0.2"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</row>
    <row r="403" spans="15:60" x14ac:dyDescent="0.2"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</row>
    <row r="404" spans="15:60" x14ac:dyDescent="0.2"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</row>
    <row r="405" spans="15:60" x14ac:dyDescent="0.2"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</row>
    <row r="406" spans="15:60" x14ac:dyDescent="0.2"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</row>
    <row r="407" spans="15:60" x14ac:dyDescent="0.2"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</row>
    <row r="408" spans="15:60" x14ac:dyDescent="0.2"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</row>
    <row r="409" spans="15:60" x14ac:dyDescent="0.2"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</row>
    <row r="410" spans="15:60" x14ac:dyDescent="0.2"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</row>
    <row r="411" spans="15:60" x14ac:dyDescent="0.2"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</row>
    <row r="412" spans="15:60" x14ac:dyDescent="0.2"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</row>
    <row r="413" spans="15:60" x14ac:dyDescent="0.2"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</row>
    <row r="414" spans="15:60" x14ac:dyDescent="0.2"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</row>
    <row r="415" spans="15:60" x14ac:dyDescent="0.2"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</row>
    <row r="416" spans="15:60" x14ac:dyDescent="0.2"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</row>
    <row r="417" spans="15:60" x14ac:dyDescent="0.2"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</row>
    <row r="418" spans="15:60" x14ac:dyDescent="0.2"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</row>
    <row r="419" spans="15:60" x14ac:dyDescent="0.2"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</row>
    <row r="420" spans="15:60" x14ac:dyDescent="0.2"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</row>
    <row r="421" spans="15:60" x14ac:dyDescent="0.2"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</row>
    <row r="422" spans="15:60" x14ac:dyDescent="0.2"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</row>
    <row r="423" spans="15:60" x14ac:dyDescent="0.2"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</row>
    <row r="424" spans="15:60" x14ac:dyDescent="0.2"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</row>
    <row r="425" spans="15:60" x14ac:dyDescent="0.2"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</row>
    <row r="426" spans="15:60" x14ac:dyDescent="0.2"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</row>
    <row r="427" spans="15:60" x14ac:dyDescent="0.2"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</row>
    <row r="428" spans="15:60" x14ac:dyDescent="0.2"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</row>
    <row r="429" spans="15:60" x14ac:dyDescent="0.2"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</row>
    <row r="430" spans="15:60" x14ac:dyDescent="0.2"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</row>
    <row r="431" spans="15:60" x14ac:dyDescent="0.2"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</row>
    <row r="432" spans="15:60" x14ac:dyDescent="0.2"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</row>
    <row r="433" spans="15:60" x14ac:dyDescent="0.2"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</row>
    <row r="434" spans="15:60" x14ac:dyDescent="0.2"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</row>
    <row r="435" spans="15:60" x14ac:dyDescent="0.2"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</row>
    <row r="436" spans="15:60" x14ac:dyDescent="0.2"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</row>
    <row r="437" spans="15:60" x14ac:dyDescent="0.2"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</row>
    <row r="438" spans="15:60" x14ac:dyDescent="0.2"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</row>
    <row r="439" spans="15:60" x14ac:dyDescent="0.2"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</row>
    <row r="440" spans="15:60" x14ac:dyDescent="0.2"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</row>
    <row r="441" spans="15:60" x14ac:dyDescent="0.2"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</row>
    <row r="442" spans="15:60" x14ac:dyDescent="0.2"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</row>
    <row r="443" spans="15:60" x14ac:dyDescent="0.2"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</row>
    <row r="444" spans="15:60" x14ac:dyDescent="0.2"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</row>
    <row r="445" spans="15:60" x14ac:dyDescent="0.2"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</row>
    <row r="446" spans="15:60" x14ac:dyDescent="0.2"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</row>
    <row r="447" spans="15:60" x14ac:dyDescent="0.2"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</row>
    <row r="448" spans="15:60" x14ac:dyDescent="0.2"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</row>
    <row r="449" spans="15:60" x14ac:dyDescent="0.2"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</row>
    <row r="450" spans="15:60" x14ac:dyDescent="0.2"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</row>
    <row r="451" spans="15:60" x14ac:dyDescent="0.2"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</row>
    <row r="452" spans="15:60" x14ac:dyDescent="0.2"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</row>
    <row r="453" spans="15:60" x14ac:dyDescent="0.2"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</row>
    <row r="454" spans="15:60" x14ac:dyDescent="0.2"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</row>
    <row r="455" spans="15:60" x14ac:dyDescent="0.2"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</row>
    <row r="456" spans="15:60" x14ac:dyDescent="0.2"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</row>
    <row r="457" spans="15:60" x14ac:dyDescent="0.2"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</row>
    <row r="458" spans="15:60" x14ac:dyDescent="0.2"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</row>
    <row r="459" spans="15:60" x14ac:dyDescent="0.2"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</row>
    <row r="460" spans="15:60" x14ac:dyDescent="0.2"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</row>
    <row r="461" spans="15:60" x14ac:dyDescent="0.2"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</row>
    <row r="462" spans="15:60" x14ac:dyDescent="0.2"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</row>
    <row r="463" spans="15:60" x14ac:dyDescent="0.2"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</row>
    <row r="464" spans="15:60" x14ac:dyDescent="0.2"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</row>
    <row r="465" spans="15:60" x14ac:dyDescent="0.2"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</row>
    <row r="466" spans="15:60" x14ac:dyDescent="0.2"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</row>
    <row r="467" spans="15:60" x14ac:dyDescent="0.2"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</row>
    <row r="468" spans="15:60" x14ac:dyDescent="0.2"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</row>
    <row r="469" spans="15:60" x14ac:dyDescent="0.2"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</row>
    <row r="470" spans="15:60" x14ac:dyDescent="0.2"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</row>
    <row r="471" spans="15:60" x14ac:dyDescent="0.2"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</row>
    <row r="472" spans="15:60" x14ac:dyDescent="0.2"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</row>
    <row r="473" spans="15:60" x14ac:dyDescent="0.2"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</row>
    <row r="474" spans="15:60" x14ac:dyDescent="0.2"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</row>
    <row r="475" spans="15:60" x14ac:dyDescent="0.2"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</row>
    <row r="476" spans="15:60" x14ac:dyDescent="0.2"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</row>
    <row r="477" spans="15:60" x14ac:dyDescent="0.2"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</row>
    <row r="478" spans="15:60" x14ac:dyDescent="0.2"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</row>
    <row r="479" spans="15:60" x14ac:dyDescent="0.2"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</row>
    <row r="480" spans="15:60" x14ac:dyDescent="0.2"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</row>
    <row r="481" spans="15:60" x14ac:dyDescent="0.2"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</row>
    <row r="482" spans="15:60" x14ac:dyDescent="0.2"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</row>
    <row r="483" spans="15:60" x14ac:dyDescent="0.2"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</row>
    <row r="484" spans="15:60" x14ac:dyDescent="0.2"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</row>
    <row r="485" spans="15:60" x14ac:dyDescent="0.2"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</row>
    <row r="486" spans="15:60" x14ac:dyDescent="0.2"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</row>
    <row r="487" spans="15:60" x14ac:dyDescent="0.2"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</row>
    <row r="488" spans="15:60" x14ac:dyDescent="0.2"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</row>
    <row r="489" spans="15:60" x14ac:dyDescent="0.2"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</row>
    <row r="490" spans="15:60" x14ac:dyDescent="0.2"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</row>
    <row r="491" spans="15:60" x14ac:dyDescent="0.2"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</row>
    <row r="492" spans="15:60" x14ac:dyDescent="0.2"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</row>
    <row r="493" spans="15:60" x14ac:dyDescent="0.2"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</row>
    <row r="494" spans="15:60" x14ac:dyDescent="0.2"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</row>
    <row r="495" spans="15:60" x14ac:dyDescent="0.2"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</row>
    <row r="496" spans="15:60" x14ac:dyDescent="0.2"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</row>
    <row r="497" spans="15:60" x14ac:dyDescent="0.2"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</row>
    <row r="498" spans="15:60" x14ac:dyDescent="0.2"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</row>
    <row r="499" spans="15:60" x14ac:dyDescent="0.2"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</row>
    <row r="500" spans="15:60" x14ac:dyDescent="0.2"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</row>
  </sheetData>
  <sheetProtection algorithmName="SHA-512" hashValue="Skt2x5ArRO+DUfHz+yUhuKwjJj4NfSPPhP1vnoJKHVAOSRwauegOKb64oM555xzG4/B5BlQpk6VfNBN8XiUnzQ==" saltValue="hrh7tFj0jNEq+y73+Tro4g==" spinCount="100000" sheet="1" objects="1" scenarios="1"/>
  <mergeCells count="20">
    <mergeCell ref="O31:Q31"/>
    <mergeCell ref="O18:P18"/>
    <mergeCell ref="B2:S2"/>
    <mergeCell ref="I4:L4"/>
    <mergeCell ref="B6:C6"/>
    <mergeCell ref="O6:R6"/>
    <mergeCell ref="O17:P17"/>
    <mergeCell ref="I17:L17"/>
    <mergeCell ref="O19:P19"/>
    <mergeCell ref="O20:P20"/>
    <mergeCell ref="O30:Q30"/>
    <mergeCell ref="O24:S24"/>
    <mergeCell ref="O25:T26"/>
    <mergeCell ref="O23:Q23"/>
    <mergeCell ref="E42:F42"/>
    <mergeCell ref="J36:L36"/>
    <mergeCell ref="J33:L33"/>
    <mergeCell ref="J34:L34"/>
    <mergeCell ref="J35:L35"/>
    <mergeCell ref="I37:L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2022-04-13T10:38:11Z</dcterms:modified>
</cp:coreProperties>
</file>