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fleur.alonso\Desktop\docs 0 à 9 Saint-Méry nouvelles versions\"/>
    </mc:Choice>
  </mc:AlternateContent>
  <bookViews>
    <workbookView xWindow="0" yWindow="0" windowWidth="20500" windowHeight="7750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B55" i="1"/>
  <c r="D54" i="1"/>
  <c r="B54" i="1"/>
  <c r="D53" i="1"/>
  <c r="B53" i="1"/>
  <c r="D52" i="1"/>
  <c r="B52" i="1"/>
  <c r="D51" i="1"/>
  <c r="B51" i="1"/>
  <c r="D50" i="1"/>
  <c r="B50" i="1"/>
  <c r="D49" i="1"/>
  <c r="B49" i="1"/>
  <c r="D48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D37" i="1"/>
  <c r="B37" i="1"/>
  <c r="B36" i="1"/>
  <c r="B211" i="1" l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D81" i="1" l="1"/>
  <c r="B81" i="1"/>
  <c r="D80" i="1"/>
  <c r="B80" i="1"/>
  <c r="D79" i="1"/>
  <c r="B79" i="1"/>
  <c r="D78" i="1"/>
  <c r="B78" i="1"/>
  <c r="D77" i="1"/>
  <c r="B77" i="1"/>
  <c r="D76" i="1"/>
  <c r="B76" i="1"/>
  <c r="D75" i="1"/>
  <c r="B75" i="1"/>
  <c r="D74" i="1"/>
  <c r="B74" i="1"/>
  <c r="D73" i="1"/>
  <c r="B73" i="1"/>
  <c r="B72" i="1"/>
  <c r="D71" i="1"/>
  <c r="B71" i="1"/>
  <c r="B70" i="1"/>
  <c r="D69" i="1"/>
  <c r="B69" i="1"/>
  <c r="B68" i="1"/>
  <c r="D67" i="1"/>
  <c r="B67" i="1"/>
  <c r="B66" i="1"/>
  <c r="D65" i="1"/>
  <c r="B65" i="1"/>
  <c r="B64" i="1"/>
  <c r="D63" i="1"/>
  <c r="B63" i="1"/>
  <c r="B62" i="1"/>
  <c r="B185" i="1"/>
  <c r="D185" i="1" s="1"/>
  <c r="D184" i="1"/>
  <c r="B184" i="1"/>
  <c r="D183" i="1"/>
  <c r="B183" i="1"/>
  <c r="D182" i="1"/>
  <c r="B182" i="1"/>
  <c r="B181" i="1"/>
  <c r="D180" i="1"/>
  <c r="B180" i="1"/>
  <c r="B179" i="1"/>
  <c r="D178" i="1"/>
  <c r="B178" i="1"/>
  <c r="B177" i="1"/>
  <c r="D176" i="1"/>
  <c r="B176" i="1"/>
  <c r="B175" i="1"/>
  <c r="D174" i="1"/>
  <c r="B174" i="1"/>
  <c r="B173" i="1"/>
  <c r="D172" i="1"/>
  <c r="B172" i="1"/>
  <c r="B171" i="1"/>
  <c r="D170" i="1"/>
  <c r="B170" i="1"/>
  <c r="B169" i="1"/>
  <c r="D168" i="1"/>
  <c r="B168" i="1"/>
  <c r="B167" i="1"/>
  <c r="B166" i="1"/>
  <c r="B159" i="1"/>
  <c r="D159" i="1" s="1"/>
  <c r="D158" i="1"/>
  <c r="B158" i="1"/>
  <c r="D157" i="1"/>
  <c r="B157" i="1"/>
  <c r="D156" i="1"/>
  <c r="B156" i="1"/>
  <c r="B155" i="1"/>
  <c r="D154" i="1"/>
  <c r="B154" i="1"/>
  <c r="B153" i="1"/>
  <c r="D152" i="1"/>
  <c r="B152" i="1"/>
  <c r="B151" i="1"/>
  <c r="D150" i="1"/>
  <c r="B150" i="1"/>
  <c r="B149" i="1"/>
  <c r="D148" i="1"/>
  <c r="B148" i="1"/>
  <c r="B147" i="1"/>
  <c r="D146" i="1"/>
  <c r="B146" i="1"/>
  <c r="B145" i="1"/>
  <c r="D144" i="1"/>
  <c r="B144" i="1"/>
  <c r="B143" i="1"/>
  <c r="D142" i="1"/>
  <c r="B142" i="1"/>
  <c r="B141" i="1"/>
  <c r="B140" i="1"/>
  <c r="B130" i="1" l="1"/>
  <c r="D130" i="1" s="1"/>
  <c r="B129" i="1"/>
  <c r="D128" i="1"/>
  <c r="B128" i="1"/>
  <c r="B127" i="1"/>
  <c r="D126" i="1"/>
  <c r="B126" i="1"/>
  <c r="B125" i="1"/>
  <c r="D124" i="1"/>
  <c r="B124" i="1"/>
  <c r="B123" i="1"/>
  <c r="D122" i="1"/>
  <c r="B122" i="1"/>
  <c r="B121" i="1"/>
  <c r="D120" i="1"/>
  <c r="B120" i="1"/>
  <c r="B119" i="1"/>
  <c r="D118" i="1"/>
  <c r="B118" i="1"/>
  <c r="B117" i="1"/>
  <c r="D116" i="1"/>
  <c r="B116" i="1"/>
  <c r="B115" i="1"/>
  <c r="B114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FR4" i="2"/>
  <c r="EC4" i="2"/>
  <c r="EA4" i="2"/>
  <c r="BR4" i="2"/>
  <c r="BQ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HI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C14" i="2"/>
  <c r="EX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V18" i="2"/>
  <c r="EX18" i="2"/>
  <c r="HG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V20" i="2"/>
  <c r="HH20" i="2"/>
  <c r="FS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HG22" i="2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V28" i="2"/>
  <c r="EC28" i="2"/>
  <c r="HI28" i="2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B33" i="2"/>
  <c r="EA33" i="2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HI38" i="2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A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B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G85" i="2"/>
  <c r="EC85" i="2"/>
  <c r="EV85" i="2"/>
  <c r="EW85" i="2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FS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X112" i="2"/>
  <c r="FQ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EB113" i="2"/>
  <c r="EC113" i="2"/>
  <c r="HI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EW122" i="2"/>
  <c r="FS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HG130" i="2"/>
  <c r="EX130" i="2"/>
  <c r="FS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HH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HH140" i="2"/>
  <c r="FS140" i="2"/>
  <c r="HG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HG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X144" i="2"/>
  <c r="HH144" i="2"/>
  <c r="HG144" i="2"/>
  <c r="FR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I146" i="2"/>
  <c r="EA146" i="2"/>
  <c r="HG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H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C150" i="2"/>
  <c r="EV150" i="2"/>
  <c r="HG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HJ154" i="2"/>
  <c r="EY154" i="2"/>
  <c r="DI154" i="2"/>
  <c r="ED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HH156" i="2" l="1"/>
  <c r="HG156" i="2"/>
  <c r="EY155" i="2"/>
  <c r="EX156" i="2"/>
  <c r="ED155" i="2"/>
  <c r="HI156" i="2"/>
  <c r="FS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HH157" i="2"/>
  <c r="EX157" i="2"/>
  <c r="EB157" i="2"/>
  <c r="EC157" i="2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C158" i="2"/>
  <c r="ED157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H159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I160" i="2"/>
  <c r="DG160" i="2"/>
  <c r="EC160" i="2"/>
  <c r="ED159" i="2"/>
  <c r="HG160" i="2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H161" i="2" l="1"/>
  <c r="HG161" i="2"/>
  <c r="ED160" i="2"/>
  <c r="EX161" i="2"/>
  <c r="FS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D161" i="2"/>
  <c r="EB162" i="2"/>
  <c r="EW162" i="2"/>
  <c r="EY161" i="2"/>
  <c r="EC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D162" i="2"/>
  <c r="HH163" i="2"/>
  <c r="HG163" i="2"/>
  <c r="HI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EA164" i="2"/>
  <c r="EV164" i="2"/>
  <c r="EX164" i="2"/>
  <c r="HG164" i="2"/>
  <c r="DI163" i="2"/>
  <c r="FR164" i="2"/>
  <c r="FS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EC166" i="2"/>
  <c r="ED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C167" i="2"/>
  <c r="EX167" i="2"/>
  <c r="HI167" i="2"/>
  <c r="HH167" i="2"/>
  <c r="FR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C168" i="2"/>
  <c r="EB168" i="2"/>
  <c r="HH168" i="2"/>
  <c r="DG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A169" i="2"/>
  <c r="EB169" i="2"/>
  <c r="EY168" i="2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A172" i="2"/>
  <c r="ED171" i="2"/>
  <c r="EB172" i="2"/>
  <c r="EY171" i="2"/>
  <c r="EV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D172" i="2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A175" i="2"/>
  <c r="EB175" i="2"/>
  <c r="HI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D177" i="2"/>
  <c r="EW178" i="2"/>
  <c r="HG178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HG179" i="2"/>
  <c r="ED178" i="2"/>
  <c r="EB179" i="2"/>
  <c r="EA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D179" i="2"/>
  <c r="EY179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I185" i="2"/>
  <c r="ED184" i="2"/>
  <c r="HG185" i="2"/>
  <c r="HH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HH186" i="2"/>
  <c r="EB186" i="2"/>
  <c r="EA186" i="2"/>
  <c r="ED185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ED187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H189" i="2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G190" i="2"/>
  <c r="HJ189" i="2"/>
  <c r="ED189" i="2"/>
  <c r="EB190" i="2"/>
  <c r="EV190" i="2"/>
  <c r="EY189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W191" i="2"/>
  <c r="ED190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HI192" i="2"/>
  <c r="EW192" i="2"/>
  <c r="EV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A193" i="2"/>
  <c r="ED192" i="2"/>
  <c r="EB193" i="2"/>
  <c r="EY192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D193" i="2"/>
  <c r="EB194" i="2"/>
  <c r="EA194" i="2"/>
  <c r="FQ194" i="2"/>
  <c r="HG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FQ195" i="2" l="1"/>
  <c r="HI195" i="2"/>
  <c r="HG195" i="2"/>
  <c r="EB195" i="2"/>
  <c r="ED194" i="2"/>
  <c r="EA195" i="2"/>
  <c r="EY194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V199" i="2"/>
  <c r="EY198" i="2"/>
  <c r="EB199" i="2"/>
  <c r="EW199" i="2"/>
  <c r="FS199" i="2"/>
  <c r="HG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HJ200" i="2"/>
  <c r="HH201" i="2"/>
  <c r="ED200" i="2"/>
  <c r="DI200" i="2"/>
  <c r="HG201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Z6" i="2" l="1"/>
  <c r="FS202" i="2"/>
  <c r="HG202" i="2"/>
  <c r="HH202" i="2"/>
  <c r="HI202" i="2"/>
  <c r="EY201" i="2"/>
  <c r="ED201" i="2"/>
  <c r="EW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CS38" i="2" a="1"/>
  <c r="CS38" i="2" s="1"/>
  <c r="CS185" i="2" a="1"/>
  <c r="CS185" i="2" s="1"/>
  <c r="CS56" i="2" a="1"/>
  <c r="CS56" i="2" s="1"/>
  <c r="DN6" i="2" a="1"/>
  <c r="DN6" i="2" s="1"/>
  <c r="DO6" i="2" s="1"/>
  <c r="CS24" i="2" a="1"/>
  <c r="CS24" i="2" s="1"/>
  <c r="CS72" i="2" a="1"/>
  <c r="CS72" i="2" s="1"/>
  <c r="BX107" i="2" a="1"/>
  <c r="BX107" i="2" s="1"/>
  <c r="AX200" i="2"/>
  <c r="EI20" i="2" l="1" a="1"/>
  <c r="EI20" i="2" s="1"/>
  <c r="EI34" i="2" a="1"/>
  <c r="EI34" i="2" s="1"/>
  <c r="EI36" i="2" a="1"/>
  <c r="EI36" i="2" s="1"/>
  <c r="EI87" i="2" a="1"/>
  <c r="EI87" i="2" s="1"/>
  <c r="CS120" i="2" a="1"/>
  <c r="CS120" i="2" s="1"/>
  <c r="CS134" i="2" a="1"/>
  <c r="CS134" i="2" s="1"/>
  <c r="CS77" i="2" a="1"/>
  <c r="CS77" i="2" s="1"/>
  <c r="CS161" i="2" a="1"/>
  <c r="CS161" i="2" s="1"/>
  <c r="CS114" i="2" a="1"/>
  <c r="CS114" i="2" s="1"/>
  <c r="CS137" i="2" a="1"/>
  <c r="CS137" i="2" s="1"/>
  <c r="FD48" i="2" a="1"/>
  <c r="FD48" i="2" s="1"/>
  <c r="EI35" i="2" a="1"/>
  <c r="EI35" i="2" s="1"/>
  <c r="EI139" i="2" a="1"/>
  <c r="EI139" i="2" s="1"/>
  <c r="EI113" i="2" a="1"/>
  <c r="EI113" i="2" s="1"/>
  <c r="FD44" i="2" a="1"/>
  <c r="FD44" i="2" s="1"/>
  <c r="AH90" i="2" a="1"/>
  <c r="AH90" i="2" s="1"/>
  <c r="CS105" i="2" a="1"/>
  <c r="CS105" i="2" s="1"/>
  <c r="CS52" i="2" a="1"/>
  <c r="CS52" i="2" s="1"/>
  <c r="CS66" i="2" a="1"/>
  <c r="CS66" i="2" s="1"/>
  <c r="FD188" i="2" a="1"/>
  <c r="FD188" i="2" s="1"/>
  <c r="FD82" i="2" a="1"/>
  <c r="FD82" i="2" s="1"/>
  <c r="FD131" i="2" a="1"/>
  <c r="FD131" i="2" s="1"/>
  <c r="FD187" i="2" a="1"/>
  <c r="FD187" i="2" s="1"/>
  <c r="FD194" i="2" a="1"/>
  <c r="FD194" i="2" s="1"/>
  <c r="FD19" i="2" a="1"/>
  <c r="FD19" i="2" s="1"/>
  <c r="FD160" i="2" a="1"/>
  <c r="FD160" i="2" s="1"/>
  <c r="FD137" i="2" a="1"/>
  <c r="FD137" i="2" s="1"/>
  <c r="FD159" i="2" a="1"/>
  <c r="FD159" i="2" s="1"/>
  <c r="FD107" i="2" a="1"/>
  <c r="FD107" i="2" s="1"/>
  <c r="FD167" i="2" a="1"/>
  <c r="FD167" i="2" s="1"/>
  <c r="FD43" i="2" a="1"/>
  <c r="FD43" i="2" s="1"/>
  <c r="FD64" i="2" a="1"/>
  <c r="FD64" i="2" s="1"/>
  <c r="FD189" i="2" a="1"/>
  <c r="FD189" i="2" s="1"/>
  <c r="FD14" i="2" a="1"/>
  <c r="FD14" i="2" s="1"/>
  <c r="FD59" i="2" a="1"/>
  <c r="FD59" i="2" s="1"/>
  <c r="FD144" i="2" a="1"/>
  <c r="FD144" i="2" s="1"/>
  <c r="FD21" i="2" a="1"/>
  <c r="FD21" i="2" s="1"/>
  <c r="FD60" i="2" a="1"/>
  <c r="FD60" i="2" s="1"/>
  <c r="EI37" i="2" a="1"/>
  <c r="EI37" i="2" s="1"/>
  <c r="EI145" i="2" a="1"/>
  <c r="EI145" i="2" s="1"/>
  <c r="EI162" i="2" a="1"/>
  <c r="EI162" i="2" s="1"/>
  <c r="EI67" i="2" a="1"/>
  <c r="EI67" i="2" s="1"/>
  <c r="EI170" i="2" a="1"/>
  <c r="EI170" i="2" s="1"/>
  <c r="EI16" i="2" a="1"/>
  <c r="EI16" i="2" s="1"/>
  <c r="EI178" i="2" a="1"/>
  <c r="EI178" i="2" s="1"/>
  <c r="EI150" i="2" a="1"/>
  <c r="EI150" i="2" s="1"/>
  <c r="EI29" i="2" a="1"/>
  <c r="EI29" i="2" s="1"/>
  <c r="EI165" i="2" a="1"/>
  <c r="EI165" i="2" s="1"/>
  <c r="EI71" i="2" a="1"/>
  <c r="EI71" i="2" s="1"/>
  <c r="EI57" i="2" a="1"/>
  <c r="EI57" i="2" s="1"/>
  <c r="EI106" i="2" a="1"/>
  <c r="EI106" i="2" s="1"/>
  <c r="EI153" i="2" a="1"/>
  <c r="EI153" i="2" s="1"/>
  <c r="EI109" i="2" a="1"/>
  <c r="EI109" i="2" s="1"/>
  <c r="EI38" i="2" a="1"/>
  <c r="EI38" i="2" s="1"/>
  <c r="EI195" i="2" a="1"/>
  <c r="EI195" i="2" s="1"/>
  <c r="EI166" i="2" a="1"/>
  <c r="EI166" i="2" s="1"/>
  <c r="EI198" i="2" a="1"/>
  <c r="EI198" i="2" s="1"/>
  <c r="EI128" i="2" a="1"/>
  <c r="EI128" i="2" s="1"/>
  <c r="EI142" i="2" a="1"/>
  <c r="EI142" i="2" s="1"/>
  <c r="CS116" i="2" a="1"/>
  <c r="CS116" i="2" s="1"/>
  <c r="CS129" i="2" a="1"/>
  <c r="CS129" i="2" s="1"/>
  <c r="FS203" i="2"/>
  <c r="EY202" i="2"/>
  <c r="HJ202" i="2"/>
  <c r="FR203" i="2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2" i="2" a="1"/>
  <c r="AH92" i="2" s="1"/>
  <c r="GT51" i="2" a="1"/>
  <c r="GT51" i="2" s="1"/>
  <c r="GT138" i="2" a="1"/>
  <c r="GT138" i="2" s="1"/>
  <c r="GT178" i="2" a="1"/>
  <c r="GT178" i="2" s="1"/>
  <c r="GT15" i="2" a="1"/>
  <c r="GT15" i="2" s="1"/>
  <c r="GT74" i="2" a="1"/>
  <c r="GT74" i="2" s="1"/>
  <c r="GT133" i="2" a="1"/>
  <c r="GT133" i="2" s="1"/>
  <c r="GT107" i="2" a="1"/>
  <c r="GT107" i="2" s="1"/>
  <c r="GT189" i="2" a="1"/>
  <c r="GT189" i="2" s="1"/>
  <c r="GT184" i="2" a="1"/>
  <c r="GT184" i="2" s="1"/>
  <c r="GT174" i="2" a="1"/>
  <c r="GT174" i="2" s="1"/>
  <c r="GT198" i="2" a="1"/>
  <c r="GT198" i="2" s="1"/>
  <c r="GT11" i="2" a="1"/>
  <c r="GT11" i="2" s="1"/>
  <c r="GT102" i="2" a="1"/>
  <c r="GT102" i="2" s="1"/>
  <c r="GT190" i="2" a="1"/>
  <c r="GT190" i="2" s="1"/>
  <c r="GT191" i="2" a="1"/>
  <c r="GT191" i="2" s="1"/>
  <c r="GT12" i="2" a="1"/>
  <c r="GT12" i="2" s="1"/>
  <c r="GT147" i="2" a="1"/>
  <c r="GT147" i="2" s="1"/>
  <c r="GT21" i="2" a="1"/>
  <c r="GT21" i="2" s="1"/>
  <c r="GT152" i="2" a="1"/>
  <c r="GT152" i="2" s="1"/>
  <c r="GT38" i="2" a="1"/>
  <c r="GT38" i="2" s="1"/>
  <c r="GT126" i="2" a="1"/>
  <c r="GT126" i="2" s="1"/>
  <c r="GT33" i="2" a="1"/>
  <c r="GT33" i="2" s="1"/>
  <c r="GT181" i="2" a="1"/>
  <c r="GT181" i="2" s="1"/>
  <c r="GT115" i="2" a="1"/>
  <c r="GT115" i="2" s="1"/>
  <c r="GT121" i="2" a="1"/>
  <c r="GT121" i="2" s="1"/>
  <c r="GT122" i="2" a="1"/>
  <c r="GT122" i="2" s="1"/>
  <c r="GT68" i="2" a="1"/>
  <c r="GT68" i="2" s="1"/>
  <c r="HH203" i="2"/>
  <c r="HG203" i="2"/>
  <c r="DN135" i="2" a="1"/>
  <c r="DN135" i="2" s="1"/>
  <c r="DN55" i="2" a="1"/>
  <c r="DN55" i="2" s="1"/>
  <c r="DN132" i="2" a="1"/>
  <c r="DN132" i="2" s="1"/>
  <c r="DN177" i="2" a="1"/>
  <c r="DN177" i="2" s="1"/>
  <c r="DN30" i="2" a="1"/>
  <c r="DN30" i="2" s="1"/>
  <c r="DN184" i="2" a="1"/>
  <c r="DN184" i="2" s="1"/>
  <c r="DN164" i="2" a="1"/>
  <c r="DN164" i="2" s="1"/>
  <c r="DN31" i="2" a="1"/>
  <c r="DN31" i="2" s="1"/>
  <c r="DN115" i="2" a="1"/>
  <c r="DN115" i="2" s="1"/>
  <c r="DN170" i="2" a="1"/>
  <c r="DN170" i="2" s="1"/>
  <c r="DN46" i="2" a="1"/>
  <c r="DN46" i="2" s="1"/>
  <c r="DN43" i="2" a="1"/>
  <c r="DN43" i="2" s="1"/>
  <c r="DN123" i="2" a="1"/>
  <c r="DN123" i="2" s="1"/>
  <c r="DN187" i="2" a="1"/>
  <c r="DN187" i="2" s="1"/>
  <c r="DN65" i="2" a="1"/>
  <c r="DN65" i="2" s="1"/>
  <c r="DN70" i="2" a="1"/>
  <c r="DN70" i="2" s="1"/>
  <c r="DN63" i="2" a="1"/>
  <c r="DN63" i="2" s="1"/>
  <c r="DN150" i="2" a="1"/>
  <c r="DN150" i="2" s="1"/>
  <c r="DN152" i="2" a="1"/>
  <c r="DN152" i="2" s="1"/>
  <c r="DN110" i="2" a="1"/>
  <c r="DN110" i="2" s="1"/>
  <c r="DN38" i="2" a="1"/>
  <c r="DN38" i="2" s="1"/>
  <c r="DN153" i="2" a="1"/>
  <c r="DN153" i="2" s="1"/>
  <c r="DN41" i="2" a="1"/>
  <c r="DN41" i="2" s="1"/>
  <c r="DN176" i="2" a="1"/>
  <c r="DN176" i="2" s="1"/>
  <c r="DN167" i="2" a="1"/>
  <c r="DN167" i="2" s="1"/>
  <c r="DN114" i="2" a="1"/>
  <c r="DN114" i="2" s="1"/>
  <c r="DN192" i="2" a="1"/>
  <c r="DN192" i="2" s="1"/>
  <c r="DN129" i="2" a="1"/>
  <c r="DN129" i="2" s="1"/>
  <c r="DN16" i="2" a="1"/>
  <c r="DN16" i="2" s="1"/>
  <c r="DN80" i="2" a="1"/>
  <c r="DN80" i="2" s="1"/>
  <c r="DN103" i="2" a="1"/>
  <c r="DN103" i="2" s="1"/>
  <c r="DN66" i="2" a="1"/>
  <c r="DN66" i="2" s="1"/>
  <c r="DN50" i="2" a="1"/>
  <c r="DN50" i="2" s="1"/>
  <c r="DN45" i="2" a="1"/>
  <c r="DN45" i="2" s="1"/>
  <c r="DN190" i="2" a="1"/>
  <c r="DN190" i="2" s="1"/>
  <c r="DN133" i="2" a="1"/>
  <c r="DN133" i="2" s="1"/>
  <c r="DN162" i="2" a="1"/>
  <c r="DN162" i="2" s="1"/>
  <c r="DN188" i="2" a="1"/>
  <c r="DN188" i="2" s="1"/>
  <c r="DN113" i="2" a="1"/>
  <c r="DN113" i="2" s="1"/>
  <c r="DN49" i="2" a="1"/>
  <c r="DN49" i="2" s="1"/>
  <c r="DN168" i="2" a="1"/>
  <c r="DN168" i="2" s="1"/>
  <c r="DN86" i="2" a="1"/>
  <c r="DN86" i="2" s="1"/>
  <c r="DN25" i="2" a="1"/>
  <c r="DN25" i="2" s="1"/>
  <c r="DN155" i="2" a="1"/>
  <c r="DN155" i="2" s="1"/>
  <c r="DN186" i="2" a="1"/>
  <c r="DN186" i="2" s="1"/>
  <c r="DN137" i="2" a="1"/>
  <c r="DN137" i="2" s="1"/>
  <c r="DN124" i="2" a="1"/>
  <c r="DN124" i="2" s="1"/>
  <c r="DN29" i="2" a="1"/>
  <c r="DN29" i="2" s="1"/>
  <c r="DN56" i="2" a="1"/>
  <c r="DN56" i="2" s="1"/>
  <c r="BC38" i="2" a="1"/>
  <c r="BC38" i="2" s="1"/>
  <c r="BC32" i="2" a="1"/>
  <c r="BC32" i="2" s="1"/>
  <c r="BC83" i="2" a="1"/>
  <c r="BC83" i="2" s="1"/>
  <c r="BC181" i="2" a="1"/>
  <c r="BC181" i="2" s="1"/>
  <c r="BC58" i="2" a="1"/>
  <c r="BC58" i="2" s="1"/>
  <c r="BC164" i="2" a="1"/>
  <c r="BC164" i="2" s="1"/>
  <c r="BC117" i="2" a="1"/>
  <c r="BC117" i="2" s="1"/>
  <c r="BC18" i="2" a="1"/>
  <c r="BC18" i="2" s="1"/>
  <c r="BC84" i="2" a="1"/>
  <c r="BC84" i="2" s="1"/>
  <c r="BC68" i="2" a="1"/>
  <c r="BC68" i="2" s="1"/>
  <c r="BC151" i="2" a="1"/>
  <c r="BC151" i="2" s="1"/>
  <c r="BC192" i="2" a="1"/>
  <c r="BC192" i="2" s="1"/>
  <c r="BC65" i="2" a="1"/>
  <c r="BC65" i="2" s="1"/>
  <c r="BC55" i="2" a="1"/>
  <c r="BC55" i="2" s="1"/>
  <c r="BC114" i="2" a="1"/>
  <c r="BC114" i="2" s="1"/>
  <c r="BC185" i="2" a="1"/>
  <c r="BC185" i="2" s="1"/>
  <c r="BC130" i="2" a="1"/>
  <c r="BC130" i="2" s="1"/>
  <c r="BC126" i="2" a="1"/>
  <c r="BC126" i="2" s="1"/>
  <c r="BC143" i="2" a="1"/>
  <c r="BC143" i="2" s="1"/>
  <c r="BC82" i="2" a="1"/>
  <c r="BC82" i="2" s="1"/>
  <c r="BC7" i="2" a="1"/>
  <c r="BC7" i="2" s="1"/>
  <c r="BD7" i="2" s="1"/>
  <c r="BC31" i="2" a="1"/>
  <c r="BC31" i="2" s="1"/>
  <c r="BC47" i="2" a="1"/>
  <c r="BC47" i="2" s="1"/>
  <c r="FY142" i="2" a="1"/>
  <c r="FY142" i="2" s="1"/>
  <c r="FY167" i="2" a="1"/>
  <c r="FY167" i="2" s="1"/>
  <c r="FY58" i="2" a="1"/>
  <c r="FY58" i="2" s="1"/>
  <c r="FY82" i="2" a="1"/>
  <c r="FY82" i="2" s="1"/>
  <c r="FY121" i="2" a="1"/>
  <c r="FY121" i="2" s="1"/>
  <c r="FY30" i="2" a="1"/>
  <c r="FY30" i="2" s="1"/>
  <c r="FY42" i="2" a="1"/>
  <c r="FY42" i="2" s="1"/>
  <c r="FY196" i="2" a="1"/>
  <c r="FY196" i="2" s="1"/>
  <c r="FY172" i="2" a="1"/>
  <c r="FY172" i="2" s="1"/>
  <c r="FY104" i="2" a="1"/>
  <c r="FY104" i="2" s="1"/>
  <c r="FY80" i="2" a="1"/>
  <c r="FY80" i="2" s="1"/>
  <c r="FY115" i="2" a="1"/>
  <c r="FY115" i="2" s="1"/>
  <c r="FY86" i="2" a="1"/>
  <c r="FY86" i="2" s="1"/>
  <c r="FY34" i="2" a="1"/>
  <c r="FY34" i="2" s="1"/>
  <c r="FY149" i="2" a="1"/>
  <c r="FY149" i="2" s="1"/>
  <c r="FY182" i="2" a="1"/>
  <c r="FY182" i="2" s="1"/>
  <c r="FY169" i="2" a="1"/>
  <c r="FY169" i="2" s="1"/>
  <c r="FY62" i="2" a="1"/>
  <c r="FY62" i="2" s="1"/>
  <c r="FY72" i="2" a="1"/>
  <c r="FY72" i="2" s="1"/>
  <c r="FY55" i="2" a="1"/>
  <c r="FY55" i="2" s="1"/>
  <c r="FY28" i="2" a="1"/>
  <c r="FY28" i="2" s="1"/>
  <c r="FY174" i="2" a="1"/>
  <c r="FY174" i="2" s="1"/>
  <c r="FY24" i="2" a="1"/>
  <c r="FY24" i="2" s="1"/>
  <c r="FY188" i="2" a="1"/>
  <c r="FY188" i="2" s="1"/>
  <c r="FY190" i="2" a="1"/>
  <c r="FY190" i="2" s="1"/>
  <c r="FY78" i="2" a="1"/>
  <c r="FY78" i="2" s="1"/>
  <c r="FY164" i="2" a="1"/>
  <c r="FY164" i="2" s="1"/>
  <c r="FY99" i="2" a="1"/>
  <c r="FY99" i="2" s="1"/>
  <c r="FY178" i="2" a="1"/>
  <c r="FY178" i="2" s="1"/>
  <c r="FY152" i="2" a="1"/>
  <c r="FY152" i="2" s="1"/>
  <c r="FY47" i="2" a="1"/>
  <c r="FY47" i="2" s="1"/>
  <c r="FY124" i="2" a="1"/>
  <c r="FY124" i="2" s="1"/>
  <c r="FY126" i="2" a="1"/>
  <c r="FY126" i="2" s="1"/>
  <c r="FY92" i="2" a="1"/>
  <c r="FY92" i="2" s="1"/>
  <c r="FY111" i="2" a="1"/>
  <c r="FY111" i="2" s="1"/>
  <c r="FY73" i="2" a="1"/>
  <c r="FY73" i="2" s="1"/>
  <c r="FY186" i="2" a="1"/>
  <c r="FY186" i="2" s="1"/>
  <c r="FY110" i="2" a="1"/>
  <c r="FY110" i="2" s="1"/>
  <c r="FY116" i="2" a="1"/>
  <c r="FY116" i="2" s="1"/>
  <c r="FY159" i="2" a="1"/>
  <c r="FY159" i="2" s="1"/>
  <c r="FY143" i="2" a="1"/>
  <c r="FY143" i="2" s="1"/>
  <c r="FY191" i="2" a="1"/>
  <c r="FY191" i="2" s="1"/>
  <c r="FY102" i="2" a="1"/>
  <c r="FY102" i="2" s="1"/>
  <c r="FY18" i="2" a="1"/>
  <c r="FY18" i="2" s="1"/>
  <c r="FY173" i="2" a="1"/>
  <c r="FY173" i="2" s="1"/>
  <c r="FY66" i="2" a="1"/>
  <c r="FY66" i="2" s="1"/>
  <c r="FY120" i="2" a="1"/>
  <c r="FY120" i="2" s="1"/>
  <c r="FY71" i="2" a="1"/>
  <c r="FY71" i="2" s="1"/>
  <c r="FY133" i="2" a="1"/>
  <c r="FY133" i="2" s="1"/>
  <c r="FY153" i="2" a="1"/>
  <c r="FY153" i="2" s="1"/>
  <c r="FY146" i="2" a="1"/>
  <c r="FY146" i="2" s="1"/>
  <c r="FY69" i="2" a="1"/>
  <c r="FY69" i="2" s="1"/>
  <c r="FY29" i="2" a="1"/>
  <c r="FY29" i="2" s="1"/>
  <c r="FY35" i="2" a="1"/>
  <c r="FY35" i="2" s="1"/>
  <c r="FY165" i="2" a="1"/>
  <c r="FY165" i="2" s="1"/>
  <c r="FY32" i="2" a="1"/>
  <c r="FY32" i="2" s="1"/>
  <c r="FY50" i="2" a="1"/>
  <c r="FY50" i="2" s="1"/>
  <c r="FY140" i="2" a="1"/>
  <c r="FY140" i="2" s="1"/>
  <c r="FY90" i="2" a="1"/>
  <c r="FY90" i="2" s="1"/>
  <c r="FY57" i="2" a="1"/>
  <c r="FY57" i="2" s="1"/>
  <c r="FY54" i="2" a="1"/>
  <c r="FY54" i="2" s="1"/>
  <c r="FY109" i="2" a="1"/>
  <c r="FY109" i="2" s="1"/>
  <c r="FY79" i="2" a="1"/>
  <c r="FY79" i="2" s="1"/>
  <c r="FY22" i="2" a="1"/>
  <c r="FY22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T203" i="2"/>
  <c r="DI203" i="2"/>
  <c r="CN203" i="2"/>
  <c r="EY203" i="2"/>
  <c r="ED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E25" i="2" l="1"/>
  <c r="GE178" i="2"/>
  <c r="GE139" i="2"/>
  <c r="GE142" i="2"/>
  <c r="GE151" i="2"/>
  <c r="GE199" i="2"/>
  <c r="GE113" i="2"/>
  <c r="GE116" i="2"/>
  <c r="GE168" i="2"/>
  <c r="GE82" i="2"/>
  <c r="GE32" i="2"/>
  <c r="GE106" i="2"/>
  <c r="GE105" i="2"/>
  <c r="GE34" i="2"/>
  <c r="GE63" i="2"/>
  <c r="GE130" i="2"/>
  <c r="GE60" i="2"/>
  <c r="GE158" i="2"/>
  <c r="GE17" i="2"/>
  <c r="GE30" i="2"/>
  <c r="GE110" i="2"/>
  <c r="GE93" i="2"/>
  <c r="GE90" i="2"/>
  <c r="GE121" i="2"/>
  <c r="GE73" i="2"/>
  <c r="GE37" i="2"/>
  <c r="GE50" i="2"/>
  <c r="GE47" i="2"/>
  <c r="GE5" i="2"/>
  <c r="GE10" i="2"/>
  <c r="GE161" i="2"/>
  <c r="GE7" i="2"/>
  <c r="GE20" i="2"/>
  <c r="GE15" i="2"/>
  <c r="GE94" i="2"/>
  <c r="GE3" i="2"/>
  <c r="C14" i="4" s="1"/>
  <c r="E14" i="4" s="1"/>
  <c r="F14" i="4" s="1"/>
  <c r="G14" i="4" s="1"/>
  <c r="L14" i="4" s="1"/>
  <c r="GE147" i="2"/>
  <c r="GE102" i="2"/>
  <c r="GE76" i="2"/>
  <c r="GE38" i="2"/>
  <c r="GE156" i="2"/>
  <c r="GE174" i="2"/>
  <c r="GE22" i="2"/>
  <c r="GE57" i="2"/>
  <c r="GE190" i="2"/>
  <c r="GE197" i="2"/>
  <c r="GE100" i="2"/>
  <c r="GE56" i="2"/>
  <c r="GE176" i="2"/>
  <c r="GE148" i="2"/>
  <c r="GE95" i="2"/>
  <c r="GE169" i="2"/>
  <c r="GE31" i="2"/>
  <c r="GE192" i="2"/>
  <c r="GE173" i="2"/>
  <c r="GE36" i="2"/>
  <c r="GE75" i="2"/>
  <c r="GE35" i="2"/>
  <c r="GE48" i="2"/>
  <c r="GE11" i="2"/>
  <c r="GE187" i="2"/>
  <c r="GE13" i="2"/>
  <c r="GE193" i="2"/>
  <c r="GE171" i="2"/>
  <c r="GE98" i="2"/>
  <c r="GE200" i="2"/>
  <c r="GE59" i="2"/>
  <c r="GE88" i="2"/>
  <c r="GE42" i="2"/>
  <c r="GE96" i="2"/>
  <c r="GE195" i="2"/>
  <c r="GE69" i="2"/>
  <c r="GE55" i="2"/>
  <c r="GE160" i="2"/>
  <c r="GE159" i="2"/>
  <c r="GE182" i="2"/>
  <c r="GE149" i="2"/>
  <c r="GE184" i="2"/>
  <c r="GE137" i="2"/>
  <c r="GE109" i="2"/>
  <c r="GE115" i="2"/>
  <c r="GE118" i="2"/>
  <c r="GE166" i="2"/>
  <c r="GE87" i="2"/>
  <c r="GE201" i="2"/>
  <c r="GE111" i="2"/>
  <c r="GE16" i="2"/>
  <c r="GE49" i="2"/>
  <c r="GE179" i="2"/>
  <c r="GE53" i="2"/>
  <c r="GE80" i="2"/>
  <c r="GE92" i="2"/>
  <c r="GE185" i="2"/>
  <c r="GE33" i="2"/>
  <c r="GE134" i="2"/>
  <c r="GE140" i="2"/>
  <c r="GE146" i="2"/>
  <c r="GE189" i="2"/>
  <c r="GE153" i="2"/>
  <c r="GE155" i="2"/>
  <c r="GE52" i="2"/>
  <c r="GE203" i="2"/>
  <c r="GE107" i="2"/>
  <c r="GE180" i="2"/>
  <c r="GE150" i="2"/>
  <c r="GE133" i="2"/>
  <c r="GE64" i="2"/>
  <c r="GE165" i="2"/>
  <c r="GE175" i="2"/>
  <c r="GE97" i="2"/>
  <c r="GE62" i="2"/>
  <c r="GE112" i="2"/>
  <c r="GE162" i="2"/>
  <c r="GE152" i="2"/>
  <c r="GE123" i="2"/>
  <c r="GE28" i="2"/>
  <c r="GE131" i="2"/>
  <c r="GE89" i="2"/>
  <c r="GE188" i="2"/>
  <c r="GE127" i="2"/>
  <c r="GE183" i="2"/>
  <c r="GE54" i="2"/>
  <c r="GE19" i="2"/>
  <c r="GE99" i="2"/>
  <c r="GE45" i="2"/>
  <c r="GE164" i="2"/>
  <c r="GE65" i="2"/>
  <c r="GE67" i="2"/>
  <c r="GE14" i="2"/>
  <c r="GE66" i="2"/>
  <c r="GE104" i="2"/>
  <c r="GE119" i="2"/>
  <c r="GE44" i="2"/>
  <c r="GE40" i="2"/>
  <c r="GE51" i="2"/>
  <c r="GE27" i="2"/>
  <c r="GE78" i="2"/>
  <c r="GE39" i="2"/>
  <c r="GE8" i="2"/>
  <c r="GE85" i="2"/>
  <c r="GE41" i="2"/>
  <c r="GE125" i="2"/>
  <c r="GE61" i="2"/>
  <c r="GE43" i="2"/>
  <c r="GE21" i="2"/>
  <c r="GE124" i="2"/>
  <c r="GE18" i="2"/>
  <c r="GE9" i="2"/>
  <c r="GE84" i="2"/>
  <c r="GE141" i="2"/>
  <c r="GE101" i="2"/>
  <c r="GE120" i="2"/>
  <c r="GE126" i="2"/>
  <c r="GE72" i="2"/>
  <c r="GE6" i="2"/>
  <c r="GE181" i="2"/>
  <c r="GE26" i="2"/>
  <c r="GE157" i="2"/>
  <c r="GE74" i="2"/>
  <c r="GE132" i="2"/>
  <c r="GE24" i="2"/>
  <c r="GE191" i="2"/>
  <c r="GE177" i="2"/>
  <c r="GE143" i="2"/>
  <c r="GE77" i="2"/>
  <c r="GE70" i="2"/>
  <c r="GE23" i="2"/>
  <c r="GE135" i="2"/>
  <c r="GE129" i="2"/>
  <c r="GE103" i="2"/>
  <c r="GE114" i="2"/>
  <c r="GE46" i="2"/>
  <c r="GE136" i="2"/>
  <c r="GE29" i="2"/>
  <c r="GE198" i="2"/>
  <c r="GE202" i="2"/>
  <c r="GE170" i="2"/>
  <c r="GE71" i="2"/>
  <c r="GE186" i="2"/>
  <c r="GE172" i="2"/>
  <c r="GE144" i="2"/>
  <c r="GE79" i="2"/>
  <c r="GE122" i="2"/>
  <c r="GE4" i="2"/>
  <c r="GE128" i="2"/>
  <c r="GE91" i="2"/>
  <c r="GE68" i="2"/>
  <c r="GE163" i="2"/>
  <c r="GE81" i="2"/>
  <c r="GE196" i="2"/>
  <c r="GE12" i="2"/>
  <c r="GE167" i="2"/>
  <c r="GE58" i="2"/>
  <c r="GE138" i="2"/>
  <c r="GE194" i="2"/>
  <c r="GE86" i="2"/>
  <c r="GE83" i="2"/>
  <c r="GE145" i="2"/>
  <c r="GE154" i="2"/>
  <c r="GE108" i="2"/>
  <c r="GE117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D197" i="2" l="1"/>
  <c r="CD38" i="2"/>
  <c r="CD108" i="2"/>
  <c r="CD78" i="2"/>
  <c r="CD8" i="2"/>
  <c r="CD23" i="2"/>
  <c r="CD21" i="2"/>
  <c r="CD138" i="2"/>
  <c r="CD113" i="2"/>
  <c r="CD165" i="2"/>
  <c r="CD114" i="2"/>
  <c r="CD35" i="2"/>
  <c r="CD203" i="2"/>
  <c r="CD145" i="2"/>
  <c r="CD39" i="2"/>
  <c r="CD5" i="2"/>
  <c r="CD142" i="2"/>
  <c r="CD129" i="2"/>
  <c r="CD202" i="2"/>
  <c r="CD65" i="2"/>
  <c r="CD183" i="2"/>
  <c r="CD53" i="2"/>
  <c r="CD105" i="2"/>
  <c r="CD177" i="2"/>
  <c r="CD72" i="2"/>
  <c r="CD37" i="2"/>
  <c r="CD192" i="2"/>
  <c r="CD89" i="2"/>
  <c r="CD83" i="2"/>
  <c r="CD128" i="2"/>
  <c r="CD132" i="2"/>
  <c r="CD110" i="2"/>
  <c r="CD3" i="2"/>
  <c r="C9" i="4" s="1"/>
  <c r="E9" i="4" s="1"/>
  <c r="F9" i="4" s="1"/>
  <c r="G9" i="4" s="1"/>
  <c r="L9" i="4" s="1"/>
  <c r="CD97" i="2"/>
  <c r="CD125" i="2"/>
  <c r="CD172" i="2"/>
  <c r="CD144" i="2"/>
  <c r="CD155" i="2"/>
  <c r="CD52" i="2"/>
  <c r="CD10" i="2"/>
  <c r="CD62" i="2"/>
  <c r="CD133" i="2"/>
  <c r="CD190" i="2"/>
  <c r="CD55" i="2"/>
  <c r="CD28" i="2"/>
  <c r="CD134" i="2"/>
  <c r="CD164" i="2"/>
  <c r="CD102" i="2"/>
  <c r="CD68" i="2"/>
  <c r="CD194" i="2"/>
  <c r="CD140" i="2"/>
  <c r="CD73" i="2"/>
  <c r="CD4" i="2"/>
  <c r="CD31" i="2"/>
  <c r="CD118" i="2"/>
  <c r="CD42" i="2"/>
  <c r="CD75" i="2"/>
  <c r="CD124" i="2"/>
  <c r="CD27" i="2"/>
  <c r="CD90" i="2"/>
  <c r="CD119" i="2"/>
  <c r="CD51" i="2"/>
  <c r="CD147" i="2"/>
  <c r="CD25" i="2"/>
  <c r="CD185" i="2"/>
  <c r="CD46" i="2"/>
  <c r="CD58" i="2"/>
  <c r="CD92" i="2"/>
  <c r="CD12" i="2"/>
  <c r="CD70" i="2"/>
  <c r="CD17" i="2"/>
  <c r="CD167" i="2"/>
  <c r="CD122" i="2"/>
  <c r="CD40" i="2"/>
  <c r="CD193" i="2"/>
  <c r="CD152" i="2"/>
  <c r="CD67" i="2"/>
  <c r="CD54" i="2"/>
  <c r="CD29" i="2"/>
  <c r="CD96" i="2"/>
  <c r="CD104" i="2"/>
  <c r="CD153" i="2"/>
  <c r="CD11" i="2"/>
  <c r="CD32" i="2"/>
  <c r="CD123" i="2"/>
  <c r="CD86" i="2"/>
  <c r="CD137" i="2"/>
  <c r="CD101" i="2"/>
  <c r="CD33" i="2"/>
  <c r="CD6" i="2"/>
  <c r="CD94" i="2"/>
  <c r="CD20" i="2"/>
  <c r="CD13" i="2"/>
  <c r="CD44" i="2"/>
  <c r="CD107" i="2"/>
  <c r="CD16" i="2"/>
  <c r="CD121" i="2"/>
  <c r="CD61" i="2"/>
  <c r="CD139" i="2"/>
  <c r="CD120" i="2"/>
  <c r="CD57" i="2"/>
  <c r="CD109" i="2"/>
  <c r="CD36" i="2"/>
  <c r="CD162" i="2"/>
  <c r="CD168" i="2"/>
  <c r="CD198" i="2"/>
  <c r="CD136" i="2"/>
  <c r="CD64" i="2"/>
  <c r="CD130" i="2"/>
  <c r="CD200" i="2"/>
  <c r="CD150" i="2"/>
  <c r="CD149" i="2"/>
  <c r="CD14" i="2"/>
  <c r="CD115" i="2"/>
  <c r="CD18" i="2"/>
  <c r="CD99" i="2"/>
  <c r="CD195" i="2"/>
  <c r="CD47" i="2"/>
  <c r="CD76" i="2"/>
  <c r="CD85" i="2"/>
  <c r="CD201" i="2"/>
  <c r="CD148" i="2"/>
  <c r="CD66" i="2"/>
  <c r="CD71" i="2"/>
  <c r="CD30" i="2"/>
  <c r="CD186" i="2"/>
  <c r="CD74" i="2"/>
  <c r="CD80" i="2"/>
  <c r="CD43" i="2"/>
  <c r="CD156" i="2"/>
  <c r="CD48" i="2"/>
  <c r="CD19" i="2"/>
  <c r="CD82" i="2"/>
  <c r="CD59" i="2"/>
  <c r="CD159" i="2"/>
  <c r="CD171" i="2"/>
  <c r="CD160" i="2"/>
  <c r="CD187" i="2"/>
  <c r="CD34" i="2"/>
  <c r="CD79" i="2"/>
  <c r="CD126" i="2"/>
  <c r="CD131" i="2"/>
  <c r="CD158" i="2"/>
  <c r="CD191" i="2"/>
  <c r="CD176" i="2"/>
  <c r="CD81" i="2"/>
  <c r="CD135" i="2"/>
  <c r="CD45" i="2"/>
  <c r="CD127" i="2"/>
  <c r="CD141" i="2"/>
  <c r="CD50" i="2"/>
  <c r="CD98" i="2"/>
  <c r="CD181" i="2"/>
  <c r="CD60" i="2"/>
  <c r="CD188" i="2"/>
  <c r="CD189" i="2"/>
  <c r="CD63" i="2"/>
  <c r="CD196" i="2"/>
  <c r="CD7" i="2"/>
  <c r="CD154" i="2"/>
  <c r="CD9" i="2"/>
  <c r="CD157" i="2"/>
  <c r="CD117" i="2"/>
  <c r="CD69" i="2"/>
  <c r="CD170" i="2"/>
  <c r="CD49" i="2"/>
  <c r="CD95" i="2"/>
  <c r="CD26" i="2"/>
  <c r="CD112" i="2"/>
  <c r="CD93" i="2"/>
  <c r="CD180" i="2"/>
  <c r="CD24" i="2"/>
  <c r="CD178" i="2"/>
  <c r="CD106" i="2"/>
  <c r="CD56" i="2"/>
  <c r="CD146" i="2"/>
  <c r="CD116" i="2"/>
  <c r="CD169" i="2"/>
  <c r="CD143" i="2"/>
  <c r="CD163" i="2"/>
  <c r="CD199" i="2"/>
  <c r="CD100" i="2"/>
  <c r="CD103" i="2"/>
  <c r="CD41" i="2"/>
  <c r="CD166" i="2"/>
  <c r="CD173" i="2"/>
  <c r="CD91" i="2"/>
  <c r="CD175" i="2"/>
  <c r="CD174" i="2"/>
  <c r="CD179" i="2"/>
  <c r="CD77" i="2"/>
  <c r="CD22" i="2"/>
  <c r="CD182" i="2"/>
  <c r="CD84" i="2"/>
  <c r="CD87" i="2"/>
  <c r="CD15" i="2"/>
  <c r="CD151" i="2"/>
  <c r="CD161" i="2"/>
  <c r="CD111" i="2"/>
  <c r="CD88" i="2"/>
  <c r="CD184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56" i="2" l="1"/>
  <c r="DT13" i="2"/>
  <c r="DT166" i="2"/>
  <c r="DT53" i="2"/>
  <c r="DT86" i="2"/>
  <c r="DT20" i="2"/>
  <c r="DT35" i="2"/>
  <c r="DT111" i="2"/>
  <c r="DT9" i="2"/>
  <c r="DT172" i="2"/>
  <c r="DT161" i="2"/>
  <c r="DT167" i="2"/>
  <c r="DT186" i="2"/>
  <c r="DT182" i="2"/>
  <c r="DT92" i="2"/>
  <c r="DT126" i="2"/>
  <c r="DT116" i="2"/>
  <c r="DT10" i="2"/>
  <c r="DT181" i="2"/>
  <c r="DT80" i="2"/>
  <c r="DT8" i="2"/>
  <c r="DT97" i="2"/>
  <c r="DT183" i="2"/>
  <c r="DT145" i="2"/>
  <c r="DT109" i="2"/>
  <c r="DT37" i="2"/>
  <c r="DT77" i="2"/>
  <c r="DT154" i="2"/>
  <c r="DT33" i="2"/>
  <c r="DT179" i="2"/>
  <c r="DT121" i="2"/>
  <c r="DT101" i="2"/>
  <c r="DT117" i="2"/>
  <c r="DT56" i="2"/>
  <c r="DT68" i="2"/>
  <c r="DT40" i="2"/>
  <c r="DT149" i="2"/>
  <c r="DT48" i="2"/>
  <c r="DT189" i="2"/>
  <c r="DT78" i="2"/>
  <c r="DT165" i="2"/>
  <c r="DT108" i="2"/>
  <c r="DT11" i="2"/>
  <c r="DT147" i="2"/>
  <c r="DT75" i="2"/>
  <c r="DT144" i="2"/>
  <c r="DT47" i="2"/>
  <c r="DT199" i="2"/>
  <c r="DT201" i="2"/>
  <c r="DT187" i="2"/>
  <c r="DT142" i="2"/>
  <c r="DT113" i="2"/>
  <c r="DT148" i="2"/>
  <c r="DT87" i="2"/>
  <c r="DT32" i="2"/>
  <c r="DT100" i="2"/>
  <c r="DT12" i="2"/>
  <c r="DT36" i="2"/>
  <c r="DT188" i="2"/>
  <c r="DT194" i="2"/>
  <c r="DT38" i="2"/>
  <c r="DT177" i="2"/>
  <c r="DT200" i="2"/>
  <c r="DT76" i="2"/>
  <c r="DT168" i="2"/>
  <c r="DT153" i="2"/>
  <c r="DT159" i="2"/>
  <c r="DT61" i="2"/>
  <c r="DT137" i="2"/>
  <c r="DT88" i="2"/>
  <c r="DT164" i="2"/>
  <c r="DT15" i="2"/>
  <c r="DT43" i="2"/>
  <c r="DT30" i="2"/>
  <c r="DT79" i="2"/>
  <c r="DT141" i="2"/>
  <c r="DT160" i="2"/>
  <c r="DT52" i="2"/>
  <c r="DT132" i="2"/>
  <c r="DT124" i="2"/>
  <c r="DT44" i="2"/>
  <c r="DT98" i="2"/>
  <c r="DT127" i="2"/>
  <c r="DT55" i="2"/>
  <c r="DT91" i="2"/>
  <c r="DT173" i="2"/>
  <c r="DT65" i="2"/>
  <c r="DT133" i="2"/>
  <c r="DT58" i="2"/>
  <c r="DT94" i="2"/>
  <c r="DT170" i="2"/>
  <c r="DT6" i="2"/>
  <c r="DT81" i="2"/>
  <c r="DT106" i="2"/>
  <c r="DT175" i="2"/>
  <c r="DT192" i="2"/>
  <c r="DT162" i="2"/>
  <c r="DT155" i="2"/>
  <c r="DT57" i="2"/>
  <c r="DT128" i="2"/>
  <c r="DT110" i="2"/>
  <c r="DT27" i="2"/>
  <c r="DT50" i="2"/>
  <c r="DT71" i="2"/>
  <c r="DT163" i="2"/>
  <c r="DT51" i="2"/>
  <c r="DT104" i="2"/>
  <c r="DT203" i="2"/>
  <c r="DT103" i="2"/>
  <c r="DT39" i="2"/>
  <c r="DT135" i="2"/>
  <c r="DT95" i="2"/>
  <c r="DT73" i="2"/>
  <c r="DT152" i="2"/>
  <c r="DT171" i="2"/>
  <c r="DT112" i="2"/>
  <c r="DT46" i="2"/>
  <c r="DT93" i="2"/>
  <c r="DT69" i="2"/>
  <c r="DT174" i="2"/>
  <c r="DT49" i="2"/>
  <c r="DT178" i="2"/>
  <c r="DT123" i="2"/>
  <c r="DT90" i="2"/>
  <c r="DT184" i="2"/>
  <c r="DT146" i="2"/>
  <c r="DT197" i="2"/>
  <c r="DT18" i="2"/>
  <c r="DT191" i="2"/>
  <c r="DT195" i="2"/>
  <c r="DT66" i="2"/>
  <c r="DT3" i="2"/>
  <c r="C11" i="4" s="1"/>
  <c r="E11" i="4" s="1"/>
  <c r="F11" i="4" s="1"/>
  <c r="G11" i="4" s="1"/>
  <c r="L11" i="4" s="1"/>
  <c r="DT85" i="2"/>
  <c r="DT82" i="2"/>
  <c r="DT4" i="2"/>
  <c r="DT83" i="2"/>
  <c r="DT29" i="2"/>
  <c r="DT198" i="2"/>
  <c r="DT176" i="2"/>
  <c r="DT14" i="2"/>
  <c r="DT21" i="2"/>
  <c r="DT150" i="2"/>
  <c r="DT131" i="2"/>
  <c r="DT151" i="2"/>
  <c r="DT62" i="2"/>
  <c r="DT120" i="2"/>
  <c r="DT19" i="2"/>
  <c r="DT34" i="2"/>
  <c r="DT99" i="2"/>
  <c r="DT169" i="2"/>
  <c r="DT54" i="2"/>
  <c r="DT64" i="2"/>
  <c r="DT31" i="2"/>
  <c r="DT134" i="2"/>
  <c r="DT89" i="2"/>
  <c r="DT190" i="2"/>
  <c r="DT63" i="2"/>
  <c r="DT96" i="2"/>
  <c r="DT193" i="2"/>
  <c r="DT114" i="2"/>
  <c r="DT70" i="2"/>
  <c r="DT22" i="2"/>
  <c r="DT102" i="2"/>
  <c r="DT84" i="2"/>
  <c r="DT125" i="2"/>
  <c r="DT25" i="2"/>
  <c r="DT26" i="2"/>
  <c r="DT122" i="2"/>
  <c r="DT105" i="2"/>
  <c r="DT139" i="2"/>
  <c r="DT5" i="2"/>
  <c r="DT107" i="2"/>
  <c r="DT158" i="2"/>
  <c r="DT138" i="2"/>
  <c r="DT24" i="2"/>
  <c r="DT202" i="2"/>
  <c r="DT196" i="2"/>
  <c r="DT41" i="2"/>
  <c r="DT45" i="2"/>
  <c r="DT28" i="2"/>
  <c r="DT129" i="2"/>
  <c r="DT185" i="2"/>
  <c r="DT23" i="2"/>
  <c r="DT60" i="2"/>
  <c r="DT7" i="2"/>
  <c r="DT72" i="2"/>
  <c r="DT59" i="2"/>
  <c r="DT67" i="2"/>
  <c r="DT118" i="2"/>
  <c r="DT130" i="2"/>
  <c r="DT180" i="2"/>
  <c r="DT140" i="2"/>
  <c r="DT17" i="2"/>
  <c r="DT119" i="2"/>
  <c r="DT136" i="2"/>
  <c r="DT16" i="2"/>
  <c r="DT143" i="2"/>
  <c r="DT42" i="2"/>
  <c r="DT74" i="2"/>
  <c r="DT115" i="2"/>
  <c r="DT157" i="2"/>
  <c r="FJ81" i="2"/>
  <c r="FJ154" i="2"/>
  <c r="FJ121" i="2"/>
  <c r="FJ96" i="2"/>
  <c r="FJ114" i="2"/>
  <c r="FJ57" i="2"/>
  <c r="FJ190" i="2"/>
  <c r="FJ160" i="2"/>
  <c r="FJ30" i="2"/>
  <c r="FJ161" i="2"/>
  <c r="FJ82" i="2"/>
  <c r="FJ169" i="2"/>
  <c r="FJ68" i="2"/>
  <c r="FJ100" i="2"/>
  <c r="FJ126" i="2"/>
  <c r="FJ112" i="2"/>
  <c r="FJ140" i="2"/>
  <c r="FJ109" i="2"/>
  <c r="FJ116" i="2"/>
  <c r="FJ33" i="2"/>
  <c r="FJ118" i="2"/>
  <c r="FJ49" i="2"/>
  <c r="FJ120" i="2"/>
  <c r="FJ158" i="2"/>
  <c r="FJ52" i="2"/>
  <c r="FJ196" i="2"/>
  <c r="FJ4" i="2"/>
  <c r="FJ40" i="2"/>
  <c r="FJ137" i="2"/>
  <c r="FJ195" i="2"/>
  <c r="FJ198" i="2"/>
  <c r="FJ159" i="2"/>
  <c r="FJ175" i="2"/>
  <c r="FJ86" i="2"/>
  <c r="FJ103" i="2"/>
  <c r="FJ168" i="2"/>
  <c r="FJ186" i="2"/>
  <c r="FJ46" i="2"/>
  <c r="FJ124" i="2"/>
  <c r="FJ122" i="2"/>
  <c r="FJ62" i="2"/>
  <c r="FJ98" i="2"/>
  <c r="FJ127" i="2"/>
  <c r="FJ56" i="2"/>
  <c r="FJ15" i="2"/>
  <c r="FJ176" i="2"/>
  <c r="FJ157" i="2"/>
  <c r="FJ119" i="2"/>
  <c r="FJ199" i="2"/>
  <c r="FJ32" i="2"/>
  <c r="FJ189" i="2"/>
  <c r="FJ104" i="2"/>
  <c r="FJ167" i="2"/>
  <c r="FJ12" i="2"/>
  <c r="FJ39" i="2"/>
  <c r="FJ148" i="2"/>
  <c r="FJ172" i="2"/>
  <c r="FJ63" i="2"/>
  <c r="FJ182" i="2"/>
  <c r="FJ192" i="2"/>
  <c r="FJ26" i="2"/>
  <c r="FJ141" i="2"/>
  <c r="FJ18" i="2"/>
  <c r="FJ133" i="2"/>
  <c r="FJ80" i="2"/>
  <c r="FJ99" i="2"/>
  <c r="FJ147" i="2"/>
  <c r="FJ89" i="2"/>
  <c r="FJ201" i="2"/>
  <c r="FJ75" i="2"/>
  <c r="FJ165" i="2"/>
  <c r="FJ50" i="2"/>
  <c r="FJ150" i="2"/>
  <c r="FJ97" i="2"/>
  <c r="FJ129" i="2"/>
  <c r="FJ19" i="2"/>
  <c r="FJ187" i="2"/>
  <c r="FJ146" i="2"/>
  <c r="FJ108" i="2"/>
  <c r="FJ123" i="2"/>
  <c r="FJ55" i="2"/>
  <c r="FJ85" i="2"/>
  <c r="FJ47" i="2"/>
  <c r="FJ27" i="2"/>
  <c r="FJ53" i="2"/>
  <c r="FJ178" i="2"/>
  <c r="FJ66" i="2"/>
  <c r="FJ110" i="2"/>
  <c r="FJ94" i="2"/>
  <c r="FJ164" i="2"/>
  <c r="FJ24" i="2"/>
  <c r="FJ76" i="2"/>
  <c r="FJ151" i="2"/>
  <c r="FJ188" i="2"/>
  <c r="FJ117" i="2"/>
  <c r="FJ193" i="2"/>
  <c r="FJ113" i="2"/>
  <c r="FJ78" i="2"/>
  <c r="FJ3" i="2"/>
  <c r="C13" i="4" s="1"/>
  <c r="E13" i="4" s="1"/>
  <c r="F13" i="4" s="1"/>
  <c r="G13" i="4" s="1"/>
  <c r="L13" i="4" s="1"/>
  <c r="FJ128" i="2"/>
  <c r="FJ131" i="2"/>
  <c r="FJ74" i="2"/>
  <c r="FJ153" i="2"/>
  <c r="FJ31" i="2"/>
  <c r="FJ65" i="2"/>
  <c r="FJ88" i="2"/>
  <c r="FJ17" i="2"/>
  <c r="FJ111" i="2"/>
  <c r="FJ64" i="2"/>
  <c r="FJ139" i="2"/>
  <c r="FJ69" i="2"/>
  <c r="FJ179" i="2"/>
  <c r="FJ202" i="2"/>
  <c r="FJ84" i="2"/>
  <c r="FJ72" i="2"/>
  <c r="FJ59" i="2"/>
  <c r="FJ142" i="2"/>
  <c r="FJ185" i="2"/>
  <c r="FJ106" i="2"/>
  <c r="FJ91" i="2"/>
  <c r="FJ79" i="2"/>
  <c r="FJ16" i="2"/>
  <c r="FJ45" i="2"/>
  <c r="FJ174" i="2"/>
  <c r="FJ115" i="2"/>
  <c r="FJ29" i="2"/>
  <c r="FJ125" i="2"/>
  <c r="FJ200" i="2"/>
  <c r="FJ194" i="2"/>
  <c r="FJ13" i="2"/>
  <c r="FJ149" i="2"/>
  <c r="FJ23" i="2"/>
  <c r="FJ77" i="2"/>
  <c r="FJ132" i="2"/>
  <c r="FJ173" i="2"/>
  <c r="FJ36" i="2"/>
  <c r="FJ70" i="2"/>
  <c r="FJ44" i="2"/>
  <c r="FJ51" i="2"/>
  <c r="FJ184" i="2"/>
  <c r="FJ25" i="2"/>
  <c r="FJ181" i="2"/>
  <c r="FJ35" i="2"/>
  <c r="FJ177" i="2"/>
  <c r="FJ60" i="2"/>
  <c r="FJ170" i="2"/>
  <c r="FJ41" i="2"/>
  <c r="FJ21" i="2"/>
  <c r="FJ42" i="2"/>
  <c r="FJ138" i="2"/>
  <c r="FJ130" i="2"/>
  <c r="FJ136" i="2"/>
  <c r="FJ83" i="2"/>
  <c r="FJ152" i="2"/>
  <c r="FJ163" i="2"/>
  <c r="FJ203" i="2"/>
  <c r="FJ162" i="2"/>
  <c r="FJ67" i="2"/>
  <c r="FJ90" i="2"/>
  <c r="FJ102" i="2"/>
  <c r="FJ155" i="2"/>
  <c r="FJ171" i="2"/>
  <c r="FJ28" i="2"/>
  <c r="FJ8" i="2"/>
  <c r="FJ143" i="2"/>
  <c r="FJ156" i="2"/>
  <c r="FJ54" i="2"/>
  <c r="FJ101" i="2"/>
  <c r="FJ38" i="2"/>
  <c r="FJ37" i="2"/>
  <c r="FJ9" i="2"/>
  <c r="FJ92" i="2"/>
  <c r="FJ61" i="2"/>
  <c r="FJ135" i="2"/>
  <c r="FJ93" i="2"/>
  <c r="FJ58" i="2"/>
  <c r="FJ183" i="2"/>
  <c r="FJ87" i="2"/>
  <c r="FJ20" i="2"/>
  <c r="FJ43" i="2"/>
  <c r="FJ48" i="2"/>
  <c r="FJ5" i="2"/>
  <c r="FJ34" i="2"/>
  <c r="FJ105" i="2"/>
  <c r="FJ107" i="2"/>
  <c r="FJ95" i="2"/>
  <c r="FJ134" i="2"/>
  <c r="FJ11" i="2"/>
  <c r="FJ22" i="2"/>
  <c r="FJ144" i="2"/>
  <c r="FJ71" i="2"/>
  <c r="FJ191" i="2"/>
  <c r="FJ180" i="2"/>
  <c r="FJ14" i="2"/>
  <c r="FJ73" i="2"/>
  <c r="FJ166" i="2"/>
  <c r="FJ10" i="2"/>
  <c r="FJ197" i="2"/>
  <c r="FJ6" i="2"/>
  <c r="FJ145" i="2"/>
  <c r="FJ7" i="2"/>
  <c r="GZ173" i="2"/>
  <c r="GZ112" i="2"/>
  <c r="GZ14" i="2"/>
  <c r="GZ28" i="2"/>
  <c r="GZ29" i="2"/>
  <c r="GZ147" i="2"/>
  <c r="GZ198" i="2"/>
  <c r="GZ199" i="2"/>
  <c r="GZ46" i="2"/>
  <c r="GZ177" i="2"/>
  <c r="GZ178" i="2"/>
  <c r="GZ25" i="2"/>
  <c r="GZ140" i="2"/>
  <c r="GZ141" i="2"/>
  <c r="GZ126" i="2"/>
  <c r="GZ111" i="2"/>
  <c r="GZ116" i="2"/>
  <c r="GZ105" i="2"/>
  <c r="GZ90" i="2"/>
  <c r="GZ6" i="2"/>
  <c r="GZ68" i="2"/>
  <c r="GZ53" i="2"/>
  <c r="GZ184" i="2"/>
  <c r="GZ39" i="2"/>
  <c r="GZ32" i="2"/>
  <c r="GZ187" i="2"/>
  <c r="GZ63" i="2"/>
  <c r="GZ202" i="2"/>
  <c r="GZ118" i="2"/>
  <c r="GZ42" i="2"/>
  <c r="GZ165" i="2"/>
  <c r="GZ97" i="2"/>
  <c r="GZ5" i="2"/>
  <c r="GZ144" i="2"/>
  <c r="GZ60" i="2"/>
  <c r="GZ175" i="2"/>
  <c r="GZ51" i="2"/>
  <c r="GZ31" i="2"/>
  <c r="GZ154" i="2"/>
  <c r="GZ78" i="2"/>
  <c r="GZ10" i="2"/>
  <c r="GZ117" i="2"/>
  <c r="GZ8" i="2"/>
  <c r="GZ172" i="2"/>
  <c r="GZ96" i="2"/>
  <c r="GZ81" i="2"/>
  <c r="GZ143" i="2"/>
  <c r="GZ181" i="2"/>
  <c r="GZ44" i="2"/>
  <c r="GZ122" i="2"/>
  <c r="GZ160" i="2"/>
  <c r="GZ15" i="2"/>
  <c r="GZ85" i="2"/>
  <c r="GZ179" i="2"/>
  <c r="GZ18" i="2"/>
  <c r="GZ64" i="2"/>
  <c r="GZ94" i="2"/>
  <c r="GZ180" i="2"/>
  <c r="GZ11" i="2"/>
  <c r="GZ73" i="2"/>
  <c r="GZ151" i="2"/>
  <c r="GZ197" i="2"/>
  <c r="GZ36" i="2"/>
  <c r="GZ130" i="2"/>
  <c r="GZ176" i="2"/>
  <c r="GZ7" i="2"/>
  <c r="GZ93" i="2"/>
  <c r="GZ35" i="2"/>
  <c r="GZ185" i="2"/>
  <c r="GZ72" i="2"/>
  <c r="GZ57" i="2"/>
  <c r="GZ148" i="2"/>
  <c r="GZ75" i="2"/>
  <c r="GZ20" i="2"/>
  <c r="GZ119" i="2"/>
  <c r="GZ136" i="2"/>
  <c r="GZ190" i="2"/>
  <c r="GZ41" i="2"/>
  <c r="GZ98" i="2"/>
  <c r="GZ155" i="2"/>
  <c r="GZ169" i="2"/>
  <c r="GZ61" i="2"/>
  <c r="GZ70" i="2"/>
  <c r="GZ193" i="2"/>
  <c r="GZ40" i="2"/>
  <c r="GZ49" i="2"/>
  <c r="GZ156" i="2"/>
  <c r="GZ67" i="2"/>
  <c r="GZ12" i="2"/>
  <c r="GZ127" i="2"/>
  <c r="GZ19" i="2"/>
  <c r="GZ182" i="2"/>
  <c r="GZ106" i="2"/>
  <c r="GZ30" i="2"/>
  <c r="GZ161" i="2"/>
  <c r="GZ69" i="2"/>
  <c r="GZ9" i="2"/>
  <c r="GZ124" i="2"/>
  <c r="GZ48" i="2"/>
  <c r="GZ99" i="2"/>
  <c r="GZ95" i="2"/>
  <c r="GZ131" i="2"/>
  <c r="GZ89" i="2"/>
  <c r="GZ74" i="2"/>
  <c r="GZ189" i="2"/>
  <c r="GZ52" i="2"/>
  <c r="GZ37" i="2"/>
  <c r="GZ168" i="2"/>
  <c r="GZ23" i="2"/>
  <c r="GZ16" i="2"/>
  <c r="GZ171" i="2"/>
  <c r="GZ132" i="2"/>
  <c r="GZ186" i="2"/>
  <c r="GZ102" i="2"/>
  <c r="GZ103" i="2"/>
  <c r="GZ149" i="2"/>
  <c r="GZ123" i="2"/>
  <c r="GZ82" i="2"/>
  <c r="GZ128" i="2"/>
  <c r="GZ158" i="2"/>
  <c r="GZ110" i="2"/>
  <c r="GZ91" i="2"/>
  <c r="GZ137" i="2"/>
  <c r="GZ24" i="2"/>
  <c r="GZ62" i="2"/>
  <c r="GZ100" i="2"/>
  <c r="GZ194" i="2"/>
  <c r="GZ71" i="2"/>
  <c r="GZ157" i="2"/>
  <c r="GZ142" i="2"/>
  <c r="GZ50" i="2"/>
  <c r="GZ203" i="2"/>
  <c r="GZ121" i="2"/>
  <c r="GZ13" i="2"/>
  <c r="GZ22" i="2"/>
  <c r="GZ84" i="2"/>
  <c r="GZ183" i="2"/>
  <c r="GZ200" i="2"/>
  <c r="GZ201" i="2"/>
  <c r="GZ162" i="2"/>
  <c r="GZ59" i="2"/>
  <c r="GZ164" i="2"/>
  <c r="GZ125" i="2"/>
  <c r="GZ134" i="2"/>
  <c r="GZ135" i="2"/>
  <c r="GZ104" i="2"/>
  <c r="GZ113" i="2"/>
  <c r="GZ114" i="2"/>
  <c r="GZ83" i="2"/>
  <c r="GZ76" i="2"/>
  <c r="GZ77" i="2"/>
  <c r="GZ38" i="2"/>
  <c r="GZ47" i="2"/>
  <c r="GZ56" i="2"/>
  <c r="GZ17" i="2"/>
  <c r="GZ26" i="2"/>
  <c r="GZ195" i="2"/>
  <c r="GZ4" i="2"/>
  <c r="GZ188" i="2"/>
  <c r="GZ120" i="2"/>
  <c r="GZ174" i="2"/>
  <c r="GZ159" i="2"/>
  <c r="GZ27" i="2"/>
  <c r="GZ153" i="2"/>
  <c r="GZ138" i="2"/>
  <c r="GZ54" i="2"/>
  <c r="GZ55" i="2"/>
  <c r="GZ101" i="2"/>
  <c r="GZ33" i="2"/>
  <c r="GZ34" i="2"/>
  <c r="GZ80" i="2"/>
  <c r="GZ163" i="2"/>
  <c r="GZ196" i="2"/>
  <c r="GZ139" i="2"/>
  <c r="GZ166" i="2"/>
  <c r="GZ167" i="2"/>
  <c r="GZ145" i="2"/>
  <c r="GZ146" i="2"/>
  <c r="GZ192" i="2"/>
  <c r="GZ108" i="2"/>
  <c r="GZ109" i="2"/>
  <c r="GZ43" i="2"/>
  <c r="GZ79" i="2"/>
  <c r="GZ88" i="2"/>
  <c r="GZ107" i="2"/>
  <c r="GZ58" i="2"/>
  <c r="GZ45" i="2"/>
  <c r="GZ150" i="2"/>
  <c r="GZ21" i="2"/>
  <c r="GZ152" i="2"/>
  <c r="GZ129" i="2"/>
  <c r="GZ191" i="2"/>
  <c r="GZ115" i="2"/>
  <c r="GZ92" i="2"/>
  <c r="GZ170" i="2"/>
  <c r="GZ86" i="2"/>
  <c r="GZ87" i="2"/>
  <c r="GZ133" i="2"/>
  <c r="GZ65" i="2"/>
  <c r="GZ66" i="2"/>
  <c r="GZ3" i="2"/>
  <c r="C15" i="4" s="1"/>
  <c r="E15" i="4" s="1"/>
  <c r="F15" i="4" s="1"/>
  <c r="G15" i="4" s="1"/>
  <c r="L15" i="4" s="1"/>
  <c r="CY20" i="2"/>
  <c r="CY43" i="2"/>
  <c r="CY24" i="2"/>
  <c r="CY21" i="2"/>
  <c r="CY153" i="2"/>
  <c r="CY45" i="2"/>
  <c r="CY83" i="2"/>
  <c r="CY39" i="2"/>
  <c r="CY71" i="2"/>
  <c r="CY141" i="2"/>
  <c r="CY193" i="2"/>
  <c r="CY72" i="2"/>
  <c r="CY19" i="2"/>
  <c r="CY172" i="2"/>
  <c r="CY59" i="2"/>
  <c r="CY77" i="2"/>
  <c r="CY94" i="2"/>
  <c r="CY17" i="2"/>
  <c r="CY146" i="2"/>
  <c r="CY65" i="2"/>
  <c r="CY87" i="2"/>
  <c r="CY23" i="2"/>
  <c r="CY40" i="2"/>
  <c r="CY63" i="2"/>
  <c r="CY150" i="2"/>
  <c r="CY156" i="2"/>
  <c r="CY12" i="2"/>
  <c r="CY198" i="2"/>
  <c r="CY203" i="2"/>
  <c r="CY179" i="2"/>
  <c r="CY143" i="2"/>
  <c r="CY189" i="2"/>
  <c r="CY171" i="2"/>
  <c r="CY26" i="2"/>
  <c r="CY97" i="2"/>
  <c r="CY164" i="2"/>
  <c r="CY78" i="2"/>
  <c r="CY47" i="2"/>
  <c r="CY42" i="2"/>
  <c r="CY145" i="2"/>
  <c r="CY85" i="2"/>
  <c r="CY88" i="2"/>
  <c r="CY5" i="2"/>
  <c r="CY144" i="2"/>
  <c r="CY98" i="2"/>
  <c r="CY51" i="2"/>
  <c r="CY6" i="2"/>
  <c r="CY66" i="2"/>
  <c r="CY60" i="2"/>
  <c r="CY157" i="2"/>
  <c r="CY99" i="2"/>
  <c r="CY190" i="2"/>
  <c r="CY133" i="2"/>
  <c r="CY33" i="2"/>
  <c r="CY188" i="2"/>
  <c r="CY70" i="2"/>
  <c r="CY166" i="2"/>
  <c r="CY149" i="2"/>
  <c r="CY58" i="2"/>
  <c r="CY132" i="2"/>
  <c r="CY184" i="2"/>
  <c r="CY16" i="2"/>
  <c r="CY44" i="2"/>
  <c r="CY82" i="2"/>
  <c r="CY191" i="2"/>
  <c r="CY167" i="2"/>
  <c r="CY195" i="2"/>
  <c r="CY112" i="2"/>
  <c r="CY11" i="2"/>
  <c r="CY117" i="2"/>
  <c r="CY22" i="2"/>
  <c r="CY103" i="2"/>
  <c r="CY32" i="2"/>
  <c r="CY170" i="2"/>
  <c r="CY7" i="2"/>
  <c r="CY50" i="2"/>
  <c r="CY163" i="2"/>
  <c r="CY116" i="2"/>
  <c r="CY139" i="2"/>
  <c r="CY123" i="2"/>
  <c r="CY126" i="2"/>
  <c r="CY106" i="2"/>
  <c r="CY131" i="2"/>
  <c r="CY31" i="2"/>
  <c r="CY124" i="2"/>
  <c r="CY9" i="2"/>
  <c r="CY201" i="2"/>
  <c r="CY192" i="2"/>
  <c r="CY80" i="2"/>
  <c r="CY154" i="2"/>
  <c r="CY152" i="2"/>
  <c r="CY177" i="2"/>
  <c r="CY199" i="2"/>
  <c r="CY125" i="2"/>
  <c r="CY127" i="2"/>
  <c r="CY119" i="2"/>
  <c r="CY181" i="2"/>
  <c r="CY62" i="2"/>
  <c r="CY95" i="2"/>
  <c r="CY49" i="2"/>
  <c r="CY130" i="2"/>
  <c r="CY54" i="2"/>
  <c r="CY53" i="2"/>
  <c r="CY64" i="2"/>
  <c r="CY183" i="2"/>
  <c r="CY134" i="2"/>
  <c r="CY160" i="2"/>
  <c r="CY67" i="2"/>
  <c r="CY121" i="2"/>
  <c r="CY81" i="2"/>
  <c r="CY111" i="2"/>
  <c r="CY38" i="2"/>
  <c r="CY165" i="2"/>
  <c r="CY69" i="2"/>
  <c r="CY173" i="2"/>
  <c r="CY122" i="2"/>
  <c r="CY102" i="2"/>
  <c r="CY56" i="2"/>
  <c r="CY108" i="2"/>
  <c r="CY10" i="2"/>
  <c r="CY96" i="2"/>
  <c r="CY168" i="2"/>
  <c r="CY76" i="2"/>
  <c r="CY194" i="2"/>
  <c r="CY15" i="2"/>
  <c r="CY73" i="2"/>
  <c r="CY8" i="2"/>
  <c r="CY28" i="2"/>
  <c r="CY113" i="2"/>
  <c r="CY36" i="2"/>
  <c r="CY57" i="2"/>
  <c r="CY180" i="2"/>
  <c r="CY55" i="2"/>
  <c r="CY109" i="2"/>
  <c r="CY176" i="2"/>
  <c r="CY120" i="2"/>
  <c r="CY147" i="2"/>
  <c r="CY107" i="2"/>
  <c r="CY104" i="2"/>
  <c r="CY142" i="2"/>
  <c r="CY138" i="2"/>
  <c r="CY187" i="2"/>
  <c r="CY68" i="2"/>
  <c r="CY91" i="2"/>
  <c r="CY159" i="2"/>
  <c r="CY115" i="2"/>
  <c r="CY89" i="2"/>
  <c r="CY140" i="2"/>
  <c r="CY52" i="2"/>
  <c r="CY128" i="2"/>
  <c r="CY79" i="2"/>
  <c r="CY84" i="2"/>
  <c r="CY25" i="2"/>
  <c r="CY182" i="2"/>
  <c r="CY35" i="2"/>
  <c r="CY148" i="2"/>
  <c r="CY155" i="2"/>
  <c r="CY3" i="2"/>
  <c r="C10" i="4" s="1"/>
  <c r="E10" i="4" s="1"/>
  <c r="F10" i="4" s="1"/>
  <c r="G10" i="4" s="1"/>
  <c r="L10" i="4" s="1"/>
  <c r="CY162" i="2"/>
  <c r="CY169" i="2"/>
  <c r="CY74" i="2"/>
  <c r="CY129" i="2"/>
  <c r="CY178" i="2"/>
  <c r="CY110" i="2"/>
  <c r="CY29" i="2"/>
  <c r="CY48" i="2"/>
  <c r="CY46" i="2"/>
  <c r="CY14" i="2"/>
  <c r="CY105" i="2"/>
  <c r="CY137" i="2"/>
  <c r="CY18" i="2"/>
  <c r="CY114" i="2"/>
  <c r="CY100" i="2"/>
  <c r="CY135" i="2"/>
  <c r="CY37" i="2"/>
  <c r="CY185" i="2"/>
  <c r="CY13" i="2"/>
  <c r="CY186" i="2"/>
  <c r="CY136" i="2"/>
  <c r="CY61" i="2"/>
  <c r="CY101" i="2"/>
  <c r="CY197" i="2"/>
  <c r="CY92" i="2"/>
  <c r="CY158" i="2"/>
  <c r="CY30" i="2"/>
  <c r="CY175" i="2"/>
  <c r="CY27" i="2"/>
  <c r="CY41" i="2"/>
  <c r="CY90" i="2"/>
  <c r="CY93" i="2"/>
  <c r="CY118" i="2"/>
  <c r="CY34" i="2"/>
  <c r="CY86" i="2"/>
  <c r="CY161" i="2"/>
  <c r="CY200" i="2"/>
  <c r="CY174" i="2"/>
  <c r="CY196" i="2"/>
  <c r="CY202" i="2"/>
  <c r="CY4" i="2"/>
  <c r="CY75" i="2"/>
  <c r="CY15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60" i="2"/>
  <c r="BI150" i="2"/>
  <c r="BI155" i="2"/>
  <c r="BI78" i="2"/>
  <c r="BI127" i="2"/>
  <c r="BI85" i="2"/>
  <c r="BI163" i="2"/>
  <c r="BI133" i="2"/>
  <c r="BI104" i="2"/>
  <c r="BI168" i="2"/>
  <c r="BI77" i="2"/>
  <c r="BI109" i="2"/>
  <c r="BI119" i="2"/>
  <c r="BI51" i="2"/>
  <c r="BI165" i="2"/>
  <c r="BI199" i="2"/>
  <c r="BI148" i="2"/>
  <c r="BI176" i="2"/>
  <c r="BI196" i="2"/>
  <c r="BI68" i="2"/>
  <c r="BI80" i="2"/>
  <c r="BI144" i="2"/>
  <c r="BI158" i="2"/>
  <c r="BI101" i="2"/>
  <c r="BI145" i="2"/>
  <c r="BI166" i="2"/>
  <c r="BI34" i="2"/>
  <c r="BI30" i="2"/>
  <c r="BI202" i="2"/>
  <c r="BI124" i="2"/>
  <c r="BI96" i="2"/>
  <c r="BI161" i="2"/>
  <c r="BI36" i="2"/>
  <c r="BI115" i="2"/>
  <c r="BI37" i="2"/>
  <c r="BI187" i="2"/>
  <c r="BI159" i="2"/>
  <c r="BI201" i="2"/>
  <c r="BI103" i="2"/>
  <c r="BI42" i="2"/>
  <c r="BI191" i="2"/>
  <c r="BI21" i="2"/>
  <c r="BI67" i="2"/>
  <c r="BI9" i="2"/>
  <c r="BI134" i="2"/>
  <c r="BI6" i="2"/>
  <c r="BI169" i="2"/>
  <c r="BI106" i="2"/>
  <c r="BI46" i="2"/>
  <c r="BI183" i="2"/>
  <c r="BI121" i="2"/>
  <c r="BI44" i="2"/>
  <c r="BI178" i="2"/>
  <c r="BI41" i="2"/>
  <c r="BI22" i="2"/>
  <c r="BI79" i="2"/>
  <c r="BI186" i="2"/>
  <c r="BI162" i="2"/>
  <c r="BI76" i="2"/>
  <c r="BI86" i="2"/>
  <c r="BI20" i="2"/>
  <c r="BI179" i="2"/>
  <c r="BI50" i="2"/>
  <c r="BI100" i="2"/>
  <c r="BI142" i="2"/>
  <c r="BI89" i="2"/>
  <c r="BI117" i="2"/>
  <c r="BI194" i="2"/>
  <c r="BI140" i="2"/>
  <c r="BI143" i="2"/>
  <c r="BI175" i="2"/>
  <c r="BI102" i="2"/>
  <c r="BI123" i="2"/>
  <c r="BI48" i="2"/>
  <c r="BI136" i="2"/>
  <c r="BI118" i="2"/>
  <c r="BI24" i="2"/>
  <c r="BI132" i="2"/>
  <c r="BI53" i="2"/>
  <c r="BI84" i="2"/>
  <c r="BI157" i="2"/>
  <c r="BI184" i="2"/>
  <c r="BI7" i="2"/>
  <c r="BI14" i="2"/>
  <c r="BI107" i="2"/>
  <c r="BI147" i="2"/>
  <c r="BI188" i="2"/>
  <c r="BI56" i="2"/>
  <c r="BI3" i="2"/>
  <c r="C8" i="4" s="1"/>
  <c r="E8" i="4" s="1"/>
  <c r="F8" i="4" s="1"/>
  <c r="G8" i="4" s="1"/>
  <c r="L8" i="4" s="1"/>
  <c r="BI8" i="2"/>
  <c r="BI40" i="2"/>
  <c r="BI74" i="2"/>
  <c r="BI64" i="2"/>
  <c r="BI62" i="2"/>
  <c r="BI112" i="2"/>
  <c r="BI193" i="2"/>
  <c r="BI75" i="2"/>
  <c r="BI126" i="2"/>
  <c r="BI154" i="2"/>
  <c r="BI95" i="2"/>
  <c r="BI18" i="2"/>
  <c r="BI116" i="2"/>
  <c r="BI149" i="2"/>
  <c r="BI135" i="2"/>
  <c r="BI87" i="2"/>
  <c r="BI182" i="2"/>
  <c r="BI55" i="2"/>
  <c r="BI83" i="2"/>
  <c r="BI17" i="2"/>
  <c r="BI19" i="2"/>
  <c r="BI4" i="2"/>
  <c r="BI10" i="2"/>
  <c r="BI151" i="2"/>
  <c r="BI66" i="2"/>
  <c r="BI128" i="2"/>
  <c r="BI181" i="2"/>
  <c r="BI192" i="2"/>
  <c r="BI105" i="2"/>
  <c r="BI73" i="2"/>
  <c r="BI58" i="2"/>
  <c r="BI13" i="2"/>
  <c r="BI57" i="2"/>
  <c r="BI65" i="2"/>
  <c r="BI122" i="2"/>
  <c r="BI200" i="2"/>
  <c r="BI25" i="2"/>
  <c r="BI190" i="2"/>
  <c r="BI170" i="2"/>
  <c r="BI43" i="2"/>
  <c r="BI11" i="2"/>
  <c r="BI129" i="2"/>
  <c r="BI173" i="2"/>
  <c r="BI38" i="2"/>
  <c r="BI180" i="2"/>
  <c r="BI82" i="2"/>
  <c r="BI152" i="2"/>
  <c r="BI63" i="2"/>
  <c r="BI114" i="2"/>
  <c r="BI91" i="2"/>
  <c r="BI59" i="2"/>
  <c r="BI137" i="2"/>
  <c r="BI49" i="2"/>
  <c r="BI92" i="2"/>
  <c r="BI54" i="2"/>
  <c r="BI111" i="2"/>
  <c r="BI16" i="2"/>
  <c r="BI156" i="2"/>
  <c r="BI12" i="2"/>
  <c r="BI52" i="2"/>
  <c r="BI33" i="2"/>
  <c r="BI189" i="2"/>
  <c r="BI108" i="2"/>
  <c r="BI69" i="2"/>
  <c r="BI99" i="2"/>
  <c r="BI120" i="2"/>
  <c r="BI27" i="2"/>
  <c r="BI5" i="2"/>
  <c r="BI61" i="2"/>
  <c r="BI113" i="2"/>
  <c r="BI39" i="2"/>
  <c r="BI185" i="2"/>
  <c r="BI172" i="2"/>
  <c r="BI26" i="2"/>
  <c r="BI32" i="2"/>
  <c r="BI35" i="2"/>
  <c r="BI72" i="2"/>
  <c r="BI90" i="2"/>
  <c r="BI15" i="2"/>
  <c r="BI139" i="2"/>
  <c r="BI23" i="2"/>
  <c r="BI60" i="2"/>
  <c r="BI71" i="2"/>
  <c r="BI45" i="2"/>
  <c r="BI171" i="2"/>
  <c r="BI131" i="2"/>
  <c r="BI203" i="2"/>
  <c r="BI93" i="2"/>
  <c r="BI177" i="2"/>
  <c r="BI153" i="2"/>
  <c r="BI31" i="2"/>
  <c r="BI130" i="2"/>
  <c r="BI197" i="2"/>
  <c r="BI146" i="2"/>
  <c r="BI164" i="2"/>
  <c r="BI167" i="2"/>
  <c r="BI94" i="2"/>
  <c r="BI138" i="2"/>
  <c r="BI174" i="2"/>
  <c r="BI70" i="2"/>
  <c r="BI195" i="2"/>
  <c r="BI28" i="2"/>
  <c r="BI141" i="2"/>
  <c r="BI81" i="2"/>
  <c r="BI98" i="2"/>
  <c r="BI198" i="2"/>
  <c r="BI125" i="2"/>
  <c r="BI110" i="2"/>
  <c r="BI88" i="2"/>
  <c r="BI97" i="2"/>
  <c r="BI2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<sst xmlns="http://schemas.openxmlformats.org/spreadsheetml/2006/main" count="1123" uniqueCount="325">
  <si>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</si>
  <si>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</si>
  <si>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</si>
  <si>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</si>
  <si>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</si>
  <si>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</si>
  <si>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</si>
  <si>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</si>
  <si>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</si>
  <si>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</si>
  <si>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</si>
  <si>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</si>
  <si>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</si>
  <si>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</si>
  <si>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</si>
  <si>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</si>
  <si>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</si>
  <si>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</si>
  <si>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</si>
  <si>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</si>
  <si>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</si>
  <si>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</si>
  <si>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</si>
  <si>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</si>
  <si>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</si>
  <si>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</si>
  <si>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</si>
  <si>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</si>
  <si>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</si>
  <si>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</si>
  <si>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</si>
  <si>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</si>
  <si>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</si>
  <si>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</si>
  <si>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</si>
  <si>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</si>
  <si>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</si>
  <si>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</si>
  <si>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</si>
  <si>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</si>
  <si>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</si>
  <si>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</si>
  <si>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</si>
  <si>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</si>
  <si>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</si>
  <si>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</si>
  <si>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</si>
  <si>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</si>
  <si>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</si>
  <si>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</si>
  <si>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</si>
  <si>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</si>
  <si>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</si>
  <si>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</si>
  <si>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</si>
  <si>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</si>
  <si>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</si>
  <si>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</si>
  <si>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</si>
  <si>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</si>
  <si>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</si>
  <si>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</si>
  <si>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</si>
  <si>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</si>
  <si>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</si>
  <si>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</si>
  <si>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</si>
  <si>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</si>
  <si>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</si>
  <si>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</si>
  <si>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</si>
  <si>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</si>
  <si>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</si>
  <si>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</si>
  <si>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</si>
  <si>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</si>
  <si>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</si>
  <si>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</si>
  <si>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</si>
  <si>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</si>
  <si>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</si>
  <si>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</si>
  <si>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</si>
  <si>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</si>
  <si>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</si>
  <si>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</si>
  <si>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</si>
  <si>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</si>
  <si>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</si>
  <si>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</si>
  <si>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</si>
  <si>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</si>
  <si>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</si>
  <si>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</si>
  <si>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</si>
  <si>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</si>
  <si>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</si>
  <si>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</si>
  <si>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</si>
  <si>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</si>
  <si>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</si>
  <si>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</si>
  <si>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</si>
  <si>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</si>
  <si>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</si>
  <si>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</si>
  <si>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</si>
  <si>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</si>
  <si>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</si>
  <si>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</si>
  <si>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</si>
  <si>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</si>
  <si>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</si>
  <si>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</si>
  <si>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</si>
  <si>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</si>
  <si>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</si>
  <si>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</si>
  <si>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</si>
  <si>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</si>
  <si>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</si>
  <si>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</si>
  <si>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</si>
  <si>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</si>
  <si>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</si>
  <si>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</si>
  <si>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</si>
  <si>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</si>
  <si>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</si>
  <si>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</si>
  <si>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</si>
  <si>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</si>
  <si>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</si>
  <si>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</si>
  <si>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</si>
  <si>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</si>
  <si>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</si>
  <si>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</si>
  <si>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</si>
  <si>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</si>
  <si>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</si>
  <si>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</si>
  <si>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</si>
  <si>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</si>
  <si>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</si>
  <si>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</si>
  <si>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</si>
  <si>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</si>
  <si>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</si>
  <si>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</si>
  <si>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</si>
  <si>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</si>
  <si>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</si>
  <si>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</si>
  <si>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</si>
  <si>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</si>
  <si>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</si>
  <si>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</si>
  <si>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</si>
  <si>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</si>
  <si>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</si>
  <si>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</si>
  <si>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</si>
  <si>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</si>
  <si>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</si>
  <si>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</si>
  <si>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</si>
  <si>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</si>
  <si>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</si>
  <si>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</si>
  <si>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</si>
  <si>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</si>
  <si>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</si>
  <si>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</si>
  <si>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</si>
  <si>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</si>
  <si>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</si>
  <si>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</si>
  <si>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</si>
  <si>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</si>
  <si>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</si>
  <si>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</si>
  <si>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</si>
  <si>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</si>
  <si>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</si>
  <si>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</si>
  <si>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</si>
  <si>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</si>
  <si>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</si>
  <si>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</si>
  <si>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</si>
  <si>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</si>
  <si>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</si>
  <si>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</si>
  <si>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</si>
  <si>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</si>
  <si>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</si>
  <si>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</si>
  <si>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</si>
  <si>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</si>
  <si>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</si>
  <si>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</si>
  <si>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</si>
  <si>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</si>
  <si>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</si>
  <si>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</si>
  <si>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</si>
  <si>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</si>
  <si>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</si>
  <si>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</si>
  <si>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</si>
  <si>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</si>
  <si>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</si>
  <si>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</si>
  <si>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</si>
  <si>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</si>
  <si>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</si>
  <si>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</si>
  <si>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</si>
  <si>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</si>
  <si>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</si>
  <si>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</si>
  <si>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</si>
  <si>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</si>
  <si>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</si>
  <si>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</si>
  <si>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</si>
  <si>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</si>
  <si>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</si>
  <si>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</si>
  <si>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</si>
  <si>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</si>
  <si>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</si>
  <si>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</si>
  <si>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</si>
  <si>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</si>
  <si>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</si>
  <si>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</si>
  <si>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</si>
  <si>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</si>
  <si>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</si>
  <si>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</si>
  <si>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</si>
  <si>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</si>
  <si>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</si>
  <si>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</si>
  <si>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</si>
  <si>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</si>
  <si>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</si>
  <si>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</si>
  <si>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</si>
  <si>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</si>
  <si>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</si>
  <si>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</si>
  <si>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</si>
  <si>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</si>
  <si>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</si>
  <si>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</si>
  <si>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</si>
  <si>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</si>
  <si>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</si>
  <si>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</si>
  <si>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</si>
  <si>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</si>
  <si>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</si>
  <si>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</si>
  <si>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</si>
  <si>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</si>
  <si>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</si>
  <si>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</si>
  <si>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</si>
  <si>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</si>
  <si>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</si>
  <si>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</si>
  <si>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</si>
  <si>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</si>
  <si>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</si>
  <si>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</si>
  <si>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</si>
  <si>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</si>
  <si>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</si>
  <si>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</si>
  <si>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</si>
  <si>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</si>
  <si>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</si>
  <si>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</si>
  <si>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</si>
  <si>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</si>
  <si>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</si>
  <si>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</si>
  <si>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</si>
  <si>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</si>
  <si>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</si>
  <si>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</si>
  <si>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</si>
  <si>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</si>
  <si>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</si>
  <si>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</si>
  <si>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</si>
  <si>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</si>
  <si>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</si>
  <si>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</si>
  <si>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</si>
  <si>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</si>
  <si>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</si>
  <si>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</si>
  <si>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</si>
  <si>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</si>
  <si>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</si>
  <si>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</si>
  <si>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</si>
  <si>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</si>
  <si>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</si>
  <si>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</si>
  <si>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</si>
  <si>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</si>
  <si>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</si>
  <si>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</si>
  <si>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</si>
  <si>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</si>
  <si>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</si>
  <si>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</si>
  <si>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</si>
  <si>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</si>
  <si>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frêne et tremble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</si>
</sst>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/>
    </xf>
    <xf numFmtId="0" fontId="9" fillId="14" borderId="1" xfId="0" quotePrefix="1" applyNumberFormat="1" applyFont="1" applyFill="1" applyBorder="1" applyAlignment="1" applyProtection="1">
      <alignment horizontal="center"/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569.03978265954709</c:v>
                </c:pt>
                <c:pt idx="77">
                  <c:v>582.41546615645132</c:v>
                </c:pt>
                <c:pt idx="78">
                  <c:v>595.78474694239321</c:v>
                </c:pt>
                <c:pt idx="79">
                  <c:v>609.14778887966054</c:v>
                </c:pt>
                <c:pt idx="80">
                  <c:v>622.50474805800388</c:v>
                </c:pt>
                <c:pt idx="81">
                  <c:v>635.85577332565333</c:v>
                </c:pt>
                <c:pt idx="82">
                  <c:v>649.2010067734418</c:v>
                </c:pt>
                <c:pt idx="83">
                  <c:v>662.54058417706926</c:v>
                </c:pt>
                <c:pt idx="84">
                  <c:v>675.87463540191914</c:v>
                </c:pt>
                <c:pt idx="85">
                  <c:v>689.203284774287</c:v>
                </c:pt>
                <c:pt idx="86">
                  <c:v>594.44810225296681</c:v>
                </c:pt>
                <c:pt idx="87">
                  <c:v>606.47567200029653</c:v>
                </c:pt>
                <c:pt idx="88">
                  <c:v>618.4982900029172</c:v>
                </c:pt>
                <c:pt idx="89">
                  <c:v>630.51606604803339</c:v>
                </c:pt>
                <c:pt idx="90">
                  <c:v>642.52910539795516</c:v>
                </c:pt>
                <c:pt idx="91">
                  <c:v>654.5375090594797</c:v>
                </c:pt>
                <c:pt idx="92">
                  <c:v>666.54137403248592</c:v>
                </c:pt>
                <c:pt idx="93">
                  <c:v>678.54079353970099</c:v>
                </c:pt>
                <c:pt idx="94">
                  <c:v>690.53585723937374</c:v>
                </c:pt>
                <c:pt idx="95">
                  <c:v>702.52665142241483</c:v>
                </c:pt>
                <c:pt idx="96">
                  <c:v>606.2847971671714</c:v>
                </c:pt>
                <c:pt idx="97">
                  <c:v>616.78107210210942</c:v>
                </c:pt>
                <c:pt idx="98">
                  <c:v>627.27364503811225</c:v>
                </c:pt>
                <c:pt idx="99">
                  <c:v>637.76258661477414</c:v>
                </c:pt>
                <c:pt idx="100">
                  <c:v>648.24796495924147</c:v>
                </c:pt>
                <c:pt idx="101">
                  <c:v>658.72984581562707</c:v>
                </c:pt>
                <c:pt idx="102">
                  <c:v>669.20829266576197</c:v>
                </c:pt>
                <c:pt idx="103">
                  <c:v>679.68336684199494</c:v>
                </c:pt>
                <c:pt idx="104">
                  <c:v>690.15512763267873</c:v>
                </c:pt>
                <c:pt idx="105">
                  <c:v>700.62363238092428</c:v>
                </c:pt>
                <c:pt idx="106">
                  <c:v>608.95693147091299</c:v>
                </c:pt>
                <c:pt idx="107">
                  <c:v>618.30749289907305</c:v>
                </c:pt>
                <c:pt idx="108">
                  <c:v>627.65512429961279</c:v>
                </c:pt>
                <c:pt idx="109">
                  <c:v>636.99987545603437</c:v>
                </c:pt>
                <c:pt idx="110">
                  <c:v>646.34179457229243</c:v>
                </c:pt>
                <c:pt idx="111">
                  <c:v>655.68092834550419</c:v>
                </c:pt>
                <c:pt idx="112">
                  <c:v>665.01732203430026</c:v>
                </c:pt>
                <c:pt idx="113">
                  <c:v>674.35101952314142</c:v>
                </c:pt>
                <c:pt idx="114">
                  <c:v>683.68206338288792</c:v>
                </c:pt>
                <c:pt idx="115">
                  <c:v>693.01049492789389</c:v>
                </c:pt>
                <c:pt idx="116">
                  <c:v>607.62089481714168</c:v>
                </c:pt>
                <c:pt idx="117">
                  <c:v>615.63620511985016</c:v>
                </c:pt>
                <c:pt idx="118">
                  <c:v>623.64935210528438</c:v>
                </c:pt>
                <c:pt idx="119">
                  <c:v>631.66036748923932</c:v>
                </c:pt>
                <c:pt idx="120">
                  <c:v>639.6692821174388</c:v>
                </c:pt>
                <c:pt idx="121">
                  <c:v>647.67612600023597</c:v>
                </c:pt>
                <c:pt idx="122">
                  <c:v>655.68092834550373</c:v>
                </c:pt>
                <c:pt idx="123">
                  <c:v>663.6837175898421</c:v>
                </c:pt>
                <c:pt idx="124">
                  <c:v>671.68452142819626</c:v>
                </c:pt>
                <c:pt idx="125">
                  <c:v>679.68336684199437</c:v>
                </c:pt>
                <c:pt idx="126">
                  <c:v>601.51251958281682</c:v>
                </c:pt>
                <c:pt idx="127">
                  <c:v>609.1477888796602</c:v>
                </c:pt>
                <c:pt idx="128">
                  <c:v>616.78107210210862</c:v>
                </c:pt>
                <c:pt idx="129">
                  <c:v>624.41239729750191</c:v>
                </c:pt>
                <c:pt idx="130">
                  <c:v>632.0417917716685</c:v>
                </c:pt>
                <c:pt idx="131">
                  <c:v>639.6692821174388</c:v>
                </c:pt>
                <c:pt idx="132">
                  <c:v>647.29489424172436</c:v>
                </c:pt>
                <c:pt idx="133">
                  <c:v>654.91865339125741</c:v>
                </c:pt>
                <c:pt idx="134">
                  <c:v>662.54058417706881</c:v>
                </c:pt>
                <c:pt idx="135">
                  <c:v>670.16071059778062</c:v>
                </c:pt>
                <c:pt idx="136">
                  <c:v>595.21190686629973</c:v>
                </c:pt>
                <c:pt idx="137">
                  <c:v>602.2761367009989</c:v>
                </c:pt>
                <c:pt idx="138">
                  <c:v>609.33864504715143</c:v>
                </c:pt>
                <c:pt idx="139">
                  <c:v>616.39945467421887</c:v>
                </c:pt>
                <c:pt idx="140">
                  <c:v>623.4585877874099</c:v>
                </c:pt>
                <c:pt idx="141">
                  <c:v>630.51606604803271</c:v>
                </c:pt>
                <c:pt idx="142">
                  <c:v>637.571910592888</c:v>
                </c:pt>
                <c:pt idx="143">
                  <c:v>644.62614205275918</c:v>
                </c:pt>
                <c:pt idx="144">
                  <c:v>651.678780570051</c:v>
                </c:pt>
                <c:pt idx="145">
                  <c:v>658.72984581562616</c:v>
                </c:pt>
                <c:pt idx="146">
                  <c:v>598.07599279308897</c:v>
                </c:pt>
                <c:pt idx="147">
                  <c:v>611.81966247182004</c:v>
                </c:pt>
                <c:pt idx="148">
                  <c:v>625.55692889431873</c:v>
                </c:pt>
                <c:pt idx="149">
                  <c:v>639.28795242054446</c:v>
                </c:pt>
                <c:pt idx="150">
                  <c:v>653.01288596370011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96419664"/>
        <c:axId val="-1396424016"/>
      </c:scatterChart>
      <c:valAx>
        <c:axId val="-1396419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6424016"/>
        <c:crosses val="autoZero"/>
        <c:crossBetween val="midCat"/>
      </c:valAx>
      <c:valAx>
        <c:axId val="-139642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6419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88627216"/>
        <c:axId val="-1888615248"/>
      </c:scatterChart>
      <c:valAx>
        <c:axId val="-18886272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88615248"/>
        <c:crosses val="autoZero"/>
        <c:crossBetween val="midCat"/>
      </c:valAx>
      <c:valAx>
        <c:axId val="-1888615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88627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150.87513847478246</c:v>
                </c:pt>
                <c:pt idx="22">
                  <c:v>164.05970215478601</c:v>
                </c:pt>
                <c:pt idx="23">
                  <c:v>177.21922452403726</c:v>
                </c:pt>
                <c:pt idx="24">
                  <c:v>190.35582818013089</c:v>
                </c:pt>
                <c:pt idx="25">
                  <c:v>203.47131846209797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244.88086471160261</c:v>
                </c:pt>
                <c:pt idx="32">
                  <c:v>264.43843589912387</c:v>
                </c:pt>
                <c:pt idx="33">
                  <c:v>283.96339386484857</c:v>
                </c:pt>
                <c:pt idx="34">
                  <c:v>303.45829588181323</c:v>
                </c:pt>
                <c:pt idx="35">
                  <c:v>322.92534379451848</c:v>
                </c:pt>
                <c:pt idx="36">
                  <c:v>241.98049682860949</c:v>
                </c:pt>
                <c:pt idx="37">
                  <c:v>262.26703366253639</c:v>
                </c:pt>
                <c:pt idx="38">
                  <c:v>282.51816051208368</c:v>
                </c:pt>
                <c:pt idx="39">
                  <c:v>302.73677181781744</c:v>
                </c:pt>
                <c:pt idx="40">
                  <c:v>322.92534379451837</c:v>
                </c:pt>
                <c:pt idx="41">
                  <c:v>343.44578806718232</c:v>
                </c:pt>
                <c:pt idx="42">
                  <c:v>363.93929728008408</c:v>
                </c:pt>
                <c:pt idx="43">
                  <c:v>384.40760067247987</c:v>
                </c:pt>
                <c:pt idx="44">
                  <c:v>404.85222837562537</c:v>
                </c:pt>
                <c:pt idx="45">
                  <c:v>425.27454344239982</c:v>
                </c:pt>
                <c:pt idx="46">
                  <c:v>344.52504925832596</c:v>
                </c:pt>
                <c:pt idx="47">
                  <c:v>364.29860280650684</c:v>
                </c:pt>
                <c:pt idx="48">
                  <c:v>384.04871588248375</c:v>
                </c:pt>
                <c:pt idx="49">
                  <c:v>403.77676289014676</c:v>
                </c:pt>
                <c:pt idx="50">
                  <c:v>423.48397302905897</c:v>
                </c:pt>
                <c:pt idx="51">
                  <c:v>441.74027828737439</c:v>
                </c:pt>
                <c:pt idx="52">
                  <c:v>459.98041834329564</c:v>
                </c:pt>
                <c:pt idx="53">
                  <c:v>478.20512408967215</c:v>
                </c:pt>
                <c:pt idx="54">
                  <c:v>496.4150661959215</c:v>
                </c:pt>
                <c:pt idx="55">
                  <c:v>514.61086214265561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514.25421410888737</c:v>
                </c:pt>
                <c:pt idx="62">
                  <c:v>529.94184508625551</c:v>
                </c:pt>
                <c:pt idx="63">
                  <c:v>545.61970516793383</c:v>
                </c:pt>
                <c:pt idx="64">
                  <c:v>561.28811451546585</c:v>
                </c:pt>
                <c:pt idx="65">
                  <c:v>576.94737396741846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563.77996485783649</c:v>
                </c:pt>
                <c:pt idx="72">
                  <c:v>577.3031621395595</c:v>
                </c:pt>
                <c:pt idx="73">
                  <c:v>590.81975093891435</c:v>
                </c:pt>
                <c:pt idx="74">
                  <c:v>604.32990368396679</c:v>
                </c:pt>
                <c:pt idx="75">
                  <c:v>617.83378446799861</c:v>
                </c:pt>
                <c:pt idx="76">
                  <c:v>530.65468456610142</c:v>
                </c:pt>
                <c:pt idx="77">
                  <c:v>543.12614035455283</c:v>
                </c:pt>
                <c:pt idx="78">
                  <c:v>555.59158520777885</c:v>
                </c:pt>
                <c:pt idx="79">
                  <c:v>568.05117296149115</c:v>
                </c:pt>
                <c:pt idx="80">
                  <c:v>580.50505015445844</c:v>
                </c:pt>
                <c:pt idx="81">
                  <c:v>592.95335652703079</c:v>
                </c:pt>
                <c:pt idx="82">
                  <c:v>605.39622547563897</c:v>
                </c:pt>
                <c:pt idx="83">
                  <c:v>617.83378446799861</c:v>
                </c:pt>
                <c:pt idx="84">
                  <c:v>630.26615542315471</c:v>
                </c:pt>
                <c:pt idx="85">
                  <c:v>642.69345505999615</c:v>
                </c:pt>
                <c:pt idx="86">
                  <c:v>554.34530677131272</c:v>
                </c:pt>
                <c:pt idx="87">
                  <c:v>565.55971684393</c:v>
                </c:pt>
                <c:pt idx="88">
                  <c:v>576.76947816434301</c:v>
                </c:pt>
                <c:pt idx="89">
                  <c:v>587.97469380198311</c:v>
                </c:pt>
                <c:pt idx="90">
                  <c:v>599.17546257826007</c:v>
                </c:pt>
                <c:pt idx="91">
                  <c:v>610.37187931946266</c:v>
                </c:pt>
                <c:pt idx="92">
                  <c:v>621.56403509014024</c:v>
                </c:pt>
                <c:pt idx="93">
                  <c:v>632.75201740881039</c:v>
                </c:pt>
                <c:pt idx="94">
                  <c:v>643.93591044762059</c:v>
                </c:pt>
                <c:pt idx="95">
                  <c:v>655.11579521742271</c:v>
                </c:pt>
                <c:pt idx="96">
                  <c:v>565.38174692254574</c:v>
                </c:pt>
                <c:pt idx="97">
                  <c:v>575.16836435383368</c:v>
                </c:pt>
                <c:pt idx="98">
                  <c:v>584.9515063079474</c:v>
                </c:pt>
                <c:pt idx="99">
                  <c:v>594.73123910211177</c:v>
                </c:pt>
                <c:pt idx="100">
                  <c:v>604.50762669483913</c:v>
                </c:pt>
                <c:pt idx="101">
                  <c:v>614.2807308074224</c:v>
                </c:pt>
                <c:pt idx="102">
                  <c:v>624.05061103730111</c:v>
                </c:pt>
                <c:pt idx="103">
                  <c:v>633.81732496395614</c:v>
                </c:pt>
                <c:pt idx="104">
                  <c:v>643.58092824794232</c:v>
                </c:pt>
                <c:pt idx="105">
                  <c:v>653.34147472360155</c:v>
                </c:pt>
                <c:pt idx="106">
                  <c:v>567.8732193983036</c:v>
                </c:pt>
                <c:pt idx="107">
                  <c:v>576.59158121606004</c:v>
                </c:pt>
                <c:pt idx="108">
                  <c:v>585.30719229177305</c:v>
                </c:pt>
                <c:pt idx="109">
                  <c:v>594.02009936274032</c:v>
                </c:pt>
                <c:pt idx="110">
                  <c:v>602.73034768336299</c:v>
                </c:pt>
                <c:pt idx="111">
                  <c:v>611.43798109340639</c:v>
                </c:pt>
                <c:pt idx="112">
                  <c:v>620.14304208216913</c:v>
                </c:pt>
                <c:pt idx="113">
                  <c:v>628.8455718488633</c:v>
                </c:pt>
                <c:pt idx="114">
                  <c:v>637.54561035947995</c:v>
                </c:pt>
                <c:pt idx="115">
                  <c:v>646.24319640038709</c:v>
                </c:pt>
                <c:pt idx="116">
                  <c:v>566.62751179237478</c:v>
                </c:pt>
                <c:pt idx="117">
                  <c:v>574.10090346679817</c:v>
                </c:pt>
                <c:pt idx="118">
                  <c:v>581.57226419525443</c:v>
                </c:pt>
                <c:pt idx="119">
                  <c:v>589.04162375287922</c:v>
                </c:pt>
                <c:pt idx="120">
                  <c:v>596.5090110979769</c:v>
                </c:pt>
                <c:pt idx="121">
                  <c:v>603.97445440459546</c:v>
                </c:pt>
                <c:pt idx="122">
                  <c:v>611.43798109340605</c:v>
                </c:pt>
                <c:pt idx="123">
                  <c:v>618.89961786100037</c:v>
                </c:pt>
                <c:pt idx="124">
                  <c:v>626.35939070769678</c:v>
                </c:pt>
                <c:pt idx="125">
                  <c:v>633.81732496395534</c:v>
                </c:pt>
                <c:pt idx="126">
                  <c:v>560.93211702073916</c:v>
                </c:pt>
                <c:pt idx="127">
                  <c:v>568.05117296149081</c:v>
                </c:pt>
                <c:pt idx="128">
                  <c:v>575.16836435383323</c:v>
                </c:pt>
                <c:pt idx="129">
                  <c:v>582.28371752891576</c:v>
                </c:pt>
                <c:pt idx="130">
                  <c:v>589.39725812175027</c:v>
                </c:pt>
                <c:pt idx="131">
                  <c:v>596.5090110979769</c:v>
                </c:pt>
                <c:pt idx="132">
                  <c:v>603.61900077928851</c:v>
                </c:pt>
                <c:pt idx="133">
                  <c:v>610.72725086759363</c:v>
                </c:pt>
                <c:pt idx="134">
                  <c:v>617.83378446799804</c:v>
                </c:pt>
                <c:pt idx="135">
                  <c:v>624.93862411067119</c:v>
                </c:pt>
                <c:pt idx="136">
                  <c:v>555.05747305784064</c:v>
                </c:pt>
                <c:pt idx="137">
                  <c:v>561.64410728476457</c:v>
                </c:pt>
                <c:pt idx="138">
                  <c:v>568.22912535937337</c:v>
                </c:pt>
                <c:pt idx="139">
                  <c:v>574.81254865788685</c:v>
                </c:pt>
                <c:pt idx="140">
                  <c:v>581.39439802679851</c:v>
                </c:pt>
                <c:pt idx="141">
                  <c:v>587.9746938019822</c:v>
                </c:pt>
                <c:pt idx="142">
                  <c:v>594.5534558268979</c:v>
                </c:pt>
                <c:pt idx="143">
                  <c:v>601.13070346995062</c:v>
                </c:pt>
                <c:pt idx="144">
                  <c:v>607.70645564105166</c:v>
                </c:pt>
                <c:pt idx="145">
                  <c:v>614.28073080742172</c:v>
                </c:pt>
                <c:pt idx="146">
                  <c:v>557.72792635716348</c:v>
                </c:pt>
                <c:pt idx="147">
                  <c:v>570.54240067835826</c:v>
                </c:pt>
                <c:pt idx="148">
                  <c:v>583.35086355242231</c:v>
                </c:pt>
                <c:pt idx="149">
                  <c:v>596.15346552704295</c:v>
                </c:pt>
                <c:pt idx="150">
                  <c:v>608.95035015881115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96421840"/>
        <c:axId val="-1396415312"/>
      </c:scatterChart>
      <c:valAx>
        <c:axId val="-13964218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6415312"/>
        <c:crosses val="autoZero"/>
        <c:crossBetween val="midCat"/>
      </c:valAx>
      <c:valAx>
        <c:axId val="-139641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64218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3.2993926342755451</c:v>
                </c:pt>
                <c:pt idx="2">
                  <c:v>4.4893201557392208</c:v>
                </c:pt>
                <c:pt idx="3">
                  <c:v>6.1101705027927622</c:v>
                </c:pt>
                <c:pt idx="4">
                  <c:v>8.3186023442996486</c:v>
                </c:pt>
                <c:pt idx="5">
                  <c:v>11.328430675640973</c:v>
                </c:pt>
                <c:pt idx="6">
                  <c:v>15.431548981327753</c:v>
                </c:pt>
                <c:pt idx="7">
                  <c:v>21.026533138489317</c:v>
                </c:pt>
                <c:pt idx="8">
                  <c:v>28.657755228369926</c:v>
                </c:pt>
                <c:pt idx="9">
                  <c:v>39.068879251372145</c:v>
                </c:pt>
                <c:pt idx="10">
                  <c:v>53.276040691163224</c:v>
                </c:pt>
                <c:pt idx="11">
                  <c:v>67.942094129187879</c:v>
                </c:pt>
                <c:pt idx="12">
                  <c:v>82.526264080613331</c:v>
                </c:pt>
                <c:pt idx="13">
                  <c:v>97.045144350616127</c:v>
                </c:pt>
                <c:pt idx="14">
                  <c:v>111.50991321097064</c:v>
                </c:pt>
                <c:pt idx="15">
                  <c:v>125.92859448173509</c:v>
                </c:pt>
                <c:pt idx="16">
                  <c:v>142.70010358292737</c:v>
                </c:pt>
                <c:pt idx="17">
                  <c:v>159.42436006200964</c:v>
                </c:pt>
                <c:pt idx="18">
                  <c:v>176.10702302240045</c:v>
                </c:pt>
                <c:pt idx="19">
                  <c:v>192.75258949941266</c:v>
                </c:pt>
                <c:pt idx="20">
                  <c:v>209.36471515078131</c:v>
                </c:pt>
                <c:pt idx="21">
                  <c:v>166.57888122303586</c:v>
                </c:pt>
                <c:pt idx="22">
                  <c:v>183.24514998499424</c:v>
                </c:pt>
                <c:pt idx="23">
                  <c:v>199.87597768141939</c:v>
                </c:pt>
                <c:pt idx="24">
                  <c:v>216.47472919071291</c:v>
                </c:pt>
                <c:pt idx="25">
                  <c:v>233.04421068758674</c:v>
                </c:pt>
                <c:pt idx="26">
                  <c:v>249.32441486090056</c:v>
                </c:pt>
                <c:pt idx="27">
                  <c:v>265.58051154513532</c:v>
                </c:pt>
                <c:pt idx="28">
                  <c:v>281.81418407526689</c:v>
                </c:pt>
                <c:pt idx="29">
                  <c:v>298.02690596205679</c:v>
                </c:pt>
                <c:pt idx="30">
                  <c:v>314.21997727965459</c:v>
                </c:pt>
                <c:pt idx="31">
                  <c:v>260.33913593396761</c:v>
                </c:pt>
                <c:pt idx="32">
                  <c:v>275.79453412362</c:v>
                </c:pt>
                <c:pt idx="33">
                  <c:v>291.23048631586886</c:v>
                </c:pt>
                <c:pt idx="34">
                  <c:v>306.64816832646142</c:v>
                </c:pt>
                <c:pt idx="35">
                  <c:v>322.04862806271944</c:v>
                </c:pt>
                <c:pt idx="36">
                  <c:v>336.65093802655764</c:v>
                </c:pt>
                <c:pt idx="37">
                  <c:v>351.23930551707662</c:v>
                </c:pt>
                <c:pt idx="38">
                  <c:v>365.81439115881381</c:v>
                </c:pt>
                <c:pt idx="39">
                  <c:v>380.37679863746217</c:v>
                </c:pt>
                <c:pt idx="40">
                  <c:v>394.92708164509969</c:v>
                </c:pt>
                <c:pt idx="41">
                  <c:v>333.00169481114176</c:v>
                </c:pt>
                <c:pt idx="42">
                  <c:v>346.55166637710573</c:v>
                </c:pt>
                <c:pt idx="43">
                  <c:v>360.09000890291617</c:v>
                </c:pt>
                <c:pt idx="44">
                  <c:v>373.61722122435737</c:v>
                </c:pt>
                <c:pt idx="45">
                  <c:v>387.13376310498393</c:v>
                </c:pt>
                <c:pt idx="46">
                  <c:v>399.86112159092812</c:v>
                </c:pt>
                <c:pt idx="47">
                  <c:v>412.57971336343115</c:v>
                </c:pt>
                <c:pt idx="48">
                  <c:v>425.28984676277349</c:v>
                </c:pt>
                <c:pt idx="49">
                  <c:v>437.99181019525372</c:v>
                </c:pt>
                <c:pt idx="50">
                  <c:v>450.68587397483049</c:v>
                </c:pt>
                <c:pt idx="51">
                  <c:v>387.3935948852548</c:v>
                </c:pt>
                <c:pt idx="52">
                  <c:v>399.34181134841805</c:v>
                </c:pt>
                <c:pt idx="53">
                  <c:v>411.28229041391381</c:v>
                </c:pt>
                <c:pt idx="54">
                  <c:v>423.21528840048148</c:v>
                </c:pt>
                <c:pt idx="55">
                  <c:v>435.14104599175198</c:v>
                </c:pt>
                <c:pt idx="56">
                  <c:v>446.2826897768453</c:v>
                </c:pt>
                <c:pt idx="57">
                  <c:v>457.41837932963148</c:v>
                </c:pt>
                <c:pt idx="58">
                  <c:v>468.54828004976827</c:v>
                </c:pt>
                <c:pt idx="59">
                  <c:v>479.67254883752707</c:v>
                </c:pt>
                <c:pt idx="60">
                  <c:v>490.79133472172845</c:v>
                </c:pt>
                <c:pt idx="61">
                  <c:v>430.21605244412081</c:v>
                </c:pt>
                <c:pt idx="62">
                  <c:v>440.84217635604756</c:v>
                </c:pt>
                <c:pt idx="63">
                  <c:v>451.46281066885194</c:v>
                </c:pt>
                <c:pt idx="64">
                  <c:v>462.07810275153253</c:v>
                </c:pt>
                <c:pt idx="65">
                  <c:v>472.68819264876271</c:v>
                </c:pt>
                <c:pt idx="66">
                  <c:v>482.77601117194354</c:v>
                </c:pt>
                <c:pt idx="67">
                  <c:v>492.85935262880986</c:v>
                </c:pt>
                <c:pt idx="68">
                  <c:v>502.93832153954008</c:v>
                </c:pt>
                <c:pt idx="69">
                  <c:v>513.01301789298748</c:v>
                </c:pt>
                <c:pt idx="70">
                  <c:v>523.08353743016426</c:v>
                </c:pt>
                <c:pt idx="71">
                  <c:v>464.40758776978123</c:v>
                </c:pt>
                <c:pt idx="72">
                  <c:v>474.24046045825463</c:v>
                </c:pt>
                <c:pt idx="73">
                  <c:v>484.06899521093095</c:v>
                </c:pt>
                <c:pt idx="74">
                  <c:v>493.89329253818352</c:v>
                </c:pt>
                <c:pt idx="75">
                  <c:v>503.713448625014</c:v>
                </c:pt>
                <c:pt idx="76">
                  <c:v>512.75474492160231</c:v>
                </c:pt>
                <c:pt idx="77">
                  <c:v>521.79267536312102</c:v>
                </c:pt>
                <c:pt idx="78">
                  <c:v>530.82730647905521</c:v>
                </c:pt>
                <c:pt idx="79">
                  <c:v>539.85870234920981</c:v>
                </c:pt>
                <c:pt idx="80">
                  <c:v>548.88692473426227</c:v>
                </c:pt>
                <c:pt idx="81">
                  <c:v>494.41024528003317</c:v>
                </c:pt>
                <c:pt idx="82">
                  <c:v>503.19670004131422</c:v>
                </c:pt>
                <c:pt idx="83">
                  <c:v>511.97990951635302</c:v>
                </c:pt>
                <c:pt idx="84">
                  <c:v>520.75993724168131</c:v>
                </c:pt>
                <c:pt idx="85">
                  <c:v>529.53684443621125</c:v>
                </c:pt>
                <c:pt idx="86">
                  <c:v>537.79466527187412</c:v>
                </c:pt>
                <c:pt idx="87">
                  <c:v>546.04982172354835</c:v>
                </c:pt>
                <c:pt idx="88">
                  <c:v>554.3023597586548</c:v>
                </c:pt>
                <c:pt idx="89">
                  <c:v>562.5523238640161</c:v>
                </c:pt>
                <c:pt idx="90">
                  <c:v>570.7997571150305</c:v>
                </c:pt>
                <c:pt idx="91">
                  <c:v>517.91968442316318</c:v>
                </c:pt>
                <c:pt idx="92">
                  <c:v>525.66506033509472</c:v>
                </c:pt>
                <c:pt idx="93">
                  <c:v>533.40803268292461</c:v>
                </c:pt>
                <c:pt idx="94">
                  <c:v>541.1486412867431</c:v>
                </c:pt>
                <c:pt idx="95">
                  <c:v>548.88692473426227</c:v>
                </c:pt>
                <c:pt idx="96">
                  <c:v>556.62292043617106</c:v>
                </c:pt>
                <c:pt idx="97">
                  <c:v>564.35666467825115</c:v>
                </c:pt>
                <c:pt idx="98">
                  <c:v>572.08819267048932</c:v>
                </c:pt>
                <c:pt idx="99">
                  <c:v>579.81753859339392</c:v>
                </c:pt>
                <c:pt idx="100">
                  <c:v>587.54473564171496</c:v>
                </c:pt>
                <c:pt idx="101">
                  <c:v>538.05267899793887</c:v>
                </c:pt>
                <c:pt idx="102">
                  <c:v>545.2760127385468</c:v>
                </c:pt>
                <c:pt idx="103">
                  <c:v>552.4973385257864</c:v>
                </c:pt>
                <c:pt idx="104">
                  <c:v>559.71668631283626</c:v>
                </c:pt>
                <c:pt idx="105">
                  <c:v>566.93408521696813</c:v>
                </c:pt>
                <c:pt idx="106">
                  <c:v>574.14956355345282</c:v>
                </c:pt>
                <c:pt idx="107">
                  <c:v>581.36314886766934</c:v>
                </c:pt>
                <c:pt idx="108">
                  <c:v>588.57486796553962</c:v>
                </c:pt>
                <c:pt idx="109">
                  <c:v>595.78474694239355</c:v>
                </c:pt>
                <c:pt idx="110">
                  <c:v>602.99281121036381</c:v>
                </c:pt>
                <c:pt idx="111">
                  <c:v>556.8807479861506</c:v>
                </c:pt>
                <c:pt idx="112">
                  <c:v>563.58339055803435</c:v>
                </c:pt>
                <c:pt idx="113">
                  <c:v>570.28436588683383</c:v>
                </c:pt>
                <c:pt idx="114">
                  <c:v>576.98369633157199</c:v>
                </c:pt>
                <c:pt idx="115">
                  <c:v>583.68140368956654</c:v>
                </c:pt>
                <c:pt idx="116">
                  <c:v>590.37750921696579</c:v>
                </c:pt>
                <c:pt idx="117">
                  <c:v>597.07203364830355</c:v>
                </c:pt>
                <c:pt idx="118">
                  <c:v>603.76499721513153</c:v>
                </c:pt>
                <c:pt idx="119">
                  <c:v>610.45641966378332</c:v>
                </c:pt>
                <c:pt idx="120">
                  <c:v>617.14632027231767</c:v>
                </c:pt>
                <c:pt idx="121">
                  <c:v>1.6144600406554537E-12</c:v>
                </c:pt>
                <c:pt idx="122">
                  <c:v>1.6144600406554537E-12</c:v>
                </c:pt>
                <c:pt idx="123">
                  <c:v>1.6144600406554537E-12</c:v>
                </c:pt>
                <c:pt idx="124">
                  <c:v>1.6144600406554537E-12</c:v>
                </c:pt>
                <c:pt idx="125">
                  <c:v>1.6144600406554537E-12</c:v>
                </c:pt>
                <c:pt idx="126">
                  <c:v>1.6144600406554537E-12</c:v>
                </c:pt>
                <c:pt idx="127">
                  <c:v>1.6144600406554537E-12</c:v>
                </c:pt>
                <c:pt idx="128">
                  <c:v>1.6144600406554537E-12</c:v>
                </c:pt>
                <c:pt idx="129">
                  <c:v>1.6144600406554537E-12</c:v>
                </c:pt>
                <c:pt idx="130">
                  <c:v>1.6144600406554537E-12</c:v>
                </c:pt>
                <c:pt idx="131">
                  <c:v>1.6144600406554537E-12</c:v>
                </c:pt>
                <c:pt idx="132">
                  <c:v>1.6144600406554537E-12</c:v>
                </c:pt>
                <c:pt idx="133">
                  <c:v>1.6144600406554537E-12</c:v>
                </c:pt>
                <c:pt idx="134">
                  <c:v>1.6144600406554537E-12</c:v>
                </c:pt>
                <c:pt idx="135">
                  <c:v>1.6144600406554537E-12</c:v>
                </c:pt>
                <c:pt idx="136">
                  <c:v>1.6144600406554537E-12</c:v>
                </c:pt>
                <c:pt idx="137">
                  <c:v>1.6144600406554537E-12</c:v>
                </c:pt>
                <c:pt idx="138">
                  <c:v>1.6144600406554537E-12</c:v>
                </c:pt>
                <c:pt idx="139">
                  <c:v>1.6144600406554537E-12</c:v>
                </c:pt>
                <c:pt idx="140">
                  <c:v>1.6144600406554537E-12</c:v>
                </c:pt>
                <c:pt idx="141">
                  <c:v>1.6144600406554537E-12</c:v>
                </c:pt>
                <c:pt idx="142">
                  <c:v>1.6144600406554537E-12</c:v>
                </c:pt>
                <c:pt idx="143">
                  <c:v>1.6144600406554537E-12</c:v>
                </c:pt>
                <c:pt idx="144">
                  <c:v>1.6144600406554537E-12</c:v>
                </c:pt>
                <c:pt idx="145">
                  <c:v>1.6144600406554537E-12</c:v>
                </c:pt>
                <c:pt idx="146">
                  <c:v>1.6144600406554537E-12</c:v>
                </c:pt>
                <c:pt idx="147">
                  <c:v>1.6144600406554537E-12</c:v>
                </c:pt>
                <c:pt idx="148">
                  <c:v>1.6144600406554537E-12</c:v>
                </c:pt>
                <c:pt idx="149">
                  <c:v>1.6144600406554537E-12</c:v>
                </c:pt>
                <c:pt idx="150">
                  <c:v>1.6144600406554537E-12</c:v>
                </c:pt>
                <c:pt idx="151">
                  <c:v>1.6144600406554537E-12</c:v>
                </c:pt>
                <c:pt idx="152">
                  <c:v>1.6144600406554537E-12</c:v>
                </c:pt>
                <c:pt idx="153">
                  <c:v>1.6144600406554537E-12</c:v>
                </c:pt>
                <c:pt idx="154">
                  <c:v>1.6144600406554537E-12</c:v>
                </c:pt>
                <c:pt idx="155">
                  <c:v>1.6144600406554537E-12</c:v>
                </c:pt>
                <c:pt idx="156">
                  <c:v>1.6144600406554537E-12</c:v>
                </c:pt>
                <c:pt idx="157">
                  <c:v>1.6144600406554537E-12</c:v>
                </c:pt>
                <c:pt idx="158">
                  <c:v>1.6144600406554537E-12</c:v>
                </c:pt>
                <c:pt idx="159">
                  <c:v>1.6144600406554537E-12</c:v>
                </c:pt>
                <c:pt idx="160">
                  <c:v>1.6144600406554537E-12</c:v>
                </c:pt>
                <c:pt idx="161">
                  <c:v>1.6144600406554537E-12</c:v>
                </c:pt>
                <c:pt idx="162">
                  <c:v>1.6144600406554537E-12</c:v>
                </c:pt>
                <c:pt idx="163">
                  <c:v>1.6144600406554537E-12</c:v>
                </c:pt>
                <c:pt idx="164">
                  <c:v>1.6144600406554537E-12</c:v>
                </c:pt>
                <c:pt idx="165">
                  <c:v>1.6144600406554537E-12</c:v>
                </c:pt>
                <c:pt idx="166">
                  <c:v>1.6144600406554537E-12</c:v>
                </c:pt>
                <c:pt idx="167">
                  <c:v>1.6144600406554537E-12</c:v>
                </c:pt>
                <c:pt idx="168">
                  <c:v>1.6144600406554537E-12</c:v>
                </c:pt>
                <c:pt idx="169">
                  <c:v>1.6144600406554537E-12</c:v>
                </c:pt>
                <c:pt idx="170">
                  <c:v>1.6144600406554537E-12</c:v>
                </c:pt>
                <c:pt idx="171">
                  <c:v>1.6144600406554537E-12</c:v>
                </c:pt>
                <c:pt idx="172">
                  <c:v>1.6144600406554537E-12</c:v>
                </c:pt>
                <c:pt idx="173">
                  <c:v>1.6144600406554537E-12</c:v>
                </c:pt>
                <c:pt idx="174">
                  <c:v>1.6144600406554537E-12</c:v>
                </c:pt>
                <c:pt idx="175">
                  <c:v>1.6144600406554537E-12</c:v>
                </c:pt>
                <c:pt idx="176">
                  <c:v>1.6144600406554537E-12</c:v>
                </c:pt>
                <c:pt idx="177">
                  <c:v>1.6144600406554537E-12</c:v>
                </c:pt>
                <c:pt idx="178">
                  <c:v>1.6144600406554537E-12</c:v>
                </c:pt>
                <c:pt idx="179">
                  <c:v>1.6144600406554537E-12</c:v>
                </c:pt>
                <c:pt idx="180">
                  <c:v>1.6144600406554537E-12</c:v>
                </c:pt>
                <c:pt idx="181">
                  <c:v>1.6144600406554537E-12</c:v>
                </c:pt>
                <c:pt idx="182">
                  <c:v>1.6144600406554537E-12</c:v>
                </c:pt>
                <c:pt idx="183">
                  <c:v>1.6144600406554537E-12</c:v>
                </c:pt>
                <c:pt idx="184">
                  <c:v>1.6144600406554537E-12</c:v>
                </c:pt>
                <c:pt idx="185">
                  <c:v>1.6144600406554537E-12</c:v>
                </c:pt>
                <c:pt idx="186">
                  <c:v>1.6144600406554537E-12</c:v>
                </c:pt>
                <c:pt idx="187">
                  <c:v>1.6144600406554537E-12</c:v>
                </c:pt>
                <c:pt idx="188">
                  <c:v>1.6144600406554537E-12</c:v>
                </c:pt>
                <c:pt idx="189">
                  <c:v>1.6144600406554537E-12</c:v>
                </c:pt>
                <c:pt idx="190">
                  <c:v>1.6144600406554537E-12</c:v>
                </c:pt>
                <c:pt idx="191">
                  <c:v>1.6144600406554537E-12</c:v>
                </c:pt>
                <c:pt idx="192">
                  <c:v>1.6144600406554537E-12</c:v>
                </c:pt>
                <c:pt idx="193">
                  <c:v>1.6144600406554537E-12</c:v>
                </c:pt>
                <c:pt idx="194">
                  <c:v>1.6144600406554537E-12</c:v>
                </c:pt>
                <c:pt idx="195">
                  <c:v>1.6144600406554537E-12</c:v>
                </c:pt>
                <c:pt idx="196">
                  <c:v>1.6144600406554537E-12</c:v>
                </c:pt>
                <c:pt idx="197">
                  <c:v>1.6144600406554537E-12</c:v>
                </c:pt>
                <c:pt idx="198">
                  <c:v>1.6144600406554537E-12</c:v>
                </c:pt>
                <c:pt idx="199">
                  <c:v>1.6144600406554537E-12</c:v>
                </c:pt>
                <c:pt idx="200">
                  <c:v>1.6144600406554537E-12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96414224"/>
        <c:axId val="-1396416944"/>
      </c:scatterChart>
      <c:valAx>
        <c:axId val="-13964142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6416944"/>
        <c:crosses val="autoZero"/>
        <c:crossBetween val="midCat"/>
      </c:valAx>
      <c:valAx>
        <c:axId val="-139641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6414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27.345220255102358</c:v>
                </c:pt>
                <c:pt idx="12">
                  <c:v>37.432463952525062</c:v>
                </c:pt>
                <c:pt idx="13">
                  <c:v>47.445001472262504</c:v>
                </c:pt>
                <c:pt idx="14">
                  <c:v>57.400994138954132</c:v>
                </c:pt>
                <c:pt idx="15">
                  <c:v>67.311695544212839</c:v>
                </c:pt>
                <c:pt idx="16">
                  <c:v>84.712794136987995</c:v>
                </c:pt>
                <c:pt idx="17">
                  <c:v>102.02343949799173</c:v>
                </c:pt>
                <c:pt idx="18">
                  <c:v>119.26121337444529</c:v>
                </c:pt>
                <c:pt idx="19">
                  <c:v>136.43816057705777</c:v>
                </c:pt>
                <c:pt idx="20">
                  <c:v>153.56302988078727</c:v>
                </c:pt>
                <c:pt idx="21">
                  <c:v>145.8628199290761</c:v>
                </c:pt>
                <c:pt idx="22">
                  <c:v>159.54570617746938</c:v>
                </c:pt>
                <c:pt idx="23">
                  <c:v>173.2007820387752</c:v>
                </c:pt>
                <c:pt idx="24">
                  <c:v>186.83055031316962</c:v>
                </c:pt>
                <c:pt idx="25">
                  <c:v>200.43711831314485</c:v>
                </c:pt>
                <c:pt idx="26">
                  <c:v>212.89096465116634</c:v>
                </c:pt>
                <c:pt idx="27">
                  <c:v>225.32803014595461</c:v>
                </c:pt>
                <c:pt idx="28">
                  <c:v>237.74937198994965</c:v>
                </c:pt>
                <c:pt idx="29">
                  <c:v>250.15592780468808</c:v>
                </c:pt>
                <c:pt idx="30">
                  <c:v>262.54853455193677</c:v>
                </c:pt>
                <c:pt idx="31">
                  <c:v>212.60811330323997</c:v>
                </c:pt>
                <c:pt idx="32">
                  <c:v>224.76305761819128</c:v>
                </c:pt>
                <c:pt idx="33">
                  <c:v>236.90294203691141</c:v>
                </c:pt>
                <c:pt idx="34">
                  <c:v>249.0286474244198</c:v>
                </c:pt>
                <c:pt idx="35">
                  <c:v>261.14096179913935</c:v>
                </c:pt>
                <c:pt idx="36">
                  <c:v>272.11556422776465</c:v>
                </c:pt>
                <c:pt idx="37">
                  <c:v>283.08021534360483</c:v>
                </c:pt>
                <c:pt idx="38">
                  <c:v>294.03535513490755</c:v>
                </c:pt>
                <c:pt idx="39">
                  <c:v>304.98138810771269</c:v>
                </c:pt>
                <c:pt idx="40">
                  <c:v>315.9186873454837</c:v>
                </c:pt>
                <c:pt idx="41">
                  <c:v>256.07227305218686</c:v>
                </c:pt>
                <c:pt idx="42">
                  <c:v>266.48883532607005</c:v>
                </c:pt>
                <c:pt idx="43">
                  <c:v>276.89622424264081</c:v>
                </c:pt>
                <c:pt idx="44">
                  <c:v>287.29483341742718</c:v>
                </c:pt>
                <c:pt idx="45">
                  <c:v>297.68502562639242</c:v>
                </c:pt>
                <c:pt idx="46">
                  <c:v>306.94512587259828</c:v>
                </c:pt>
                <c:pt idx="47">
                  <c:v>316.19901919428327</c:v>
                </c:pt>
                <c:pt idx="48">
                  <c:v>325.44691298603851</c:v>
                </c:pt>
                <c:pt idx="49">
                  <c:v>334.68900188552061</c:v>
                </c:pt>
                <c:pt idx="50">
                  <c:v>343.92546889640727</c:v>
                </c:pt>
                <c:pt idx="51">
                  <c:v>290.94638285624404</c:v>
                </c:pt>
                <c:pt idx="52">
                  <c:v>298.24642451478059</c:v>
                </c:pt>
                <c:pt idx="53">
                  <c:v>305.54248465313009</c:v>
                </c:pt>
                <c:pt idx="54">
                  <c:v>312.83467185841931</c:v>
                </c:pt>
                <c:pt idx="55">
                  <c:v>320.12308923699317</c:v>
                </c:pt>
                <c:pt idx="56">
                  <c:v>328.24815038016749</c:v>
                </c:pt>
                <c:pt idx="57">
                  <c:v>336.3687724940782</c:v>
                </c:pt>
                <c:pt idx="58">
                  <c:v>344.48507794805352</c:v>
                </c:pt>
                <c:pt idx="59">
                  <c:v>352.59718287003483</c:v>
                </c:pt>
                <c:pt idx="60">
                  <c:v>360.70519760433916</c:v>
                </c:pt>
                <c:pt idx="61">
                  <c:v>304.98138810771269</c:v>
                </c:pt>
                <c:pt idx="62">
                  <c:v>312.27386950303747</c:v>
                </c:pt>
                <c:pt idx="63">
                  <c:v>319.56257332567822</c:v>
                </c:pt>
                <c:pt idx="64">
                  <c:v>326.84759797683063</c:v>
                </c:pt>
                <c:pt idx="65">
                  <c:v>334.12903710888446</c:v>
                </c:pt>
                <c:pt idx="66">
                  <c:v>340.84726036514814</c:v>
                </c:pt>
                <c:pt idx="67">
                  <c:v>347.56257164286967</c:v>
                </c:pt>
                <c:pt idx="68">
                  <c:v>354.27503519833516</c:v>
                </c:pt>
                <c:pt idx="69">
                  <c:v>360.98471265182519</c:v>
                </c:pt>
                <c:pt idx="70">
                  <c:v>367.69166314382898</c:v>
                </c:pt>
                <c:pt idx="71">
                  <c:v>325.16676002004442</c:v>
                </c:pt>
                <c:pt idx="72">
                  <c:v>330.20870222825306</c:v>
                </c:pt>
                <c:pt idx="73">
                  <c:v>335.24894601566797</c:v>
                </c:pt>
                <c:pt idx="74">
                  <c:v>340.28752055444653</c:v>
                </c:pt>
                <c:pt idx="75">
                  <c:v>345.32445408122294</c:v>
                </c:pt>
                <c:pt idx="76">
                  <c:v>351.19883890522436</c:v>
                </c:pt>
                <c:pt idx="77">
                  <c:v>357.07106927741569</c:v>
                </c:pt>
                <c:pt idx="78">
                  <c:v>362.9411856670547</c:v>
                </c:pt>
                <c:pt idx="79">
                  <c:v>368.80922712609168</c:v>
                </c:pt>
                <c:pt idx="80">
                  <c:v>374.67523136107451</c:v>
                </c:pt>
                <c:pt idx="81">
                  <c:v>332.44901850357911</c:v>
                </c:pt>
                <c:pt idx="82">
                  <c:v>337.76844015494413</c:v>
                </c:pt>
                <c:pt idx="83">
                  <c:v>343.08601778170441</c:v>
                </c:pt>
                <c:pt idx="84">
                  <c:v>348.4017840337396</c:v>
                </c:pt>
                <c:pt idx="85">
                  <c:v>353.71577048208866</c:v>
                </c:pt>
                <c:pt idx="86">
                  <c:v>358.74845936750717</c:v>
                </c:pt>
                <c:pt idx="87">
                  <c:v>363.77960344692701</c:v>
                </c:pt>
                <c:pt idx="88">
                  <c:v>368.8092271260918</c:v>
                </c:pt>
                <c:pt idx="89">
                  <c:v>373.83735408997171</c:v>
                </c:pt>
                <c:pt idx="90">
                  <c:v>378.86400733367782</c:v>
                </c:pt>
                <c:pt idx="91">
                  <c:v>2.1466615206600508E-12</c:v>
                </c:pt>
                <c:pt idx="92">
                  <c:v>2.1466615206600508E-12</c:v>
                </c:pt>
                <c:pt idx="93">
                  <c:v>2.1466615206600508E-12</c:v>
                </c:pt>
                <c:pt idx="94">
                  <c:v>2.1466615206600508E-12</c:v>
                </c:pt>
                <c:pt idx="95">
                  <c:v>2.1466615206600508E-12</c:v>
                </c:pt>
                <c:pt idx="96">
                  <c:v>2.1466615206600508E-12</c:v>
                </c:pt>
                <c:pt idx="97">
                  <c:v>2.1466615206600508E-12</c:v>
                </c:pt>
                <c:pt idx="98">
                  <c:v>2.1466615206600508E-12</c:v>
                </c:pt>
                <c:pt idx="99">
                  <c:v>2.1466615206600508E-12</c:v>
                </c:pt>
                <c:pt idx="100">
                  <c:v>2.1466615206600508E-12</c:v>
                </c:pt>
                <c:pt idx="101">
                  <c:v>2.1466615206600508E-12</c:v>
                </c:pt>
                <c:pt idx="102">
                  <c:v>2.1466615206600508E-12</c:v>
                </c:pt>
                <c:pt idx="103">
                  <c:v>2.1466615206600508E-12</c:v>
                </c:pt>
                <c:pt idx="104">
                  <c:v>2.1466615206600508E-12</c:v>
                </c:pt>
                <c:pt idx="105">
                  <c:v>2.1466615206600508E-12</c:v>
                </c:pt>
                <c:pt idx="106">
                  <c:v>2.1466615206600508E-12</c:v>
                </c:pt>
                <c:pt idx="107">
                  <c:v>2.1466615206600508E-12</c:v>
                </c:pt>
                <c:pt idx="108">
                  <c:v>2.1466615206600508E-12</c:v>
                </c:pt>
                <c:pt idx="109">
                  <c:v>2.1466615206600508E-12</c:v>
                </c:pt>
                <c:pt idx="110">
                  <c:v>2.1466615206600508E-12</c:v>
                </c:pt>
                <c:pt idx="111">
                  <c:v>2.1466615206600508E-12</c:v>
                </c:pt>
                <c:pt idx="112">
                  <c:v>2.1466615206600508E-12</c:v>
                </c:pt>
                <c:pt idx="113">
                  <c:v>2.1466615206600508E-12</c:v>
                </c:pt>
                <c:pt idx="114">
                  <c:v>2.1466615206600508E-12</c:v>
                </c:pt>
                <c:pt idx="115">
                  <c:v>2.1466615206600508E-12</c:v>
                </c:pt>
                <c:pt idx="116">
                  <c:v>2.1466615206600508E-12</c:v>
                </c:pt>
                <c:pt idx="117">
                  <c:v>2.1466615206600508E-12</c:v>
                </c:pt>
                <c:pt idx="118">
                  <c:v>2.1466615206600508E-12</c:v>
                </c:pt>
                <c:pt idx="119">
                  <c:v>2.1466615206600508E-12</c:v>
                </c:pt>
                <c:pt idx="120">
                  <c:v>2.1466615206600508E-12</c:v>
                </c:pt>
                <c:pt idx="121">
                  <c:v>2.1466615206600508E-12</c:v>
                </c:pt>
                <c:pt idx="122">
                  <c:v>2.1466615206600508E-12</c:v>
                </c:pt>
                <c:pt idx="123">
                  <c:v>2.1466615206600508E-12</c:v>
                </c:pt>
                <c:pt idx="124">
                  <c:v>2.1466615206600508E-12</c:v>
                </c:pt>
                <c:pt idx="125">
                  <c:v>2.1466615206600508E-12</c:v>
                </c:pt>
                <c:pt idx="126">
                  <c:v>2.1466615206600508E-12</c:v>
                </c:pt>
                <c:pt idx="127">
                  <c:v>2.1466615206600508E-12</c:v>
                </c:pt>
                <c:pt idx="128">
                  <c:v>2.1466615206600508E-12</c:v>
                </c:pt>
                <c:pt idx="129">
                  <c:v>2.1466615206600508E-12</c:v>
                </c:pt>
                <c:pt idx="130">
                  <c:v>2.1466615206600508E-12</c:v>
                </c:pt>
                <c:pt idx="131">
                  <c:v>2.1466615206600508E-12</c:v>
                </c:pt>
                <c:pt idx="132">
                  <c:v>2.1466615206600508E-12</c:v>
                </c:pt>
                <c:pt idx="133">
                  <c:v>2.1466615206600508E-12</c:v>
                </c:pt>
                <c:pt idx="134">
                  <c:v>2.1466615206600508E-12</c:v>
                </c:pt>
                <c:pt idx="135">
                  <c:v>2.1466615206600508E-12</c:v>
                </c:pt>
                <c:pt idx="136">
                  <c:v>2.1466615206600508E-12</c:v>
                </c:pt>
                <c:pt idx="137">
                  <c:v>2.1466615206600508E-12</c:v>
                </c:pt>
                <c:pt idx="138">
                  <c:v>2.1466615206600508E-12</c:v>
                </c:pt>
                <c:pt idx="139">
                  <c:v>2.1466615206600508E-12</c:v>
                </c:pt>
                <c:pt idx="140">
                  <c:v>2.1466615206600508E-12</c:v>
                </c:pt>
                <c:pt idx="141">
                  <c:v>2.1466615206600508E-12</c:v>
                </c:pt>
                <c:pt idx="142">
                  <c:v>2.1466615206600508E-12</c:v>
                </c:pt>
                <c:pt idx="143">
                  <c:v>2.1466615206600508E-12</c:v>
                </c:pt>
                <c:pt idx="144">
                  <c:v>2.1466615206600508E-12</c:v>
                </c:pt>
                <c:pt idx="145">
                  <c:v>2.1466615206600508E-12</c:v>
                </c:pt>
                <c:pt idx="146">
                  <c:v>2.1466615206600508E-12</c:v>
                </c:pt>
                <c:pt idx="147">
                  <c:v>2.1466615206600508E-12</c:v>
                </c:pt>
                <c:pt idx="148">
                  <c:v>2.1466615206600508E-12</c:v>
                </c:pt>
                <c:pt idx="149">
                  <c:v>2.1466615206600508E-12</c:v>
                </c:pt>
                <c:pt idx="150">
                  <c:v>2.1466615206600508E-12</c:v>
                </c:pt>
                <c:pt idx="151">
                  <c:v>2.1466615206600508E-12</c:v>
                </c:pt>
                <c:pt idx="152">
                  <c:v>2.1466615206600508E-12</c:v>
                </c:pt>
                <c:pt idx="153">
                  <c:v>2.1466615206600508E-12</c:v>
                </c:pt>
                <c:pt idx="154">
                  <c:v>2.1466615206600508E-12</c:v>
                </c:pt>
                <c:pt idx="155">
                  <c:v>2.1466615206600508E-12</c:v>
                </c:pt>
                <c:pt idx="156">
                  <c:v>2.1466615206600508E-12</c:v>
                </c:pt>
                <c:pt idx="157">
                  <c:v>2.1466615206600508E-12</c:v>
                </c:pt>
                <c:pt idx="158">
                  <c:v>2.1466615206600508E-12</c:v>
                </c:pt>
                <c:pt idx="159">
                  <c:v>2.1466615206600508E-12</c:v>
                </c:pt>
                <c:pt idx="160">
                  <c:v>2.1466615206600508E-12</c:v>
                </c:pt>
                <c:pt idx="161">
                  <c:v>2.1466615206600508E-12</c:v>
                </c:pt>
                <c:pt idx="162">
                  <c:v>2.1466615206600508E-12</c:v>
                </c:pt>
                <c:pt idx="163">
                  <c:v>2.1466615206600508E-12</c:v>
                </c:pt>
                <c:pt idx="164">
                  <c:v>2.1466615206600508E-12</c:v>
                </c:pt>
                <c:pt idx="165">
                  <c:v>2.1466615206600508E-12</c:v>
                </c:pt>
                <c:pt idx="166">
                  <c:v>2.1466615206600508E-12</c:v>
                </c:pt>
                <c:pt idx="167">
                  <c:v>2.1466615206600508E-12</c:v>
                </c:pt>
                <c:pt idx="168">
                  <c:v>2.1466615206600508E-12</c:v>
                </c:pt>
                <c:pt idx="169">
                  <c:v>2.1466615206600508E-12</c:v>
                </c:pt>
                <c:pt idx="170">
                  <c:v>2.1466615206600508E-12</c:v>
                </c:pt>
                <c:pt idx="171">
                  <c:v>2.1466615206600508E-12</c:v>
                </c:pt>
                <c:pt idx="172">
                  <c:v>2.1466615206600508E-12</c:v>
                </c:pt>
                <c:pt idx="173">
                  <c:v>2.1466615206600508E-12</c:v>
                </c:pt>
                <c:pt idx="174">
                  <c:v>2.1466615206600508E-12</c:v>
                </c:pt>
                <c:pt idx="175">
                  <c:v>2.1466615206600508E-12</c:v>
                </c:pt>
                <c:pt idx="176">
                  <c:v>2.1466615206600508E-12</c:v>
                </c:pt>
                <c:pt idx="177">
                  <c:v>2.1466615206600508E-12</c:v>
                </c:pt>
                <c:pt idx="178">
                  <c:v>2.1466615206600508E-12</c:v>
                </c:pt>
                <c:pt idx="179">
                  <c:v>2.1466615206600508E-12</c:v>
                </c:pt>
                <c:pt idx="180">
                  <c:v>2.1466615206600508E-12</c:v>
                </c:pt>
                <c:pt idx="181">
                  <c:v>2.1466615206600508E-12</c:v>
                </c:pt>
                <c:pt idx="182">
                  <c:v>2.1466615206600508E-12</c:v>
                </c:pt>
                <c:pt idx="183">
                  <c:v>2.1466615206600508E-12</c:v>
                </c:pt>
                <c:pt idx="184">
                  <c:v>2.1466615206600508E-12</c:v>
                </c:pt>
                <c:pt idx="185">
                  <c:v>2.1466615206600508E-12</c:v>
                </c:pt>
                <c:pt idx="186">
                  <c:v>2.1466615206600508E-12</c:v>
                </c:pt>
                <c:pt idx="187">
                  <c:v>2.1466615206600508E-12</c:v>
                </c:pt>
                <c:pt idx="188">
                  <c:v>2.1466615206600508E-12</c:v>
                </c:pt>
                <c:pt idx="189">
                  <c:v>2.1466615206600508E-12</c:v>
                </c:pt>
                <c:pt idx="190">
                  <c:v>2.1466615206600508E-12</c:v>
                </c:pt>
                <c:pt idx="191">
                  <c:v>2.1466615206600508E-12</c:v>
                </c:pt>
                <c:pt idx="192">
                  <c:v>2.1466615206600508E-12</c:v>
                </c:pt>
                <c:pt idx="193">
                  <c:v>2.1466615206600508E-12</c:v>
                </c:pt>
                <c:pt idx="194">
                  <c:v>2.1466615206600508E-12</c:v>
                </c:pt>
                <c:pt idx="195">
                  <c:v>2.1466615206600508E-12</c:v>
                </c:pt>
                <c:pt idx="196">
                  <c:v>2.1466615206600508E-12</c:v>
                </c:pt>
                <c:pt idx="197">
                  <c:v>2.1466615206600508E-12</c:v>
                </c:pt>
                <c:pt idx="198">
                  <c:v>2.1466615206600508E-12</c:v>
                </c:pt>
                <c:pt idx="199">
                  <c:v>2.1466615206600508E-12</c:v>
                </c:pt>
                <c:pt idx="200">
                  <c:v>2.1466615206600508E-12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96418576"/>
        <c:axId val="-1396425104"/>
      </c:scatterChart>
      <c:valAx>
        <c:axId val="-1396418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6425104"/>
        <c:crosses val="autoZero"/>
        <c:crossBetween val="midCat"/>
      </c:valAx>
      <c:valAx>
        <c:axId val="-139642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6418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3.1016076768047136</c:v>
                </c:pt>
                <c:pt idx="2">
                  <c:v>3.9050668642208937</c:v>
                </c:pt>
                <c:pt idx="3">
                  <c:v>4.9174640633772686</c:v>
                </c:pt>
                <c:pt idx="4">
                  <c:v>6.1933303135044397</c:v>
                </c:pt>
                <c:pt idx="5">
                  <c:v>7.8014768635748633</c:v>
                </c:pt>
                <c:pt idx="6">
                  <c:v>9.8287464566614062</c:v>
                </c:pt>
                <c:pt idx="7">
                  <c:v>12.384752872716282</c:v>
                </c:pt>
                <c:pt idx="8">
                  <c:v>15.60786976495146</c:v>
                </c:pt>
                <c:pt idx="9">
                  <c:v>19.672798938387942</c:v>
                </c:pt>
                <c:pt idx="10">
                  <c:v>24.800135670928302</c:v>
                </c:pt>
                <c:pt idx="11">
                  <c:v>31.268459342825306</c:v>
                </c:pt>
                <c:pt idx="12">
                  <c:v>39.429617693387208</c:v>
                </c:pt>
                <c:pt idx="13">
                  <c:v>49.728050282601863</c:v>
                </c:pt>
                <c:pt idx="14">
                  <c:v>62.725221102036606</c:v>
                </c:pt>
                <c:pt idx="15">
                  <c:v>79.130514295439681</c:v>
                </c:pt>
                <c:pt idx="16">
                  <c:v>94.064996117637591</c:v>
                </c:pt>
                <c:pt idx="17">
                  <c:v>108.9402118843535</c:v>
                </c:pt>
                <c:pt idx="18">
                  <c:v>123.7654148839167</c:v>
                </c:pt>
                <c:pt idx="19">
                  <c:v>138.5474499297047</c:v>
                </c:pt>
                <c:pt idx="20">
                  <c:v>153.29157689885758</c:v>
                </c:pt>
                <c:pt idx="21">
                  <c:v>169.26139216791384</c:v>
                </c:pt>
                <c:pt idx="22">
                  <c:v>185.19570097643802</c:v>
                </c:pt>
                <c:pt idx="23">
                  <c:v>201.09798978871842</c:v>
                </c:pt>
                <c:pt idx="24">
                  <c:v>216.971147929338</c:v>
                </c:pt>
                <c:pt idx="25">
                  <c:v>232.81760702956299</c:v>
                </c:pt>
                <c:pt idx="26">
                  <c:v>174.7164088968461</c:v>
                </c:pt>
                <c:pt idx="27">
                  <c:v>191.89512559183012</c:v>
                </c:pt>
                <c:pt idx="28">
                  <c:v>209.03804880975773</c:v>
                </c:pt>
                <c:pt idx="29">
                  <c:v>226.14852768950928</c:v>
                </c:pt>
                <c:pt idx="30">
                  <c:v>243.22936272178819</c:v>
                </c:pt>
                <c:pt idx="31">
                  <c:v>261.11414922946938</c:v>
                </c:pt>
                <c:pt idx="32">
                  <c:v>278.971281889159</c:v>
                </c:pt>
                <c:pt idx="33">
                  <c:v>296.80277965736883</c:v>
                </c:pt>
                <c:pt idx="34">
                  <c:v>314.61039905540048</c:v>
                </c:pt>
                <c:pt idx="35">
                  <c:v>332.39568151871453</c:v>
                </c:pt>
                <c:pt idx="36">
                  <c:v>259.45164815796983</c:v>
                </c:pt>
                <c:pt idx="37">
                  <c:v>277.72628904813564</c:v>
                </c:pt>
                <c:pt idx="38">
                  <c:v>295.97394986116763</c:v>
                </c:pt>
                <c:pt idx="39">
                  <c:v>314.19652766801346</c:v>
                </c:pt>
                <c:pt idx="40">
                  <c:v>332.39568151871464</c:v>
                </c:pt>
                <c:pt idx="41">
                  <c:v>350.57287397635611</c:v>
                </c:pt>
                <c:pt idx="42">
                  <c:v>368.72940358146116</c:v>
                </c:pt>
                <c:pt idx="43">
                  <c:v>386.86643058534725</c:v>
                </c:pt>
                <c:pt idx="44">
                  <c:v>404.9849976044755</c:v>
                </c:pt>
                <c:pt idx="45">
                  <c:v>423.08604638514629</c:v>
                </c:pt>
                <c:pt idx="46">
                  <c:v>336.11548560705643</c:v>
                </c:pt>
                <c:pt idx="47">
                  <c:v>354.28835078897481</c:v>
                </c:pt>
                <c:pt idx="48">
                  <c:v>372.44080095248302</c:v>
                </c:pt>
                <c:pt idx="49">
                  <c:v>390.57397074900564</c:v>
                </c:pt>
                <c:pt idx="50">
                  <c:v>408.68888090830478</c:v>
                </c:pt>
                <c:pt idx="51">
                  <c:v>426.37533208649006</c:v>
                </c:pt>
                <c:pt idx="52">
                  <c:v>444.04600908498725</c:v>
                </c:pt>
                <c:pt idx="53">
                  <c:v>461.70162769615814</c:v>
                </c:pt>
                <c:pt idx="54">
                  <c:v>479.34284452811477</c:v>
                </c:pt>
                <c:pt idx="55">
                  <c:v>496.97026394110202</c:v>
                </c:pt>
                <c:pt idx="56">
                  <c:v>402.9269685712523</c:v>
                </c:pt>
                <c:pt idx="57">
                  <c:v>419.79621002157199</c:v>
                </c:pt>
                <c:pt idx="58">
                  <c:v>436.65085367832791</c:v>
                </c:pt>
                <c:pt idx="59">
                  <c:v>453.491542119283</c:v>
                </c:pt>
                <c:pt idx="60">
                  <c:v>470.3188663227283</c:v>
                </c:pt>
                <c:pt idx="61">
                  <c:v>487.13337154695296</c:v>
                </c:pt>
                <c:pt idx="62">
                  <c:v>503.93556235585902</c:v>
                </c:pt>
                <c:pt idx="63">
                  <c:v>520.72590693961979</c:v>
                </c:pt>
                <c:pt idx="64">
                  <c:v>537.50484084926518</c:v>
                </c:pt>
                <c:pt idx="65">
                  <c:v>554.27277024086038</c:v>
                </c:pt>
                <c:pt idx="66">
                  <c:v>459.23893196978526</c:v>
                </c:pt>
                <c:pt idx="67">
                  <c:v>474.83131166809125</c:v>
                </c:pt>
                <c:pt idx="68">
                  <c:v>490.41279965323207</c:v>
                </c:pt>
                <c:pt idx="69">
                  <c:v>505.9837905815204</c:v>
                </c:pt>
                <c:pt idx="70">
                  <c:v>521.54465284801881</c:v>
                </c:pt>
                <c:pt idx="71">
                  <c:v>537.09573108162817</c:v>
                </c:pt>
                <c:pt idx="72">
                  <c:v>552.63734833627166</c:v>
                </c:pt>
                <c:pt idx="73">
                  <c:v>568.1698080228656</c:v>
                </c:pt>
                <c:pt idx="74">
                  <c:v>583.69339561913046</c:v>
                </c:pt>
                <c:pt idx="75">
                  <c:v>599.20838018813549</c:v>
                </c:pt>
                <c:pt idx="76">
                  <c:v>507.21264330953494</c:v>
                </c:pt>
                <c:pt idx="77">
                  <c:v>521.54465284801915</c:v>
                </c:pt>
                <c:pt idx="78">
                  <c:v>535.86836245112806</c:v>
                </c:pt>
                <c:pt idx="79">
                  <c:v>550.18402514843251</c:v>
                </c:pt>
                <c:pt idx="80">
                  <c:v>564.49187973331732</c:v>
                </c:pt>
                <c:pt idx="81">
                  <c:v>578.38367595679756</c:v>
                </c:pt>
                <c:pt idx="82">
                  <c:v>592.26851291793105</c:v>
                </c:pt>
                <c:pt idx="83">
                  <c:v>606.14657668140808</c:v>
                </c:pt>
                <c:pt idx="84">
                  <c:v>620.01804410102557</c:v>
                </c:pt>
                <c:pt idx="85">
                  <c:v>633.8830834758154</c:v>
                </c:pt>
                <c:pt idx="86">
                  <c:v>546.50360981545793</c:v>
                </c:pt>
                <c:pt idx="87">
                  <c:v>559.17843064711462</c:v>
                </c:pt>
                <c:pt idx="88">
                  <c:v>571.84723871208791</c:v>
                </c:pt>
                <c:pt idx="89">
                  <c:v>584.51018595042115</c:v>
                </c:pt>
                <c:pt idx="90">
                  <c:v>597.16741718411049</c:v>
                </c:pt>
                <c:pt idx="91">
                  <c:v>609.41103844124348</c:v>
                </c:pt>
                <c:pt idx="92">
                  <c:v>621.64955566883941</c:v>
                </c:pt>
                <c:pt idx="93">
                  <c:v>633.88308347581528</c:v>
                </c:pt>
                <c:pt idx="94">
                  <c:v>646.11173168831738</c:v>
                </c:pt>
                <c:pt idx="95">
                  <c:v>658.33560563795209</c:v>
                </c:pt>
                <c:pt idx="96">
                  <c:v>577.77095073610064</c:v>
                </c:pt>
                <c:pt idx="97">
                  <c:v>589.00210854701288</c:v>
                </c:pt>
                <c:pt idx="98">
                  <c:v>600.22880745733255</c:v>
                </c:pt>
                <c:pt idx="99">
                  <c:v>611.45114260252683</c:v>
                </c:pt>
                <c:pt idx="100">
                  <c:v>622.66920534201586</c:v>
                </c:pt>
                <c:pt idx="101">
                  <c:v>633.88308347581528</c:v>
                </c:pt>
                <c:pt idx="102">
                  <c:v>645.09286144505552</c:v>
                </c:pt>
                <c:pt idx="103">
                  <c:v>656.29862051784403</c:v>
                </c:pt>
                <c:pt idx="104">
                  <c:v>667.50043896178056</c:v>
                </c:pt>
                <c:pt idx="105">
                  <c:v>678.69839220429378</c:v>
                </c:pt>
                <c:pt idx="106">
                  <c:v>605.33040427327285</c:v>
                </c:pt>
                <c:pt idx="107">
                  <c:v>615.53092778003827</c:v>
                </c:pt>
                <c:pt idx="108">
                  <c:v>625.72794713217797</c:v>
                </c:pt>
                <c:pt idx="109">
                  <c:v>635.92152747320313</c:v>
                </c:pt>
                <c:pt idx="110">
                  <c:v>646.11173168831738</c:v>
                </c:pt>
                <c:pt idx="111">
                  <c:v>656.29862051784403</c:v>
                </c:pt>
                <c:pt idx="112">
                  <c:v>666.48225266324516</c:v>
                </c:pt>
                <c:pt idx="113">
                  <c:v>676.66268488632659</c:v>
                </c:pt>
                <c:pt idx="114">
                  <c:v>686.83997210216751</c:v>
                </c:pt>
                <c:pt idx="115">
                  <c:v>697.01416746625318</c:v>
                </c:pt>
                <c:pt idx="116">
                  <c:v>626.54355926791527</c:v>
                </c:pt>
                <c:pt idx="117">
                  <c:v>635.51384949260216</c:v>
                </c:pt>
                <c:pt idx="118">
                  <c:v>644.48152336118721</c:v>
                </c:pt>
                <c:pt idx="119">
                  <c:v>653.4466224072861</c:v>
                </c:pt>
                <c:pt idx="120">
                  <c:v>662.40918693208607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96413680"/>
        <c:axId val="-1396413136"/>
      </c:scatterChart>
      <c:valAx>
        <c:axId val="-1396413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6413136"/>
        <c:crosses val="autoZero"/>
        <c:crossBetween val="midCat"/>
      </c:valAx>
      <c:valAx>
        <c:axId val="-139641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6413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3.438534306974212</c:v>
                </c:pt>
                <c:pt idx="2">
                  <c:v>4.3295913680713651</c:v>
                </c:pt>
                <c:pt idx="3">
                  <c:v>5.4524440448816271</c:v>
                </c:pt>
                <c:pt idx="4">
                  <c:v>6.8676080264968915</c:v>
                </c:pt>
                <c:pt idx="5">
                  <c:v>8.6514510498930619</c:v>
                </c:pt>
                <c:pt idx="6">
                  <c:v>10.900358211038801</c:v>
                </c:pt>
                <c:pt idx="7">
                  <c:v>13.735994877969413</c:v>
                </c:pt>
                <c:pt idx="8">
                  <c:v>17.311957187665342</c:v>
                </c:pt>
                <c:pt idx="9">
                  <c:v>21.822176901682838</c:v>
                </c:pt>
                <c:pt idx="10">
                  <c:v>27.511544568454742</c:v>
                </c:pt>
                <c:pt idx="11">
                  <c:v>34.689337911967016</c:v>
                </c:pt>
                <c:pt idx="12">
                  <c:v>43.746197999453223</c:v>
                </c:pt>
                <c:pt idx="13">
                  <c:v>55.175592725588047</c:v>
                </c:pt>
                <c:pt idx="14">
                  <c:v>69.600956494482503</c:v>
                </c:pt>
                <c:pt idx="15">
                  <c:v>87.810010625275268</c:v>
                </c:pt>
                <c:pt idx="16">
                  <c:v>104.38736403026746</c:v>
                </c:pt>
                <c:pt idx="17">
                  <c:v>120.89957623101225</c:v>
                </c:pt>
                <c:pt idx="18">
                  <c:v>137.35681781065566</c:v>
                </c:pt>
                <c:pt idx="19">
                  <c:v>153.7666121210157</c:v>
                </c:pt>
                <c:pt idx="20">
                  <c:v>170.13474046014426</c:v>
                </c:pt>
                <c:pt idx="21">
                  <c:v>187.86398088993113</c:v>
                </c:pt>
                <c:pt idx="22">
                  <c:v>205.554195041036</c:v>
                </c:pt>
                <c:pt idx="23">
                  <c:v>223.20921499711042</c:v>
                </c:pt>
                <c:pt idx="24">
                  <c:v>240.83221650658697</c:v>
                </c:pt>
                <c:pt idx="25">
                  <c:v>258.42587225263429</c:v>
                </c:pt>
                <c:pt idx="26">
                  <c:v>193.92007935590104</c:v>
                </c:pt>
                <c:pt idx="27">
                  <c:v>212.9919808899017</c:v>
                </c:pt>
                <c:pt idx="28">
                  <c:v>232.02454067624089</c:v>
                </c:pt>
                <c:pt idx="29">
                  <c:v>251.02143985985217</c:v>
                </c:pt>
                <c:pt idx="30">
                  <c:v>269.98575654902885</c:v>
                </c:pt>
                <c:pt idx="31">
                  <c:v>289.84300127315151</c:v>
                </c:pt>
                <c:pt idx="32">
                  <c:v>309.66985077448419</c:v>
                </c:pt>
                <c:pt idx="33">
                  <c:v>329.46852415226402</c:v>
                </c:pt>
                <c:pt idx="34">
                  <c:v>349.24095205485213</c:v>
                </c:pt>
                <c:pt idx="35">
                  <c:v>368.98882872292893</c:v>
                </c:pt>
                <c:pt idx="36">
                  <c:v>287.99713467442029</c:v>
                </c:pt>
                <c:pt idx="37">
                  <c:v>308.28752044944571</c:v>
                </c:pt>
                <c:pt idx="38">
                  <c:v>328.54825156463448</c:v>
                </c:pt>
                <c:pt idx="39">
                  <c:v>348.78141315092802</c:v>
                </c:pt>
                <c:pt idx="40">
                  <c:v>368.98882872292899</c:v>
                </c:pt>
                <c:pt idx="41">
                  <c:v>389.17210583018459</c:v>
                </c:pt>
                <c:pt idx="42">
                  <c:v>409.33267173983336</c:v>
                </c:pt>
                <c:pt idx="43">
                  <c:v>429.47180172095574</c:v>
                </c:pt>
                <c:pt idx="44">
                  <c:v>449.59064174642435</c:v>
                </c:pt>
                <c:pt idx="45">
                  <c:v>469.69022691951341</c:v>
                </c:pt>
                <c:pt idx="46">
                  <c:v>373.11914099479776</c:v>
                </c:pt>
                <c:pt idx="47">
                  <c:v>393.29766185584407</c:v>
                </c:pt>
                <c:pt idx="48">
                  <c:v>413.45374392164484</c:v>
                </c:pt>
                <c:pt idx="49">
                  <c:v>433.58863432362455</c:v>
                </c:pt>
                <c:pt idx="50">
                  <c:v>453.70345497828976</c:v>
                </c:pt>
                <c:pt idx="51">
                  <c:v>473.34270304137073</c:v>
                </c:pt>
                <c:pt idx="52">
                  <c:v>492.96461320246812</c:v>
                </c:pt>
                <c:pt idx="53">
                  <c:v>512.56997221170502</c:v>
                </c:pt>
                <c:pt idx="54">
                  <c:v>532.15950176791534</c:v>
                </c:pt>
                <c:pt idx="55">
                  <c:v>551.73386614264234</c:v>
                </c:pt>
                <c:pt idx="56">
                  <c:v>447.30539808561952</c:v>
                </c:pt>
                <c:pt idx="57">
                  <c:v>466.03714554730578</c:v>
                </c:pt>
                <c:pt idx="58">
                  <c:v>484.75284811036755</c:v>
                </c:pt>
                <c:pt idx="59">
                  <c:v>503.4532120524359</c:v>
                </c:pt>
                <c:pt idx="60">
                  <c:v>522.13888693652405</c:v>
                </c:pt>
                <c:pt idx="61">
                  <c:v>540.81047207333825</c:v>
                </c:pt>
                <c:pt idx="62">
                  <c:v>559.4685220450915</c:v>
                </c:pt>
                <c:pt idx="63">
                  <c:v>578.11355145447646</c:v>
                </c:pt>
                <c:pt idx="64">
                  <c:v>596.74603902946558</c:v>
                </c:pt>
                <c:pt idx="65">
                  <c:v>615.36643118909171</c:v>
                </c:pt>
                <c:pt idx="66">
                  <c:v>509.83530681881206</c:v>
                </c:pt>
                <c:pt idx="67">
                  <c:v>527.14969582303115</c:v>
                </c:pt>
                <c:pt idx="68">
                  <c:v>544.45211339932007</c:v>
                </c:pt>
                <c:pt idx="69">
                  <c:v>561.74299332696933</c:v>
                </c:pt>
                <c:pt idx="70">
                  <c:v>579.02274052069424</c:v>
                </c:pt>
                <c:pt idx="71">
                  <c:v>596.2917337730679</c:v>
                </c:pt>
                <c:pt idx="72">
                  <c:v>613.55032816291907</c:v>
                </c:pt>
                <c:pt idx="73">
                  <c:v>630.79885717882428</c:v>
                </c:pt>
                <c:pt idx="74">
                  <c:v>648.0376345984148</c:v>
                </c:pt>
                <c:pt idx="75">
                  <c:v>665.26695615745734</c:v>
                </c:pt>
                <c:pt idx="76">
                  <c:v>563.10758354108691</c:v>
                </c:pt>
                <c:pt idx="77">
                  <c:v>579.02274052069447</c:v>
                </c:pt>
                <c:pt idx="78">
                  <c:v>594.92877477767286</c:v>
                </c:pt>
                <c:pt idx="79">
                  <c:v>610.82596442485999</c:v>
                </c:pt>
                <c:pt idx="80">
                  <c:v>626.71457192765149</c:v>
                </c:pt>
                <c:pt idx="81">
                  <c:v>642.14123675390397</c:v>
                </c:pt>
                <c:pt idx="82">
                  <c:v>657.56025243384067</c:v>
                </c:pt>
                <c:pt idx="83">
                  <c:v>672.97182347707337</c:v>
                </c:pt>
                <c:pt idx="84">
                  <c:v>688.37614426922801</c:v>
                </c:pt>
                <c:pt idx="85">
                  <c:v>703.77339979311728</c:v>
                </c:pt>
                <c:pt idx="86">
                  <c:v>606.73894558525296</c:v>
                </c:pt>
                <c:pt idx="87">
                  <c:v>620.81407495489509</c:v>
                </c:pt>
                <c:pt idx="88">
                  <c:v>634.88259550167174</c:v>
                </c:pt>
                <c:pt idx="89">
                  <c:v>648.94467422771129</c:v>
                </c:pt>
                <c:pt idx="90">
                  <c:v>663.00047031146994</c:v>
                </c:pt>
                <c:pt idx="91">
                  <c:v>676.59701481625257</c:v>
                </c:pt>
                <c:pt idx="92">
                  <c:v>690.18794932003448</c:v>
                </c:pt>
                <c:pt idx="93">
                  <c:v>703.77339979311728</c:v>
                </c:pt>
                <c:pt idx="94">
                  <c:v>717.35348694890672</c:v>
                </c:pt>
                <c:pt idx="95">
                  <c:v>730.92832656071778</c:v>
                </c:pt>
                <c:pt idx="96">
                  <c:v>641.46081142749688</c:v>
                </c:pt>
                <c:pt idx="97">
                  <c:v>653.93292590911108</c:v>
                </c:pt>
                <c:pt idx="98">
                  <c:v>666.40013947144064</c:v>
                </c:pt>
                <c:pt idx="99">
                  <c:v>678.86255668090018</c:v>
                </c:pt>
                <c:pt idx="100">
                  <c:v>691.32027795353008</c:v>
                </c:pt>
                <c:pt idx="101">
                  <c:v>703.77339979311728</c:v>
                </c:pt>
                <c:pt idx="102">
                  <c:v>716.22201501158963</c:v>
                </c:pt>
                <c:pt idx="103">
                  <c:v>728.66621293330638</c:v>
                </c:pt>
                <c:pt idx="104">
                  <c:v>741.10607958467256</c:v>
                </c:pt>
                <c:pt idx="105">
                  <c:v>753.54169787037063</c:v>
                </c:pt>
                <c:pt idx="106">
                  <c:v>672.06546302674622</c:v>
                </c:pt>
                <c:pt idx="107">
                  <c:v>683.39317531802351</c:v>
                </c:pt>
                <c:pt idx="108">
                  <c:v>694.71703608163705</c:v>
                </c:pt>
                <c:pt idx="109">
                  <c:v>706.03711691888986</c:v>
                </c:pt>
                <c:pt idx="110">
                  <c:v>717.35348694890672</c:v>
                </c:pt>
                <c:pt idx="111">
                  <c:v>728.66621293330638</c:v>
                </c:pt>
                <c:pt idx="112">
                  <c:v>739.97535939273064</c:v>
                </c:pt>
                <c:pt idx="113">
                  <c:v>751.28098871588372</c:v>
                </c:pt>
                <c:pt idx="114">
                  <c:v>762.58316126167301</c:v>
                </c:pt>
                <c:pt idx="115">
                  <c:v>773.88193545498143</c:v>
                </c:pt>
                <c:pt idx="116">
                  <c:v>695.6227807187737</c:v>
                </c:pt>
                <c:pt idx="117">
                  <c:v>705.5843853851062</c:v>
                </c:pt>
                <c:pt idx="118">
                  <c:v>715.54311433133489</c:v>
                </c:pt>
                <c:pt idx="119">
                  <c:v>725.4990132083766</c:v>
                </c:pt>
                <c:pt idx="120">
                  <c:v>735.45212631254583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96410960"/>
        <c:axId val="-1396412592"/>
      </c:scatterChart>
      <c:valAx>
        <c:axId val="-1396410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6412592"/>
        <c:crosses val="autoZero"/>
        <c:crossBetween val="midCat"/>
      </c:valAx>
      <c:valAx>
        <c:axId val="-139641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6410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2.4576946185189166</c:v>
                </c:pt>
                <c:pt idx="2">
                  <c:v>2.9042440282968744</c:v>
                </c:pt>
                <c:pt idx="3">
                  <c:v>3.4322287193480787</c:v>
                </c:pt>
                <c:pt idx="4">
                  <c:v>4.056551337420923</c:v>
                </c:pt>
                <c:pt idx="5">
                  <c:v>4.7948505764734026</c:v>
                </c:pt>
                <c:pt idx="6">
                  <c:v>5.6680050196175316</c:v>
                </c:pt>
                <c:pt idx="7">
                  <c:v>6.7007300205744658</c:v>
                </c:pt>
                <c:pt idx="8">
                  <c:v>7.9222848506988983</c:v>
                </c:pt>
                <c:pt idx="9">
                  <c:v>9.3673105330471778</c:v>
                </c:pt>
                <c:pt idx="10">
                  <c:v>11.076822575791965</c:v>
                </c:pt>
                <c:pt idx="11">
                  <c:v>13.099387313277651</c:v>
                </c:pt>
                <c:pt idx="12">
                  <c:v>15.492515895586967</c:v>
                </c:pt>
                <c:pt idx="13">
                  <c:v>18.324316292607136</c:v>
                </c:pt>
                <c:pt idx="14">
                  <c:v>21.675451181322305</c:v>
                </c:pt>
                <c:pt idx="15">
                  <c:v>25.641458485065911</c:v>
                </c:pt>
                <c:pt idx="16">
                  <c:v>30.335501891424911</c:v>
                </c:pt>
                <c:pt idx="17">
                  <c:v>35.891631200792666</c:v>
                </c:pt>
                <c:pt idx="18">
                  <c:v>42.468647217442438</c:v>
                </c:pt>
                <c:pt idx="19">
                  <c:v>50.254683525313965</c:v>
                </c:pt>
                <c:pt idx="20">
                  <c:v>59.472638408851729</c:v>
                </c:pt>
                <c:pt idx="21">
                  <c:v>75.320599808628302</c:v>
                </c:pt>
                <c:pt idx="22">
                  <c:v>91.083193034949701</c:v>
                </c:pt>
                <c:pt idx="23">
                  <c:v>106.77735085291447</c:v>
                </c:pt>
                <c:pt idx="24">
                  <c:v>122.41458019354752</c:v>
                </c:pt>
                <c:pt idx="25">
                  <c:v>138.00319162665042</c:v>
                </c:pt>
                <c:pt idx="26">
                  <c:v>162.01318445359644</c:v>
                </c:pt>
                <c:pt idx="27">
                  <c:v>185.93885592329801</c:v>
                </c:pt>
                <c:pt idx="28">
                  <c:v>209.79259398225804</c:v>
                </c:pt>
                <c:pt idx="29">
                  <c:v>233.5837311632458</c:v>
                </c:pt>
                <c:pt idx="30">
                  <c:v>257.31954013248077</c:v>
                </c:pt>
                <c:pt idx="31">
                  <c:v>206.63925413557965</c:v>
                </c:pt>
                <c:pt idx="32">
                  <c:v>217.14616554866117</c:v>
                </c:pt>
                <c:pt idx="33">
                  <c:v>227.64138943591354</c:v>
                </c:pt>
                <c:pt idx="34">
                  <c:v>238.12554101232834</c:v>
                </c:pt>
                <c:pt idx="35">
                  <c:v>248.59917684690132</c:v>
                </c:pt>
                <c:pt idx="36">
                  <c:v>267.07842670720606</c:v>
                </c:pt>
                <c:pt idx="37">
                  <c:v>285.52887743799221</c:v>
                </c:pt>
                <c:pt idx="38">
                  <c:v>303.95265143464218</c:v>
                </c:pt>
                <c:pt idx="39">
                  <c:v>322.35159276879108</c:v>
                </c:pt>
                <c:pt idx="40">
                  <c:v>340.72731782352452</c:v>
                </c:pt>
                <c:pt idx="41">
                  <c:v>262.20000863602718</c:v>
                </c:pt>
                <c:pt idx="42">
                  <c:v>281.00584078542005</c:v>
                </c:pt>
                <c:pt idx="43">
                  <c:v>299.78346773480672</c:v>
                </c:pt>
                <c:pt idx="44">
                  <c:v>318.53490425391578</c:v>
                </c:pt>
                <c:pt idx="45">
                  <c:v>337.26190853958735</c:v>
                </c:pt>
                <c:pt idx="46">
                  <c:v>356.31219331771291</c:v>
                </c:pt>
                <c:pt idx="47">
                  <c:v>375.34018425536209</c:v>
                </c:pt>
                <c:pt idx="48">
                  <c:v>394.3471700483513</c:v>
                </c:pt>
                <c:pt idx="49">
                  <c:v>413.33430507425345</c:v>
                </c:pt>
                <c:pt idx="50">
                  <c:v>432.30262904622123</c:v>
                </c:pt>
                <c:pt idx="51">
                  <c:v>354.58129100924572</c:v>
                </c:pt>
                <c:pt idx="52">
                  <c:v>373.61125321420673</c:v>
                </c:pt>
                <c:pt idx="53">
                  <c:v>392.62009899923305</c:v>
                </c:pt>
                <c:pt idx="54">
                  <c:v>411.60899407848501</c:v>
                </c:pt>
                <c:pt idx="55">
                  <c:v>430.57898787887979</c:v>
                </c:pt>
                <c:pt idx="56">
                  <c:v>449.18660230031583</c:v>
                </c:pt>
                <c:pt idx="57">
                  <c:v>467.77772934982687</c:v>
                </c:pt>
                <c:pt idx="58">
                  <c:v>486.35311613579125</c:v>
                </c:pt>
                <c:pt idx="59">
                  <c:v>504.91344807612222</c:v>
                </c:pt>
                <c:pt idx="60">
                  <c:v>523.45935611901223</c:v>
                </c:pt>
                <c:pt idx="61">
                  <c:v>445.05302932092837</c:v>
                </c:pt>
                <c:pt idx="62">
                  <c:v>462.95934790100347</c:v>
                </c:pt>
                <c:pt idx="63">
                  <c:v>480.85089710483652</c:v>
                </c:pt>
                <c:pt idx="64">
                  <c:v>498.72830352665966</c:v>
                </c:pt>
                <c:pt idx="65">
                  <c:v>516.59214520035414</c:v>
                </c:pt>
                <c:pt idx="66">
                  <c:v>533.75662208904669</c:v>
                </c:pt>
                <c:pt idx="67">
                  <c:v>550.90949401542991</c:v>
                </c:pt>
                <c:pt idx="68">
                  <c:v>568.05117296149103</c:v>
                </c:pt>
                <c:pt idx="69">
                  <c:v>585.18204403348739</c:v>
                </c:pt>
                <c:pt idx="70">
                  <c:v>602.30246796675453</c:v>
                </c:pt>
                <c:pt idx="71">
                  <c:v>522.42939619004312</c:v>
                </c:pt>
                <c:pt idx="72">
                  <c:v>538.56057776581395</c:v>
                </c:pt>
                <c:pt idx="73">
                  <c:v>554.68160990515719</c:v>
                </c:pt>
                <c:pt idx="74">
                  <c:v>570.79282896957091</c:v>
                </c:pt>
                <c:pt idx="75">
                  <c:v>586.89455079472907</c:v>
                </c:pt>
                <c:pt idx="76">
                  <c:v>601.96015964561423</c:v>
                </c:pt>
                <c:pt idx="77">
                  <c:v>617.01793562960597</c:v>
                </c:pt>
                <c:pt idx="78">
                  <c:v>632.06809671909309</c:v>
                </c:pt>
                <c:pt idx="79">
                  <c:v>647.11084966607916</c:v>
                </c:pt>
                <c:pt idx="80">
                  <c:v>662.14639083255292</c:v>
                </c:pt>
                <c:pt idx="81">
                  <c:v>580.04389562776907</c:v>
                </c:pt>
                <c:pt idx="82">
                  <c:v>593.74354023634362</c:v>
                </c:pt>
                <c:pt idx="83">
                  <c:v>607.43660911597499</c:v>
                </c:pt>
                <c:pt idx="84">
                  <c:v>621.12327131831137</c:v>
                </c:pt>
                <c:pt idx="85">
                  <c:v>634.80368784084806</c:v>
                </c:pt>
                <c:pt idx="86">
                  <c:v>648.47801217956487</c:v>
                </c:pt>
                <c:pt idx="87">
                  <c:v>662.14639083255292</c:v>
                </c:pt>
                <c:pt idx="88">
                  <c:v>675.80896375991847</c:v>
                </c:pt>
                <c:pt idx="89">
                  <c:v>689.46586480458427</c:v>
                </c:pt>
                <c:pt idx="90">
                  <c:v>703.11722207803859</c:v>
                </c:pt>
                <c:pt idx="91">
                  <c:v>625.22804494698914</c:v>
                </c:pt>
                <c:pt idx="92">
                  <c:v>637.88093665658891</c:v>
                </c:pt>
                <c:pt idx="93">
                  <c:v>650.52864452293932</c:v>
                </c:pt>
                <c:pt idx="94">
                  <c:v>663.17128348899325</c:v>
                </c:pt>
                <c:pt idx="95">
                  <c:v>675.80896375991836</c:v>
                </c:pt>
                <c:pt idx="96">
                  <c:v>688.44179108517528</c:v>
                </c:pt>
                <c:pt idx="97">
                  <c:v>701.06986701882909</c:v>
                </c:pt>
                <c:pt idx="98">
                  <c:v>713.69328916014172</c:v>
                </c:pt>
                <c:pt idx="99">
                  <c:v>726.31215137626612</c:v>
                </c:pt>
                <c:pt idx="100">
                  <c:v>738.92654400867161</c:v>
                </c:pt>
                <c:pt idx="101">
                  <c:v>666.41656212645023</c:v>
                </c:pt>
                <c:pt idx="102">
                  <c:v>677.51638389070979</c:v>
                </c:pt>
                <c:pt idx="103">
                  <c:v>688.61247220601672</c:v>
                </c:pt>
                <c:pt idx="104">
                  <c:v>699.70489568745597</c:v>
                </c:pt>
                <c:pt idx="105">
                  <c:v>710.79372059813034</c:v>
                </c:pt>
                <c:pt idx="106">
                  <c:v>721.87901096599217</c:v>
                </c:pt>
                <c:pt idx="107">
                  <c:v>732.96082869312124</c:v>
                </c:pt>
                <c:pt idx="108">
                  <c:v>744.03923365806088</c:v>
                </c:pt>
                <c:pt idx="109">
                  <c:v>755.11428381174073</c:v>
                </c:pt>
                <c:pt idx="110">
                  <c:v>766.18603526748575</c:v>
                </c:pt>
                <c:pt idx="111">
                  <c:v>699.36364434246263</c:v>
                </c:pt>
                <c:pt idx="112">
                  <c:v>709.25855708533982</c:v>
                </c:pt>
                <c:pt idx="113">
                  <c:v>719.15064865226407</c:v>
                </c:pt>
                <c:pt idx="114">
                  <c:v>729.03996330540792</c:v>
                </c:pt>
                <c:pt idx="115">
                  <c:v>738.92654400867195</c:v>
                </c:pt>
                <c:pt idx="116">
                  <c:v>748.81043248299375</c:v>
                </c:pt>
                <c:pt idx="117">
                  <c:v>758.69166925858565</c:v>
                </c:pt>
                <c:pt idx="118">
                  <c:v>768.57029372431055</c:v>
                </c:pt>
                <c:pt idx="119">
                  <c:v>778.44634417439045</c:v>
                </c:pt>
                <c:pt idx="120">
                  <c:v>788.31985785261929</c:v>
                </c:pt>
                <c:pt idx="121">
                  <c:v>723.58413050890931</c:v>
                </c:pt>
                <c:pt idx="122">
                  <c:v>732.10850308988836</c:v>
                </c:pt>
                <c:pt idx="123">
                  <c:v>740.63085363962171</c:v>
                </c:pt>
                <c:pt idx="124">
                  <c:v>749.1512086987608</c:v>
                </c:pt>
                <c:pt idx="125">
                  <c:v>757.6695941552083</c:v>
                </c:pt>
                <c:pt idx="126">
                  <c:v>766.18603526748575</c:v>
                </c:pt>
                <c:pt idx="127">
                  <c:v>774.70055668701082</c:v>
                </c:pt>
                <c:pt idx="128">
                  <c:v>783.21318247934198</c:v>
                </c:pt>
                <c:pt idx="129">
                  <c:v>791.72393614445389</c:v>
                </c:pt>
                <c:pt idx="130">
                  <c:v>800.23284063609583</c:v>
                </c:pt>
                <c:pt idx="131">
                  <c:v>738.24479776033479</c:v>
                </c:pt>
                <c:pt idx="132">
                  <c:v>746.08410911396334</c:v>
                </c:pt>
                <c:pt idx="133">
                  <c:v>753.92174557701389</c:v>
                </c:pt>
                <c:pt idx="134">
                  <c:v>761.75772701156347</c:v>
                </c:pt>
                <c:pt idx="135">
                  <c:v>769.59207283785418</c:v>
                </c:pt>
                <c:pt idx="136">
                  <c:v>777.42480204861749</c:v>
                </c:pt>
                <c:pt idx="137">
                  <c:v>785.25593322278735</c:v>
                </c:pt>
                <c:pt idx="138">
                  <c:v>793.08548453864171</c:v>
                </c:pt>
                <c:pt idx="139">
                  <c:v>800.91347378639693</c:v>
                </c:pt>
                <c:pt idx="140">
                  <c:v>808.73991838028462</c:v>
                </c:pt>
                <c:pt idx="141">
                  <c:v>749.3215956248124</c:v>
                </c:pt>
                <c:pt idx="142">
                  <c:v>756.30678379105393</c:v>
                </c:pt>
                <c:pt idx="143">
                  <c:v>763.29066190188189</c:v>
                </c:pt>
                <c:pt idx="144">
                  <c:v>770.2732436313787</c:v>
                </c:pt>
                <c:pt idx="145">
                  <c:v>777.25454238555619</c:v>
                </c:pt>
                <c:pt idx="146">
                  <c:v>784.23457131002249</c:v>
                </c:pt>
                <c:pt idx="147">
                  <c:v>791.21334329736453</c:v>
                </c:pt>
                <c:pt idx="148">
                  <c:v>798.19087099425269</c:v>
                </c:pt>
                <c:pt idx="149">
                  <c:v>805.16716680828767</c:v>
                </c:pt>
                <c:pt idx="150">
                  <c:v>812.14224291459504</c:v>
                </c:pt>
                <c:pt idx="151">
                  <c:v>4.8152955147902165E-12</c:v>
                </c:pt>
                <c:pt idx="152">
                  <c:v>4.8152955147902165E-12</c:v>
                </c:pt>
                <c:pt idx="153">
                  <c:v>4.8152955147902165E-12</c:v>
                </c:pt>
                <c:pt idx="154">
                  <c:v>4.8152955147902165E-12</c:v>
                </c:pt>
                <c:pt idx="155">
                  <c:v>4.8152955147902165E-12</c:v>
                </c:pt>
                <c:pt idx="156">
                  <c:v>4.8152955147902165E-12</c:v>
                </c:pt>
                <c:pt idx="157">
                  <c:v>4.8152955147902165E-12</c:v>
                </c:pt>
                <c:pt idx="158">
                  <c:v>4.8152955147902165E-12</c:v>
                </c:pt>
                <c:pt idx="159">
                  <c:v>4.8152955147902165E-12</c:v>
                </c:pt>
                <c:pt idx="160">
                  <c:v>4.8152955147902165E-12</c:v>
                </c:pt>
                <c:pt idx="161">
                  <c:v>4.8152955147902165E-12</c:v>
                </c:pt>
                <c:pt idx="162">
                  <c:v>4.8152955147902165E-12</c:v>
                </c:pt>
                <c:pt idx="163">
                  <c:v>4.8152955147902165E-12</c:v>
                </c:pt>
                <c:pt idx="164">
                  <c:v>4.8152955147902165E-12</c:v>
                </c:pt>
                <c:pt idx="165">
                  <c:v>4.8152955147902165E-12</c:v>
                </c:pt>
                <c:pt idx="166">
                  <c:v>4.8152955147902165E-12</c:v>
                </c:pt>
                <c:pt idx="167">
                  <c:v>4.8152955147902165E-12</c:v>
                </c:pt>
                <c:pt idx="168">
                  <c:v>4.8152955147902165E-12</c:v>
                </c:pt>
                <c:pt idx="169">
                  <c:v>4.8152955147902165E-12</c:v>
                </c:pt>
                <c:pt idx="170">
                  <c:v>4.8152955147902165E-12</c:v>
                </c:pt>
                <c:pt idx="171">
                  <c:v>4.8152955147902165E-12</c:v>
                </c:pt>
                <c:pt idx="172">
                  <c:v>4.8152955147902165E-12</c:v>
                </c:pt>
                <c:pt idx="173">
                  <c:v>4.8152955147902165E-12</c:v>
                </c:pt>
                <c:pt idx="174">
                  <c:v>4.8152955147902165E-12</c:v>
                </c:pt>
                <c:pt idx="175">
                  <c:v>4.8152955147902165E-12</c:v>
                </c:pt>
                <c:pt idx="176">
                  <c:v>4.8152955147902165E-12</c:v>
                </c:pt>
                <c:pt idx="177">
                  <c:v>4.8152955147902165E-12</c:v>
                </c:pt>
                <c:pt idx="178">
                  <c:v>4.8152955147902165E-12</c:v>
                </c:pt>
                <c:pt idx="179">
                  <c:v>4.8152955147902165E-12</c:v>
                </c:pt>
                <c:pt idx="180">
                  <c:v>4.8152955147902165E-12</c:v>
                </c:pt>
                <c:pt idx="181">
                  <c:v>4.8152955147902165E-12</c:v>
                </c:pt>
                <c:pt idx="182">
                  <c:v>4.8152955147902165E-12</c:v>
                </c:pt>
                <c:pt idx="183">
                  <c:v>4.8152955147902165E-12</c:v>
                </c:pt>
                <c:pt idx="184">
                  <c:v>4.8152955147902165E-12</c:v>
                </c:pt>
                <c:pt idx="185">
                  <c:v>4.8152955147902165E-12</c:v>
                </c:pt>
                <c:pt idx="186">
                  <c:v>4.8152955147902165E-12</c:v>
                </c:pt>
                <c:pt idx="187">
                  <c:v>4.8152955147902165E-12</c:v>
                </c:pt>
                <c:pt idx="188">
                  <c:v>4.8152955147902165E-12</c:v>
                </c:pt>
                <c:pt idx="189">
                  <c:v>4.8152955147902165E-12</c:v>
                </c:pt>
                <c:pt idx="190">
                  <c:v>4.8152955147902165E-12</c:v>
                </c:pt>
                <c:pt idx="191">
                  <c:v>4.8152955147902165E-12</c:v>
                </c:pt>
                <c:pt idx="192">
                  <c:v>4.8152955147902165E-12</c:v>
                </c:pt>
                <c:pt idx="193">
                  <c:v>4.8152955147902165E-12</c:v>
                </c:pt>
                <c:pt idx="194">
                  <c:v>4.8152955147902165E-12</c:v>
                </c:pt>
                <c:pt idx="195">
                  <c:v>4.8152955147902165E-12</c:v>
                </c:pt>
                <c:pt idx="196">
                  <c:v>4.8152955147902165E-12</c:v>
                </c:pt>
                <c:pt idx="197">
                  <c:v>4.8152955147902165E-12</c:v>
                </c:pt>
                <c:pt idx="198">
                  <c:v>4.8152955147902165E-12</c:v>
                </c:pt>
                <c:pt idx="199">
                  <c:v>4.8152955147902165E-12</c:v>
                </c:pt>
                <c:pt idx="200">
                  <c:v>4.8152955147902165E-12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96421296"/>
        <c:axId val="-1396411504"/>
      </c:scatterChart>
      <c:valAx>
        <c:axId val="-13964212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6411504"/>
        <c:crosses val="autoZero"/>
        <c:crossBetween val="midCat"/>
      </c:valAx>
      <c:valAx>
        <c:axId val="-139641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6421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96412048"/>
        <c:axId val="-1396410416"/>
      </c:scatterChart>
      <c:valAx>
        <c:axId val="-1396412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6410416"/>
        <c:crosses val="autoZero"/>
        <c:crossBetween val="midCat"/>
      </c:valAx>
      <c:valAx>
        <c:axId val="-139641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6412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96425648"/>
        <c:axId val="-1888612528"/>
      </c:scatterChart>
      <c:valAx>
        <c:axId val="-1396425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88612528"/>
        <c:crosses val="autoZero"/>
        <c:crossBetween val="midCat"/>
      </c:valAx>
      <c:valAx>
        <c:axId val="-18886125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6425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C38" sqref="C38"/>
    </sheetView>
  </sheetViews>
  <sheetFormatPr baseColWidth="10" defaultRowHeight="14.5" x14ac:dyDescent="0.35"/>
  <cols>
    <col min="1" max="1" width="6.6328125" customWidth="1"/>
    <col min="2" max="13" width="15.90625" customWidth="1"/>
  </cols>
  <sheetData>
    <row r="12" spans="2:13" ht="15" customHeight="1" x14ac:dyDescent="0.35">
      <c r="B12" s="289" t="s">
        <v>291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</row>
    <row r="13" spans="2:13" ht="15" customHeight="1" x14ac:dyDescent="0.35"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</row>
    <row r="14" spans="2:13" ht="15" customHeight="1" x14ac:dyDescent="0.35"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</row>
    <row r="15" spans="2:13" ht="18.75" customHeight="1" x14ac:dyDescent="0.35"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</row>
    <row r="16" spans="2:13" ht="18.75" customHeight="1" x14ac:dyDescent="0.35"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</row>
    <row r="18" spans="2:13" ht="12" customHeight="1" x14ac:dyDescent="0.35">
      <c r="B18" s="289" t="s">
        <v>292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</row>
    <row r="19" spans="2:13" ht="12" customHeight="1" x14ac:dyDescent="0.35"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</row>
    <row r="20" spans="2:13" ht="12" customHeight="1" x14ac:dyDescent="0.35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</row>
    <row r="21" spans="2:13" ht="12" customHeight="1" x14ac:dyDescent="0.35"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</row>
    <row r="22" spans="2:13" ht="12" customHeight="1" x14ac:dyDescent="0.35"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</row>
    <row r="23" spans="2:13" ht="12" customHeight="1" x14ac:dyDescent="0.35"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</row>
    <row r="24" spans="2:13" ht="12" customHeight="1" x14ac:dyDescent="0.35"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</row>
    <row r="25" spans="2:13" ht="12" customHeight="1" x14ac:dyDescent="0.35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</row>
    <row r="26" spans="2:13" ht="12" customHeight="1" x14ac:dyDescent="0.35"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</row>
    <row r="27" spans="2:13" ht="12" customHeight="1" x14ac:dyDescent="0.35"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</row>
    <row r="28" spans="2:13" ht="12" customHeight="1" x14ac:dyDescent="0.35"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</row>
    <row r="29" spans="2:13" ht="12" customHeight="1" x14ac:dyDescent="0.35"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2:13" ht="12" customHeight="1" x14ac:dyDescent="0.35"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</row>
    <row r="31" spans="2:13" ht="12" customHeight="1" x14ac:dyDescent="0.35"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zoomScaleNormal="100" workbookViewId="0">
      <selection activeCell="D22" sqref="D22"/>
    </sheetView>
  </sheetViews>
  <sheetFormatPr baseColWidth="10" defaultColWidth="11.453125" defaultRowHeight="14.5" x14ac:dyDescent="0.35"/>
  <cols>
    <col min="1" max="1" width="13.6328125" style="25" customWidth="1"/>
    <col min="2" max="2" width="36.08984375" style="25" customWidth="1"/>
    <col min="3" max="3" width="14.90625" style="25" bestFit="1" customWidth="1"/>
    <col min="4" max="4" width="16.453125" style="25" customWidth="1"/>
    <col min="5" max="5" width="23.36328125" style="25" customWidth="1"/>
    <col min="6" max="6" width="28.90625" style="25" bestFit="1" customWidth="1"/>
    <col min="7" max="8" width="14.6328125" style="25" customWidth="1"/>
    <col min="9" max="9" width="17" style="25" customWidth="1"/>
    <col min="10" max="10" width="13.90625" style="25" customWidth="1"/>
    <col min="11" max="16384" width="11.453125" style="25"/>
  </cols>
  <sheetData>
    <row r="1" spans="1:38" x14ac:dyDescent="0.3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4">
      <c r="A2" s="5"/>
      <c r="B2" s="5"/>
      <c r="C2" s="5"/>
      <c r="D2" s="5"/>
      <c r="E2" s="5"/>
      <c r="F2" s="5"/>
      <c r="G2" s="5"/>
      <c r="H2" s="5"/>
      <c r="I2" s="224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5" thickBot="1" x14ac:dyDescent="0.4">
      <c r="A3" s="5"/>
      <c r="B3" s="295" t="s">
        <v>192</v>
      </c>
      <c r="C3" s="296"/>
      <c r="D3" s="296"/>
      <c r="E3" s="296"/>
      <c r="F3" s="297"/>
      <c r="G3" s="92"/>
      <c r="I3" s="224" t="s">
        <v>304</v>
      </c>
      <c r="J3" s="9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35">
      <c r="A4" s="94"/>
      <c r="B4" s="94"/>
      <c r="C4" s="94"/>
      <c r="D4" s="94"/>
      <c r="E4" s="94"/>
      <c r="F4" s="94"/>
      <c r="G4" s="234"/>
      <c r="I4" s="224" t="s">
        <v>305</v>
      </c>
      <c r="J4" s="9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35">
      <c r="A5" s="301" t="s">
        <v>231</v>
      </c>
      <c r="B5" s="301"/>
      <c r="C5" s="26">
        <v>4.63</v>
      </c>
      <c r="D5" s="302" t="s">
        <v>229</v>
      </c>
      <c r="E5" s="303"/>
      <c r="F5" s="94"/>
      <c r="G5" s="234"/>
      <c r="H5" s="235"/>
      <c r="I5" s="235"/>
      <c r="J5" s="24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5">
      <c r="A6" s="95"/>
      <c r="B6" s="95"/>
      <c r="C6" s="96"/>
      <c r="D6" s="90"/>
      <c r="E6" s="90"/>
      <c r="F6" s="29"/>
      <c r="G6" s="236"/>
      <c r="H6" s="237"/>
      <c r="I6" s="237"/>
      <c r="J6" s="244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</row>
    <row r="7" spans="1:38" ht="26" x14ac:dyDescent="0.35">
      <c r="A7" s="299" t="s">
        <v>226</v>
      </c>
      <c r="B7" s="299"/>
      <c r="C7" s="94"/>
      <c r="D7" s="94"/>
      <c r="E7" s="5"/>
      <c r="F7" s="94"/>
      <c r="G7" s="234"/>
      <c r="H7" s="235"/>
      <c r="I7" s="235"/>
      <c r="J7" s="243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9"/>
      <c r="J8" s="243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5">
      <c r="A9" s="33" t="s">
        <v>165</v>
      </c>
      <c r="B9" s="34" t="s">
        <v>14</v>
      </c>
      <c r="C9" s="35">
        <v>0.375</v>
      </c>
      <c r="D9" s="36">
        <f t="shared" ref="D9:D18" si="0">C9*$C$5</f>
        <v>1.7362500000000001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4" t="s">
        <v>306</v>
      </c>
      <c r="I9" s="250"/>
      <c r="J9" s="243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5">
      <c r="A10" s="33" t="s">
        <v>166</v>
      </c>
      <c r="B10" s="34" t="s">
        <v>11</v>
      </c>
      <c r="C10" s="35">
        <v>0.125</v>
      </c>
      <c r="D10" s="36">
        <f t="shared" si="0"/>
        <v>0.57874999999999999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0"/>
      <c r="J10" s="243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5">
      <c r="A11" s="33" t="s">
        <v>167</v>
      </c>
      <c r="B11" s="34" t="s">
        <v>6</v>
      </c>
      <c r="C11" s="35">
        <v>0.158</v>
      </c>
      <c r="D11" s="36">
        <f t="shared" si="0"/>
        <v>0.73153999999999997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27"/>
      <c r="I11" s="250"/>
      <c r="J11" s="243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5">
      <c r="A12" s="33" t="s">
        <v>168</v>
      </c>
      <c r="B12" s="34" t="s">
        <v>98</v>
      </c>
      <c r="C12" s="35">
        <v>0.19700000000000001</v>
      </c>
      <c r="D12" s="36">
        <f t="shared" si="0"/>
        <v>0.91210999999999998</v>
      </c>
      <c r="E12" s="37">
        <v>90</v>
      </c>
      <c r="F12" s="38" t="str">
        <f t="array" ref="F12">IF(E12="","",IF(INDEX(A:A,MAX(IF(ISNUMBER($A$114:$A$133),ROW($A$114:$A$133),"")))&lt;&gt;E12,"Corrigez : révolution incorrecte","OK"))</f>
        <v>OK</v>
      </c>
      <c r="H12" s="227"/>
      <c r="I12" s="250"/>
      <c r="J12" s="243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5">
      <c r="A13" s="33" t="s">
        <v>169</v>
      </c>
      <c r="B13" s="34" t="s">
        <v>1</v>
      </c>
      <c r="C13" s="35">
        <v>3.3000000000000002E-2</v>
      </c>
      <c r="D13" s="36">
        <f t="shared" si="0"/>
        <v>0.15279000000000001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27"/>
      <c r="I13" s="250"/>
      <c r="J13" s="243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5">
      <c r="A14" s="33" t="s">
        <v>170</v>
      </c>
      <c r="B14" s="34" t="s">
        <v>52</v>
      </c>
      <c r="C14" s="35">
        <v>3.3000000000000002E-2</v>
      </c>
      <c r="D14" s="36">
        <f t="shared" si="0"/>
        <v>0.15279000000000001</v>
      </c>
      <c r="E14" s="37">
        <v>120</v>
      </c>
      <c r="F14" s="38" t="str">
        <f t="array" ref="F14">IF(E14="","",IF(INDEX(A:A,MAX(IF(ISNUMBER($A$166:$A$185),ROW($A$166:$A$185),"")))&lt;&gt;E14,"Corrigez : révolution incorrecte","OK"))</f>
        <v>OK</v>
      </c>
      <c r="H14" s="227"/>
      <c r="I14" s="250"/>
      <c r="J14" s="243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5">
      <c r="A15" s="33" t="s">
        <v>171</v>
      </c>
      <c r="B15" s="34" t="s">
        <v>31</v>
      </c>
      <c r="C15" s="35">
        <v>7.9000000000000001E-2</v>
      </c>
      <c r="D15" s="36">
        <f t="shared" si="0"/>
        <v>0.36576999999999998</v>
      </c>
      <c r="E15" s="37">
        <v>150</v>
      </c>
      <c r="F15" s="38" t="str">
        <f t="array" ref="F15">IF(E15="","",IF(INDEX(A:A,MAX(IF(ISNUMBER($A$192:$A$211),ROW($A$192:$A$211),"")))&lt;&gt;E15,"Corrigez : révolution incorrecte","OK"))</f>
        <v>OK</v>
      </c>
      <c r="H15" s="227"/>
      <c r="I15" s="250"/>
      <c r="J15" s="243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7"/>
      <c r="I16" s="250"/>
      <c r="J16" s="243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7"/>
      <c r="I17" s="250"/>
      <c r="J17" s="243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7"/>
      <c r="I18" s="250"/>
      <c r="J18" s="243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5">
      <c r="A19" s="97"/>
      <c r="B19" s="39" t="s">
        <v>175</v>
      </c>
      <c r="C19" s="40">
        <f>SUM(C9:C18)</f>
        <v>1</v>
      </c>
      <c r="D19" s="41">
        <f>SUM(D9:D18)</f>
        <v>4.6300000000000008</v>
      </c>
      <c r="E19" s="5"/>
      <c r="F19" s="98"/>
      <c r="G19" s="238"/>
      <c r="H19" s="239"/>
      <c r="I19" s="238"/>
      <c r="J19" s="24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5">
      <c r="A20" s="97"/>
      <c r="B20" s="42" t="s">
        <v>230</v>
      </c>
      <c r="C20" s="43" t="str">
        <f>IF(C19&gt;100%,"Erreur : corrigez","OK")</f>
        <v>OK</v>
      </c>
      <c r="D20" s="245"/>
      <c r="F20" s="237"/>
      <c r="G20" s="237"/>
      <c r="H20" s="239"/>
      <c r="I20" s="238"/>
      <c r="J20" s="24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5">
      <c r="A21" s="5"/>
      <c r="B21" s="5"/>
      <c r="C21" s="5"/>
      <c r="H21" s="240"/>
      <c r="I21" s="251"/>
      <c r="J21" s="243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5">
      <c r="A22" s="298" t="s">
        <v>232</v>
      </c>
      <c r="B22" s="298"/>
      <c r="C22" s="96"/>
      <c r="H22" s="226"/>
      <c r="I22" s="244"/>
      <c r="J22" s="244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</row>
    <row r="23" spans="1:45" x14ac:dyDescent="0.35">
      <c r="A23" s="5"/>
      <c r="B23" s="5"/>
      <c r="C23" s="5"/>
      <c r="H23" s="217"/>
      <c r="I23" s="243"/>
      <c r="J23" s="243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5">
      <c r="A24" s="44" t="s">
        <v>218</v>
      </c>
      <c r="B24" s="45" t="s">
        <v>224</v>
      </c>
      <c r="C24" s="46">
        <v>0</v>
      </c>
      <c r="D24" s="47" t="s">
        <v>233</v>
      </c>
      <c r="E24" s="99"/>
      <c r="F24" s="99"/>
      <c r="G24" s="241"/>
      <c r="H24" s="227"/>
      <c r="I24" s="241"/>
      <c r="J24" s="242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5">
      <c r="A25" s="44" t="s">
        <v>220</v>
      </c>
      <c r="B25" s="45" t="s">
        <v>219</v>
      </c>
      <c r="C25" s="48">
        <v>0.1</v>
      </c>
      <c r="D25" s="100"/>
      <c r="E25" s="5"/>
      <c r="F25" s="100"/>
      <c r="G25" s="242"/>
      <c r="H25" s="227"/>
      <c r="I25" s="242"/>
      <c r="J25" s="242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5">
      <c r="A26" s="44" t="s">
        <v>222</v>
      </c>
      <c r="B26" s="45" t="s">
        <v>221</v>
      </c>
      <c r="C26" s="46">
        <v>0</v>
      </c>
      <c r="D26" s="47" t="s">
        <v>234</v>
      </c>
      <c r="E26" s="99"/>
      <c r="F26" s="99"/>
      <c r="G26" s="241"/>
      <c r="I26" s="241"/>
      <c r="J26" s="241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5">
      <c r="A27" s="44" t="s">
        <v>223</v>
      </c>
      <c r="B27" s="45" t="s">
        <v>225</v>
      </c>
      <c r="C27" s="46">
        <v>0</v>
      </c>
      <c r="D27" s="47" t="s">
        <v>235</v>
      </c>
      <c r="E27" s="99"/>
      <c r="F27" s="99"/>
      <c r="G27" s="241"/>
      <c r="I27" s="241"/>
      <c r="J27" s="241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5">
      <c r="A28" s="5"/>
      <c r="B28" s="5"/>
      <c r="H28" s="243"/>
      <c r="I28" s="243"/>
      <c r="J28" s="243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5">
      <c r="A29" s="5"/>
      <c r="B29" s="5"/>
      <c r="H29" s="243"/>
      <c r="I29" s="243"/>
      <c r="J29" s="243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5">
      <c r="A30" s="300" t="s">
        <v>227</v>
      </c>
      <c r="B30" s="300"/>
      <c r="D30" s="246"/>
      <c r="H30" s="244"/>
      <c r="I30" s="244"/>
      <c r="J30" s="244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</row>
    <row r="31" spans="1:45" x14ac:dyDescent="0.35">
      <c r="A31" s="5"/>
      <c r="B31" s="5"/>
      <c r="H31" s="243"/>
      <c r="I31" s="243"/>
      <c r="J31" s="243"/>
      <c r="K31" s="246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5">
      <c r="A32" s="49" t="s">
        <v>165</v>
      </c>
      <c r="B32" s="50" t="str">
        <f>IF(B9="","",B9)</f>
        <v>Chêne sessile</v>
      </c>
      <c r="D32" s="255" t="s">
        <v>307</v>
      </c>
      <c r="K32" s="246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5">
      <c r="A33" s="49"/>
      <c r="B33" s="5"/>
      <c r="K33" s="246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5">
      <c r="A34" s="5"/>
      <c r="B34" s="89" t="s">
        <v>185</v>
      </c>
      <c r="C34" s="290" t="s">
        <v>186</v>
      </c>
      <c r="D34" s="290"/>
      <c r="E34" s="291" t="s">
        <v>187</v>
      </c>
      <c r="F34" s="292"/>
      <c r="G34" s="292"/>
      <c r="H34" s="293"/>
      <c r="I34" s="101"/>
      <c r="J34" s="247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5" x14ac:dyDescent="0.3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8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5">
      <c r="A36" s="53">
        <v>20</v>
      </c>
      <c r="B36" s="61">
        <f>67+6</f>
        <v>73</v>
      </c>
      <c r="C36" s="61"/>
      <c r="D36" s="61"/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5">
      <c r="A37" s="53">
        <v>25</v>
      </c>
      <c r="B37" s="61">
        <f>75+28+6</f>
        <v>109</v>
      </c>
      <c r="C37" s="61">
        <v>1</v>
      </c>
      <c r="D37" s="61">
        <f>28+6</f>
        <v>34</v>
      </c>
      <c r="E37" s="54">
        <v>0</v>
      </c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5">
      <c r="A38" s="53">
        <v>30</v>
      </c>
      <c r="B38" s="61">
        <f>93+28</f>
        <v>121</v>
      </c>
      <c r="C38" s="61"/>
      <c r="D38" s="61"/>
      <c r="E38" s="54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5">
      <c r="A39" s="53">
        <v>35</v>
      </c>
      <c r="B39" s="61">
        <f>119+28+28</f>
        <v>175</v>
      </c>
      <c r="C39" s="61">
        <v>2</v>
      </c>
      <c r="D39" s="61">
        <f>28+28</f>
        <v>56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5">
      <c r="A40" s="53">
        <v>40</v>
      </c>
      <c r="B40" s="61">
        <f>147+28</f>
        <v>175</v>
      </c>
      <c r="C40" s="61"/>
      <c r="D40" s="61"/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5">
      <c r="A41" s="53">
        <v>45</v>
      </c>
      <c r="B41" s="61">
        <f>176+28+28</f>
        <v>232</v>
      </c>
      <c r="C41" s="61">
        <v>3</v>
      </c>
      <c r="D41" s="61">
        <f>28+28</f>
        <v>56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5">
      <c r="A42" s="53">
        <v>50</v>
      </c>
      <c r="B42" s="61">
        <f>203+28</f>
        <v>231</v>
      </c>
      <c r="C42" s="61"/>
      <c r="D42" s="61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5">
      <c r="A43" s="279">
        <v>55</v>
      </c>
      <c r="B43" s="61">
        <f>226+28+28</f>
        <v>282</v>
      </c>
      <c r="C43" s="61">
        <v>4</v>
      </c>
      <c r="D43" s="61">
        <f>28+28</f>
        <v>56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5">
      <c r="A44" s="279">
        <v>60</v>
      </c>
      <c r="B44" s="61">
        <f>245+28</f>
        <v>273</v>
      </c>
      <c r="C44" s="61"/>
      <c r="D44" s="61"/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5">
      <c r="A45" s="279">
        <v>65</v>
      </c>
      <c r="B45" s="61">
        <f>261+28+28</f>
        <v>317</v>
      </c>
      <c r="C45" s="61">
        <v>5</v>
      </c>
      <c r="D45" s="61">
        <f>28+28</f>
        <v>56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5">
      <c r="A46" s="279">
        <v>70</v>
      </c>
      <c r="B46" s="61">
        <f>274+28</f>
        <v>302</v>
      </c>
      <c r="C46" s="61"/>
      <c r="D46" s="61"/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5">
      <c r="A47" s="279">
        <v>75</v>
      </c>
      <c r="B47" s="61">
        <f>284+28+28</f>
        <v>340</v>
      </c>
      <c r="C47" s="61">
        <v>6</v>
      </c>
      <c r="D47" s="61">
        <f>28+28</f>
        <v>56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5">
      <c r="A48" s="279">
        <v>85</v>
      </c>
      <c r="B48" s="61">
        <f>298+28+28</f>
        <v>354</v>
      </c>
      <c r="C48" s="61">
        <v>7</v>
      </c>
      <c r="D48" s="61">
        <f>28+28</f>
        <v>56</v>
      </c>
      <c r="E48" s="54"/>
      <c r="F48" s="54"/>
      <c r="G48" s="54"/>
      <c r="H48" s="54"/>
      <c r="I48" s="52">
        <f t="shared" si="1"/>
        <v>7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5">
      <c r="A49" s="279">
        <v>95</v>
      </c>
      <c r="B49" s="61">
        <f>305+28+28</f>
        <v>361</v>
      </c>
      <c r="C49" s="61">
        <v>8</v>
      </c>
      <c r="D49" s="61">
        <f>28+28</f>
        <v>56</v>
      </c>
      <c r="E49" s="54"/>
      <c r="F49" s="54"/>
      <c r="G49" s="54"/>
      <c r="H49" s="54"/>
      <c r="I49" s="52">
        <f t="shared" si="1"/>
        <v>6.3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5">
      <c r="A50" s="279">
        <v>105</v>
      </c>
      <c r="B50" s="61">
        <f>307+26+27</f>
        <v>360</v>
      </c>
      <c r="C50" s="61">
        <v>9</v>
      </c>
      <c r="D50" s="61">
        <f>26+27</f>
        <v>53</v>
      </c>
      <c r="E50" s="54"/>
      <c r="F50" s="54"/>
      <c r="G50" s="54"/>
      <c r="H50" s="54"/>
      <c r="I50" s="52">
        <f t="shared" si="1"/>
        <v>5.5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5">
      <c r="A51" s="279">
        <v>115</v>
      </c>
      <c r="B51" s="61">
        <f>307+24+25</f>
        <v>356</v>
      </c>
      <c r="C51" s="53">
        <v>10</v>
      </c>
      <c r="D51" s="61">
        <f>24+25</f>
        <v>49</v>
      </c>
      <c r="E51" s="54"/>
      <c r="F51" s="54"/>
      <c r="G51" s="54"/>
      <c r="H51" s="54"/>
      <c r="I51" s="52">
        <f t="shared" si="1"/>
        <v>4.9000000000000004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5">
      <c r="A52" s="53">
        <v>125</v>
      </c>
      <c r="B52" s="61">
        <f>304+22+23</f>
        <v>349</v>
      </c>
      <c r="C52" s="53">
        <v>11</v>
      </c>
      <c r="D52" s="61">
        <f>22+23</f>
        <v>45</v>
      </c>
      <c r="E52" s="57"/>
      <c r="F52" s="57"/>
      <c r="G52" s="57"/>
      <c r="H52" s="57"/>
      <c r="I52" s="52">
        <f t="shared" si="1"/>
        <v>4.2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5">
      <c r="A53" s="53">
        <v>135</v>
      </c>
      <c r="B53" s="61">
        <f>301+21+22</f>
        <v>344</v>
      </c>
      <c r="C53" s="53">
        <v>12</v>
      </c>
      <c r="D53" s="61">
        <f>21+22</f>
        <v>43</v>
      </c>
      <c r="E53" s="57"/>
      <c r="F53" s="57"/>
      <c r="G53" s="57"/>
      <c r="H53" s="57"/>
      <c r="I53" s="52">
        <f t="shared" si="1"/>
        <v>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5">
      <c r="A54" s="53">
        <v>145</v>
      </c>
      <c r="B54" s="61">
        <f>299+19+20</f>
        <v>338</v>
      </c>
      <c r="C54" s="53">
        <v>13</v>
      </c>
      <c r="D54" s="61">
        <f>19+20</f>
        <v>39</v>
      </c>
      <c r="E54" s="57"/>
      <c r="F54" s="57"/>
      <c r="G54" s="57"/>
      <c r="H54" s="57"/>
      <c r="I54" s="52">
        <f t="shared" si="1"/>
        <v>3.7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5">
      <c r="A55" s="53">
        <v>150</v>
      </c>
      <c r="B55" s="61">
        <f>298+18+19</f>
        <v>335</v>
      </c>
      <c r="C55" s="53">
        <v>14</v>
      </c>
      <c r="D55" s="61">
        <f>298+18+19</f>
        <v>335</v>
      </c>
      <c r="E55" s="57"/>
      <c r="F55" s="57"/>
      <c r="G55" s="57"/>
      <c r="H55" s="57"/>
      <c r="I55" s="52">
        <f t="shared" si="1"/>
        <v>7.2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5">
      <c r="A58" s="49" t="s">
        <v>166</v>
      </c>
      <c r="B58" s="55" t="str">
        <f>IF(B10="","",B10)</f>
        <v>Chêne pédonculé</v>
      </c>
      <c r="D58" s="255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5">
      <c r="A59" s="49"/>
      <c r="B59" s="102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5">
      <c r="A60" s="5"/>
      <c r="B60" s="89" t="s">
        <v>185</v>
      </c>
      <c r="C60" s="290" t="s">
        <v>186</v>
      </c>
      <c r="D60" s="290"/>
      <c r="E60" s="291" t="s">
        <v>187</v>
      </c>
      <c r="F60" s="292"/>
      <c r="G60" s="292"/>
      <c r="H60" s="293"/>
      <c r="I60" s="101"/>
      <c r="J60" s="247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5" x14ac:dyDescent="0.3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8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5">
      <c r="A62" s="53">
        <v>20</v>
      </c>
      <c r="B62" s="61">
        <f>67+6</f>
        <v>73</v>
      </c>
      <c r="C62" s="61"/>
      <c r="D62" s="61"/>
      <c r="E62" s="54"/>
      <c r="F62" s="54"/>
      <c r="G62" s="54"/>
      <c r="H62" s="54"/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5">
      <c r="A63" s="53">
        <v>25</v>
      </c>
      <c r="B63" s="61">
        <f>75+28+6</f>
        <v>109</v>
      </c>
      <c r="C63" s="61">
        <v>1</v>
      </c>
      <c r="D63" s="61">
        <f>28+6</f>
        <v>34</v>
      </c>
      <c r="E63" s="54">
        <v>0</v>
      </c>
      <c r="F63" s="54"/>
      <c r="G63" s="54"/>
      <c r="H63" s="54">
        <v>1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5">
      <c r="A64" s="53">
        <v>30</v>
      </c>
      <c r="B64" s="61">
        <f>93+28</f>
        <v>121</v>
      </c>
      <c r="C64" s="61"/>
      <c r="D64" s="61"/>
      <c r="E64" s="54"/>
      <c r="F64" s="54"/>
      <c r="G64" s="54"/>
      <c r="H64" s="54"/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5">
      <c r="A65" s="53">
        <v>35</v>
      </c>
      <c r="B65" s="61">
        <f>119+28+28</f>
        <v>175</v>
      </c>
      <c r="C65" s="61">
        <v>2</v>
      </c>
      <c r="D65" s="61">
        <f>28+28</f>
        <v>56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5">
      <c r="A66" s="53">
        <v>40</v>
      </c>
      <c r="B66" s="61">
        <f>147+28</f>
        <v>175</v>
      </c>
      <c r="C66" s="61"/>
      <c r="D66" s="61"/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5">
      <c r="A67" s="53">
        <v>45</v>
      </c>
      <c r="B67" s="61">
        <f>176+28+28</f>
        <v>232</v>
      </c>
      <c r="C67" s="61">
        <v>3</v>
      </c>
      <c r="D67" s="61">
        <f>28+28</f>
        <v>56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5">
      <c r="A68" s="53">
        <v>50</v>
      </c>
      <c r="B68" s="61">
        <f>203+28</f>
        <v>231</v>
      </c>
      <c r="C68" s="61"/>
      <c r="D68" s="61"/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5">
      <c r="A69" s="279">
        <v>55</v>
      </c>
      <c r="B69" s="61">
        <f>226+28+28</f>
        <v>282</v>
      </c>
      <c r="C69" s="61">
        <v>4</v>
      </c>
      <c r="D69" s="61">
        <f>28+28</f>
        <v>56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5">
      <c r="A70" s="279">
        <v>60</v>
      </c>
      <c r="B70" s="61">
        <f>245+28</f>
        <v>273</v>
      </c>
      <c r="C70" s="61"/>
      <c r="D70" s="61"/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5">
      <c r="A71" s="279">
        <v>65</v>
      </c>
      <c r="B71" s="61">
        <f>261+28+28</f>
        <v>317</v>
      </c>
      <c r="C71" s="61">
        <v>5</v>
      </c>
      <c r="D71" s="61">
        <f>28+28</f>
        <v>56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5">
      <c r="A72" s="279">
        <v>70</v>
      </c>
      <c r="B72" s="61">
        <f>274+28</f>
        <v>302</v>
      </c>
      <c r="C72" s="61"/>
      <c r="D72" s="61"/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5">
      <c r="A73" s="279">
        <v>75</v>
      </c>
      <c r="B73" s="61">
        <f>284+28+28</f>
        <v>340</v>
      </c>
      <c r="C73" s="61">
        <v>6</v>
      </c>
      <c r="D73" s="61">
        <f>28+28</f>
        <v>56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5">
      <c r="A74" s="279">
        <v>85</v>
      </c>
      <c r="B74" s="61">
        <f>298+28+28</f>
        <v>354</v>
      </c>
      <c r="C74" s="61">
        <v>7</v>
      </c>
      <c r="D74" s="61">
        <f>28+28</f>
        <v>56</v>
      </c>
      <c r="E74" s="54"/>
      <c r="F74" s="54"/>
      <c r="G74" s="54"/>
      <c r="H74" s="54"/>
      <c r="I74" s="52">
        <f t="shared" si="2"/>
        <v>7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5">
      <c r="A75" s="279">
        <v>95</v>
      </c>
      <c r="B75" s="61">
        <f>305+28+28</f>
        <v>361</v>
      </c>
      <c r="C75" s="61">
        <v>8</v>
      </c>
      <c r="D75" s="61">
        <f>28+28</f>
        <v>56</v>
      </c>
      <c r="E75" s="54"/>
      <c r="F75" s="54"/>
      <c r="G75" s="54"/>
      <c r="H75" s="54"/>
      <c r="I75" s="52">
        <f t="shared" si="2"/>
        <v>6.3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5">
      <c r="A76" s="279">
        <v>105</v>
      </c>
      <c r="B76" s="61">
        <f>307+26+27</f>
        <v>360</v>
      </c>
      <c r="C76" s="61">
        <v>9</v>
      </c>
      <c r="D76" s="61">
        <f>26+27</f>
        <v>53</v>
      </c>
      <c r="E76" s="54"/>
      <c r="F76" s="54"/>
      <c r="G76" s="54"/>
      <c r="H76" s="54"/>
      <c r="I76" s="52">
        <f t="shared" si="2"/>
        <v>5.5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5">
      <c r="A77" s="279">
        <v>115</v>
      </c>
      <c r="B77" s="61">
        <f>307+24+25</f>
        <v>356</v>
      </c>
      <c r="C77" s="53">
        <v>10</v>
      </c>
      <c r="D77" s="61">
        <f>24+25</f>
        <v>49</v>
      </c>
      <c r="E77" s="54"/>
      <c r="F77" s="54"/>
      <c r="G77" s="54"/>
      <c r="H77" s="54"/>
      <c r="I77" s="52">
        <f t="shared" si="2"/>
        <v>4.9000000000000004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5">
      <c r="A78" s="53">
        <v>125</v>
      </c>
      <c r="B78" s="61">
        <f>304+22+23</f>
        <v>349</v>
      </c>
      <c r="C78" s="53">
        <v>11</v>
      </c>
      <c r="D78" s="61">
        <f>22+23</f>
        <v>45</v>
      </c>
      <c r="E78" s="57"/>
      <c r="F78" s="57"/>
      <c r="G78" s="57"/>
      <c r="H78" s="57"/>
      <c r="I78" s="52">
        <f t="shared" si="2"/>
        <v>4.2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5">
      <c r="A79" s="53">
        <v>135</v>
      </c>
      <c r="B79" s="61">
        <f>301+21+22</f>
        <v>344</v>
      </c>
      <c r="C79" s="53">
        <v>12</v>
      </c>
      <c r="D79" s="61">
        <f>21+22</f>
        <v>43</v>
      </c>
      <c r="E79" s="57"/>
      <c r="F79" s="57"/>
      <c r="G79" s="57"/>
      <c r="H79" s="57"/>
      <c r="I79" s="52">
        <f t="shared" si="2"/>
        <v>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5">
      <c r="A80" s="53">
        <v>145</v>
      </c>
      <c r="B80" s="61">
        <f>299+19+20</f>
        <v>338</v>
      </c>
      <c r="C80" s="53">
        <v>13</v>
      </c>
      <c r="D80" s="61">
        <f>19+20</f>
        <v>39</v>
      </c>
      <c r="E80" s="57"/>
      <c r="F80" s="57"/>
      <c r="G80" s="57"/>
      <c r="H80" s="57"/>
      <c r="I80" s="52">
        <f t="shared" si="2"/>
        <v>3.7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5">
      <c r="A81" s="53">
        <v>150</v>
      </c>
      <c r="B81" s="61">
        <f>298+18+19</f>
        <v>335</v>
      </c>
      <c r="C81" s="53">
        <v>14</v>
      </c>
      <c r="D81" s="61">
        <f>298+18+19</f>
        <v>335</v>
      </c>
      <c r="E81" s="57"/>
      <c r="F81" s="57"/>
      <c r="G81" s="57"/>
      <c r="H81" s="57"/>
      <c r="I81" s="52">
        <f t="shared" si="2"/>
        <v>7.2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5">
      <c r="A84" s="49" t="s">
        <v>167</v>
      </c>
      <c r="B84" s="55" t="str">
        <f>IF(B11="","",B11)</f>
        <v>Charme</v>
      </c>
      <c r="D84" s="255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5">
      <c r="A85" s="49"/>
      <c r="B85" s="102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5">
      <c r="A86" s="5"/>
      <c r="B86" s="89" t="s">
        <v>185</v>
      </c>
      <c r="C86" s="290" t="s">
        <v>186</v>
      </c>
      <c r="D86" s="290"/>
      <c r="E86" s="291" t="s">
        <v>187</v>
      </c>
      <c r="F86" s="292"/>
      <c r="G86" s="292"/>
      <c r="H86" s="293"/>
      <c r="I86" s="101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5" x14ac:dyDescent="0.3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5">
      <c r="A88" s="53">
        <v>10</v>
      </c>
      <c r="B88" s="339">
        <v>24.358974358974358</v>
      </c>
      <c r="C88" s="339"/>
      <c r="D88" s="339"/>
      <c r="E88" s="54"/>
      <c r="F88" s="54"/>
      <c r="G88" s="54"/>
      <c r="H88" s="54"/>
      <c r="I88" s="56">
        <f>IFERROR(B88/A88,"")</f>
        <v>2.4358974358974357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5">
      <c r="A89" s="53">
        <v>15</v>
      </c>
      <c r="B89" s="339">
        <v>58.974358974358971</v>
      </c>
      <c r="C89" s="339"/>
      <c r="D89" s="340"/>
      <c r="E89" s="54"/>
      <c r="F89" s="54"/>
      <c r="G89" s="54"/>
      <c r="H89" s="54"/>
      <c r="I89" s="56">
        <f t="shared" ref="I89:I107" si="3">IF(A89&lt;&gt;0,(B89-(B88-D88))/(A89-A88),"")</f>
        <v>6.9230769230769225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5">
      <c r="A90" s="53">
        <v>20</v>
      </c>
      <c r="B90" s="339">
        <v>99.358974358974351</v>
      </c>
      <c r="C90" s="339">
        <v>1</v>
      </c>
      <c r="D90" s="339">
        <v>28.846153846153847</v>
      </c>
      <c r="E90" s="54"/>
      <c r="F90" s="54"/>
      <c r="G90" s="54"/>
      <c r="H90" s="54">
        <v>1</v>
      </c>
      <c r="I90" s="56">
        <f t="shared" si="3"/>
        <v>8.0769230769230766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5">
      <c r="A91" s="53">
        <v>25</v>
      </c>
      <c r="B91" s="339">
        <v>110.8974358974359</v>
      </c>
      <c r="C91" s="339"/>
      <c r="D91" s="339"/>
      <c r="E91" s="54"/>
      <c r="F91" s="54"/>
      <c r="G91" s="54"/>
      <c r="H91" s="54"/>
      <c r="I91" s="56">
        <f t="shared" si="3"/>
        <v>8.0769230769230802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5">
      <c r="A92" s="53">
        <v>30</v>
      </c>
      <c r="B92" s="339">
        <v>150.64102564102564</v>
      </c>
      <c r="C92" s="339">
        <v>2</v>
      </c>
      <c r="D92" s="339">
        <v>33.974358974358971</v>
      </c>
      <c r="E92" s="54"/>
      <c r="F92" s="54"/>
      <c r="G92" s="54"/>
      <c r="H92" s="54"/>
      <c r="I92" s="56">
        <f t="shared" si="3"/>
        <v>7.9487179487179471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5">
      <c r="A93" s="53">
        <v>35</v>
      </c>
      <c r="B93" s="339">
        <v>154.48717948717947</v>
      </c>
      <c r="C93" s="339"/>
      <c r="D93" s="339"/>
      <c r="E93" s="54"/>
      <c r="F93" s="54"/>
      <c r="G93" s="54"/>
      <c r="H93" s="54"/>
      <c r="I93" s="56">
        <f t="shared" si="3"/>
        <v>7.5641025641025639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5">
      <c r="A94" s="61">
        <v>40</v>
      </c>
      <c r="B94" s="339">
        <v>190.38461538461539</v>
      </c>
      <c r="C94" s="339">
        <v>3</v>
      </c>
      <c r="D94" s="339">
        <v>37.179487179487175</v>
      </c>
      <c r="E94" s="54"/>
      <c r="F94" s="54"/>
      <c r="G94" s="54"/>
      <c r="H94" s="54"/>
      <c r="I94" s="56">
        <f t="shared" si="3"/>
        <v>7.1794871794871824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5">
      <c r="A95" s="61">
        <v>45</v>
      </c>
      <c r="B95" s="339">
        <v>186.53846153846152</v>
      </c>
      <c r="C95" s="339"/>
      <c r="D95" s="339"/>
      <c r="E95" s="54"/>
      <c r="F95" s="54"/>
      <c r="G95" s="54"/>
      <c r="H95" s="54"/>
      <c r="I95" s="56">
        <f t="shared" si="3"/>
        <v>6.6666666666666625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5">
      <c r="A96" s="61">
        <v>50</v>
      </c>
      <c r="B96" s="339">
        <v>217.94871794871793</v>
      </c>
      <c r="C96" s="339">
        <v>4</v>
      </c>
      <c r="D96" s="339">
        <v>37.179487179487175</v>
      </c>
      <c r="E96" s="54"/>
      <c r="F96" s="54"/>
      <c r="G96" s="54"/>
      <c r="H96" s="54"/>
      <c r="I96" s="56">
        <f t="shared" si="3"/>
        <v>6.2820512820512819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5">
      <c r="A97" s="61">
        <v>55</v>
      </c>
      <c r="B97" s="339">
        <v>210.25641025641025</v>
      </c>
      <c r="C97" s="339"/>
      <c r="D97" s="339"/>
      <c r="E97" s="54"/>
      <c r="F97" s="54"/>
      <c r="G97" s="54"/>
      <c r="H97" s="54"/>
      <c r="I97" s="56">
        <f t="shared" si="3"/>
        <v>5.8974358974359005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5">
      <c r="A98" s="61">
        <v>60</v>
      </c>
      <c r="B98" s="339">
        <v>237.82051282051282</v>
      </c>
      <c r="C98" s="339">
        <v>5</v>
      </c>
      <c r="D98" s="339">
        <v>35.256410256410255</v>
      </c>
      <c r="E98" s="54"/>
      <c r="F98" s="54"/>
      <c r="G98" s="54"/>
      <c r="H98" s="54"/>
      <c r="I98" s="56">
        <f t="shared" si="3"/>
        <v>5.5128205128205137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5">
      <c r="A99" s="61">
        <v>65</v>
      </c>
      <c r="B99" s="339">
        <v>228.84615384615384</v>
      </c>
      <c r="C99" s="339"/>
      <c r="D99" s="339"/>
      <c r="E99" s="54"/>
      <c r="F99" s="54"/>
      <c r="G99" s="54"/>
      <c r="H99" s="54"/>
      <c r="I99" s="56">
        <f t="shared" si="3"/>
        <v>5.2564102564102537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5">
      <c r="A100" s="61">
        <v>70</v>
      </c>
      <c r="B100" s="339">
        <v>253.84615384615384</v>
      </c>
      <c r="C100" s="339">
        <v>6</v>
      </c>
      <c r="D100" s="339">
        <v>33.974358974358971</v>
      </c>
      <c r="E100" s="54"/>
      <c r="F100" s="54"/>
      <c r="G100" s="54"/>
      <c r="H100" s="54"/>
      <c r="I100" s="56">
        <f t="shared" si="3"/>
        <v>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5">
      <c r="A101" s="61">
        <v>75</v>
      </c>
      <c r="B101" s="339">
        <v>244.23076923076923</v>
      </c>
      <c r="C101" s="339"/>
      <c r="D101" s="339"/>
      <c r="E101" s="54"/>
      <c r="F101" s="54"/>
      <c r="G101" s="54"/>
      <c r="H101" s="54"/>
      <c r="I101" s="56">
        <f t="shared" si="3"/>
        <v>4.8717948717948731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5">
      <c r="A102" s="61">
        <v>80</v>
      </c>
      <c r="B102" s="339">
        <v>266.66666666666669</v>
      </c>
      <c r="C102" s="339">
        <v>7</v>
      </c>
      <c r="D102" s="339">
        <v>31.410256410256409</v>
      </c>
      <c r="E102" s="54"/>
      <c r="F102" s="54"/>
      <c r="G102" s="54"/>
      <c r="H102" s="54"/>
      <c r="I102" s="56">
        <f t="shared" si="3"/>
        <v>4.4871794871794917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5">
      <c r="A103" s="61">
        <v>85</v>
      </c>
      <c r="B103" s="339">
        <v>257.05128205128204</v>
      </c>
      <c r="C103" s="339"/>
      <c r="D103" s="339"/>
      <c r="E103" s="54"/>
      <c r="F103" s="54"/>
      <c r="G103" s="54"/>
      <c r="H103" s="54"/>
      <c r="I103" s="56">
        <f t="shared" si="3"/>
        <v>4.3589743589743533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5">
      <c r="A104" s="61">
        <v>90</v>
      </c>
      <c r="B104" s="339">
        <v>277.56410256410254</v>
      </c>
      <c r="C104" s="339">
        <v>8</v>
      </c>
      <c r="D104" s="339">
        <v>30.128205128205128</v>
      </c>
      <c r="E104" s="54"/>
      <c r="F104" s="54"/>
      <c r="G104" s="54"/>
      <c r="H104" s="54"/>
      <c r="I104" s="56">
        <f t="shared" si="3"/>
        <v>4.1025641025640995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5">
      <c r="A105" s="61">
        <v>100</v>
      </c>
      <c r="B105" s="339">
        <v>285.89743589743591</v>
      </c>
      <c r="C105" s="339">
        <v>9</v>
      </c>
      <c r="D105" s="339">
        <v>28.205128205128204</v>
      </c>
      <c r="E105" s="54"/>
      <c r="F105" s="54"/>
      <c r="G105" s="54"/>
      <c r="H105" s="54"/>
      <c r="I105" s="56">
        <f t="shared" si="3"/>
        <v>3.8461538461538511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5">
      <c r="A106" s="61">
        <v>110</v>
      </c>
      <c r="B106" s="339">
        <v>293.58974358974359</v>
      </c>
      <c r="C106" s="339">
        <v>10</v>
      </c>
      <c r="D106" s="339">
        <v>26.282051282051281</v>
      </c>
      <c r="E106" s="54"/>
      <c r="F106" s="54"/>
      <c r="G106" s="54"/>
      <c r="H106" s="54"/>
      <c r="I106" s="56">
        <f t="shared" si="3"/>
        <v>3.5897435897435854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5">
      <c r="A107" s="61">
        <v>120</v>
      </c>
      <c r="B107" s="339">
        <v>300.64102564102564</v>
      </c>
      <c r="C107" s="339">
        <v>11</v>
      </c>
      <c r="D107" s="339">
        <v>300.64102564102564</v>
      </c>
      <c r="E107" s="54"/>
      <c r="F107" s="54"/>
      <c r="G107" s="54"/>
      <c r="H107" s="54"/>
      <c r="I107" s="56">
        <f t="shared" si="3"/>
        <v>3.3333333333333313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5">
      <c r="A110" s="49" t="s">
        <v>168</v>
      </c>
      <c r="B110" s="55" t="str">
        <f>IF(B12="","",B12)</f>
        <v>Aulne à feuilles en cœur</v>
      </c>
      <c r="D110" s="255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5">
      <c r="A111" s="49"/>
      <c r="B111" s="102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5">
      <c r="A112" s="5"/>
      <c r="B112" s="89" t="s">
        <v>185</v>
      </c>
      <c r="C112" s="290" t="s">
        <v>186</v>
      </c>
      <c r="D112" s="290"/>
      <c r="E112" s="291" t="s">
        <v>187</v>
      </c>
      <c r="F112" s="292"/>
      <c r="G112" s="292"/>
      <c r="H112" s="293"/>
      <c r="I112" s="101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5" x14ac:dyDescent="0.3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5">
      <c r="A114" s="53">
        <v>10</v>
      </c>
      <c r="B114" s="61">
        <f>(10+1)</f>
        <v>11</v>
      </c>
      <c r="C114" s="61"/>
      <c r="D114" s="61"/>
      <c r="E114" s="54"/>
      <c r="F114" s="54"/>
      <c r="G114" s="54"/>
      <c r="H114" s="54"/>
      <c r="I114" s="56">
        <f>IFERROR(B114/A114,"")</f>
        <v>1.1000000000000001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5">
      <c r="A115" s="53">
        <v>15</v>
      </c>
      <c r="B115" s="61">
        <f>40+4+1</f>
        <v>45</v>
      </c>
      <c r="C115" s="61"/>
      <c r="D115" s="61"/>
      <c r="E115" s="54"/>
      <c r="F115" s="54"/>
      <c r="G115" s="54"/>
      <c r="H115" s="54"/>
      <c r="I115" s="56">
        <f t="shared" ref="I115:I133" si="4">IF(A115&lt;&gt;0,(B115-(B114-D114))/(A115-A114),"")</f>
        <v>6.8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5">
      <c r="A116" s="53">
        <v>20</v>
      </c>
      <c r="B116" s="61">
        <f>90+10+4+1</f>
        <v>105</v>
      </c>
      <c r="C116" s="61">
        <v>1</v>
      </c>
      <c r="D116" s="61">
        <f>10+4+1</f>
        <v>15</v>
      </c>
      <c r="E116" s="54"/>
      <c r="F116" s="54"/>
      <c r="G116" s="54"/>
      <c r="H116" s="54">
        <v>1</v>
      </c>
      <c r="I116" s="56">
        <f t="shared" si="4"/>
        <v>12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5">
      <c r="A117" s="53">
        <v>25</v>
      </c>
      <c r="B117" s="61">
        <f>117+21</f>
        <v>138</v>
      </c>
      <c r="C117" s="61"/>
      <c r="D117" s="61"/>
      <c r="E117" s="54"/>
      <c r="F117" s="54"/>
      <c r="G117" s="54"/>
      <c r="H117" s="54"/>
      <c r="I117" s="56">
        <f t="shared" si="4"/>
        <v>9.6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5">
      <c r="A118" s="53">
        <v>30</v>
      </c>
      <c r="B118" s="61">
        <f>138+23+21</f>
        <v>182</v>
      </c>
      <c r="C118" s="61">
        <v>2</v>
      </c>
      <c r="D118" s="61">
        <f>23+21</f>
        <v>44</v>
      </c>
      <c r="E118" s="54"/>
      <c r="F118" s="54">
        <v>0.2</v>
      </c>
      <c r="G118" s="54"/>
      <c r="H118" s="54">
        <v>0.8</v>
      </c>
      <c r="I118" s="56">
        <f t="shared" si="4"/>
        <v>8.8000000000000007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5">
      <c r="A119" s="53">
        <v>35</v>
      </c>
      <c r="B119" s="61">
        <f>156+25</f>
        <v>181</v>
      </c>
      <c r="C119" s="61"/>
      <c r="D119" s="61"/>
      <c r="E119" s="54"/>
      <c r="F119" s="54"/>
      <c r="G119" s="54"/>
      <c r="H119" s="54"/>
      <c r="I119" s="56">
        <f t="shared" si="4"/>
        <v>8.6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5">
      <c r="A120" s="53">
        <v>40</v>
      </c>
      <c r="B120" s="61">
        <f>170+25+25</f>
        <v>220</v>
      </c>
      <c r="C120" s="61">
        <v>3</v>
      </c>
      <c r="D120" s="61">
        <f>25+25</f>
        <v>50</v>
      </c>
      <c r="E120" s="54"/>
      <c r="F120" s="54"/>
      <c r="G120" s="54"/>
      <c r="H120" s="54"/>
      <c r="I120" s="56">
        <f t="shared" si="4"/>
        <v>7.8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5">
      <c r="A121" s="279">
        <v>45</v>
      </c>
      <c r="B121" s="61">
        <f>182+25</f>
        <v>207</v>
      </c>
      <c r="C121" s="61"/>
      <c r="D121" s="61"/>
      <c r="E121" s="54"/>
      <c r="F121" s="54"/>
      <c r="G121" s="54"/>
      <c r="H121" s="54"/>
      <c r="I121" s="56">
        <f t="shared" si="4"/>
        <v>7.4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5">
      <c r="A122" s="279">
        <v>50</v>
      </c>
      <c r="B122" s="61">
        <f>191+24+25</f>
        <v>240</v>
      </c>
      <c r="C122" s="61">
        <v>4</v>
      </c>
      <c r="D122" s="61">
        <f>21+22</f>
        <v>43</v>
      </c>
      <c r="E122" s="54"/>
      <c r="F122" s="54"/>
      <c r="G122" s="54"/>
      <c r="H122" s="54"/>
      <c r="I122" s="56">
        <f t="shared" si="4"/>
        <v>6.6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5">
      <c r="A123" s="279">
        <v>55</v>
      </c>
      <c r="B123" s="61">
        <f>200+23</f>
        <v>223</v>
      </c>
      <c r="C123" s="61"/>
      <c r="D123" s="61"/>
      <c r="E123" s="54"/>
      <c r="F123" s="54"/>
      <c r="G123" s="54"/>
      <c r="H123" s="54"/>
      <c r="I123" s="56">
        <f t="shared" si="4"/>
        <v>5.2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5">
      <c r="A124" s="279">
        <v>60</v>
      </c>
      <c r="B124" s="61">
        <f>207+22+23</f>
        <v>252</v>
      </c>
      <c r="C124" s="61">
        <v>5</v>
      </c>
      <c r="D124" s="61">
        <f>22+23</f>
        <v>45</v>
      </c>
      <c r="E124" s="54"/>
      <c r="F124" s="54"/>
      <c r="G124" s="54"/>
      <c r="H124" s="54"/>
      <c r="I124" s="56">
        <f t="shared" si="4"/>
        <v>5.8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5">
      <c r="A125" s="279">
        <v>65</v>
      </c>
      <c r="B125" s="61">
        <f>213+20</f>
        <v>233</v>
      </c>
      <c r="C125" s="61"/>
      <c r="D125" s="61"/>
      <c r="E125" s="54"/>
      <c r="F125" s="54"/>
      <c r="G125" s="54"/>
      <c r="H125" s="54"/>
      <c r="I125" s="56">
        <f t="shared" si="4"/>
        <v>5.2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5">
      <c r="A126" s="279">
        <v>70</v>
      </c>
      <c r="B126" s="61">
        <f>218+19+20</f>
        <v>257</v>
      </c>
      <c r="C126" s="61">
        <v>6</v>
      </c>
      <c r="D126" s="61">
        <f>16+18</f>
        <v>34</v>
      </c>
      <c r="E126" s="54"/>
      <c r="F126" s="54"/>
      <c r="G126" s="54"/>
      <c r="H126" s="54"/>
      <c r="I126" s="56">
        <f t="shared" si="4"/>
        <v>4.8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5">
      <c r="A127" s="279">
        <v>75</v>
      </c>
      <c r="B127" s="61">
        <f>223+18</f>
        <v>241</v>
      </c>
      <c r="C127" s="61"/>
      <c r="D127" s="61"/>
      <c r="E127" s="54"/>
      <c r="F127" s="54"/>
      <c r="G127" s="54"/>
      <c r="H127" s="54"/>
      <c r="I127" s="56">
        <f t="shared" si="4"/>
        <v>3.6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5">
      <c r="A128" s="279">
        <v>80</v>
      </c>
      <c r="B128" s="61">
        <f>228+16+18</f>
        <v>262</v>
      </c>
      <c r="C128" s="53">
        <v>7</v>
      </c>
      <c r="D128" s="61">
        <f>16+18</f>
        <v>34</v>
      </c>
      <c r="E128" s="54"/>
      <c r="F128" s="54"/>
      <c r="G128" s="54"/>
      <c r="H128" s="54"/>
      <c r="I128" s="56">
        <f t="shared" si="4"/>
        <v>4.2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5">
      <c r="A129" s="279">
        <v>85</v>
      </c>
      <c r="B129" s="61">
        <f>232+15</f>
        <v>247</v>
      </c>
      <c r="C129" s="53"/>
      <c r="D129" s="61"/>
      <c r="E129" s="54"/>
      <c r="F129" s="54"/>
      <c r="G129" s="54"/>
      <c r="H129" s="54"/>
      <c r="I129" s="56">
        <f t="shared" si="4"/>
        <v>3.8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5">
      <c r="A130" s="279">
        <v>90</v>
      </c>
      <c r="B130" s="61">
        <f>236+14+15</f>
        <v>265</v>
      </c>
      <c r="C130" s="53">
        <v>8</v>
      </c>
      <c r="D130" s="61">
        <f>B130</f>
        <v>265</v>
      </c>
      <c r="E130" s="54"/>
      <c r="F130" s="54"/>
      <c r="G130" s="54"/>
      <c r="H130" s="54"/>
      <c r="I130" s="56">
        <f t="shared" si="4"/>
        <v>3.6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5">
      <c r="A131" s="279"/>
      <c r="B131" s="53"/>
      <c r="C131" s="53"/>
      <c r="D131" s="53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5">
      <c r="A132" s="279"/>
      <c r="B132" s="61"/>
      <c r="C132" s="61"/>
      <c r="D132" s="61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5">
      <c r="A133" s="279"/>
      <c r="B133" s="61"/>
      <c r="C133" s="61"/>
      <c r="D133" s="61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5">
      <c r="A136" s="49" t="s">
        <v>169</v>
      </c>
      <c r="B136" s="55" t="str">
        <f>IF(B13="","",B13)</f>
        <v>Alisier torminal</v>
      </c>
      <c r="D136" s="255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5">
      <c r="A137" s="49"/>
      <c r="B137" s="102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5">
      <c r="A138" s="5"/>
      <c r="B138" s="89" t="s">
        <v>185</v>
      </c>
      <c r="C138" s="290" t="s">
        <v>186</v>
      </c>
      <c r="D138" s="290"/>
      <c r="E138" s="291" t="s">
        <v>187</v>
      </c>
      <c r="F138" s="292"/>
      <c r="G138" s="292"/>
      <c r="H138" s="293"/>
      <c r="I138" s="101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5" x14ac:dyDescent="0.3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5">
      <c r="A140" s="53">
        <v>15</v>
      </c>
      <c r="B140" s="61">
        <f>36</f>
        <v>36</v>
      </c>
      <c r="C140" s="53"/>
      <c r="D140" s="61"/>
      <c r="E140" s="64"/>
      <c r="F140" s="64"/>
      <c r="G140" s="64"/>
      <c r="H140" s="64"/>
      <c r="I140" s="59">
        <f>IFERROR(B140/A140,"")</f>
        <v>2.4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5">
      <c r="A141" s="58">
        <v>20</v>
      </c>
      <c r="B141" s="61">
        <f>53+18</f>
        <v>71</v>
      </c>
      <c r="C141" s="61"/>
      <c r="D141" s="61"/>
      <c r="E141" s="64"/>
      <c r="F141" s="64"/>
      <c r="G141" s="64"/>
      <c r="H141" s="64"/>
      <c r="I141" s="59">
        <f t="shared" ref="I141:I159" si="5">IF(A141&lt;&gt;0,(B141-(B140-D140))/(A141-A140),"")</f>
        <v>7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5">
      <c r="A142" s="58">
        <v>25</v>
      </c>
      <c r="B142" s="61">
        <f>73+18+18</f>
        <v>109</v>
      </c>
      <c r="C142" s="61">
        <v>1</v>
      </c>
      <c r="D142" s="61">
        <f>18+18</f>
        <v>36</v>
      </c>
      <c r="E142" s="64"/>
      <c r="F142" s="64"/>
      <c r="G142" s="64"/>
      <c r="H142" s="64">
        <v>1</v>
      </c>
      <c r="I142" s="59">
        <f t="shared" si="5"/>
        <v>7.6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5">
      <c r="A143" s="58">
        <v>30</v>
      </c>
      <c r="B143" s="61">
        <f>93+21</f>
        <v>114</v>
      </c>
      <c r="C143" s="61"/>
      <c r="D143" s="61"/>
      <c r="E143" s="64"/>
      <c r="F143" s="64"/>
      <c r="G143" s="64"/>
      <c r="H143" s="64"/>
      <c r="I143" s="59">
        <f t="shared" si="5"/>
        <v>8.1999999999999993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5">
      <c r="A144" s="58">
        <v>35</v>
      </c>
      <c r="B144" s="61">
        <f>113+23+21</f>
        <v>157</v>
      </c>
      <c r="C144" s="61">
        <v>2</v>
      </c>
      <c r="D144" s="61">
        <f>23+21</f>
        <v>44</v>
      </c>
      <c r="E144" s="64"/>
      <c r="F144" s="64"/>
      <c r="G144" s="64"/>
      <c r="H144" s="64"/>
      <c r="I144" s="59">
        <f t="shared" si="5"/>
        <v>8.6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5">
      <c r="A145" s="58">
        <v>40</v>
      </c>
      <c r="B145" s="61">
        <f>132+25</f>
        <v>157</v>
      </c>
      <c r="C145" s="61"/>
      <c r="D145" s="61"/>
      <c r="E145" s="64"/>
      <c r="F145" s="64"/>
      <c r="G145" s="64"/>
      <c r="H145" s="64"/>
      <c r="I145" s="59">
        <f t="shared" si="5"/>
        <v>8.8000000000000007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5">
      <c r="A146" s="58">
        <v>45</v>
      </c>
      <c r="B146" s="61">
        <f>150+26+25</f>
        <v>201</v>
      </c>
      <c r="C146" s="61">
        <v>3</v>
      </c>
      <c r="D146" s="61">
        <f>26+25</f>
        <v>51</v>
      </c>
      <c r="E146" s="64"/>
      <c r="F146" s="64"/>
      <c r="G146" s="64"/>
      <c r="H146" s="64"/>
      <c r="I146" s="59">
        <f t="shared" si="5"/>
        <v>8.8000000000000007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5">
      <c r="A147" s="58">
        <v>50</v>
      </c>
      <c r="B147" s="61">
        <f>167+27</f>
        <v>194</v>
      </c>
      <c r="C147" s="61"/>
      <c r="D147" s="61"/>
      <c r="E147" s="64"/>
      <c r="F147" s="64"/>
      <c r="G147" s="64"/>
      <c r="H147" s="64"/>
      <c r="I147" s="59">
        <f>IF(A147&lt;&gt;0,(B147-(B146-D146))/(A147-A146),"")</f>
        <v>8.8000000000000007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5">
      <c r="A148" s="58">
        <v>55</v>
      </c>
      <c r="B148" s="61">
        <f>183+27+27</f>
        <v>237</v>
      </c>
      <c r="C148" s="61">
        <v>4</v>
      </c>
      <c r="D148" s="61">
        <f>27+27</f>
        <v>54</v>
      </c>
      <c r="E148" s="64"/>
      <c r="F148" s="64"/>
      <c r="G148" s="64"/>
      <c r="H148" s="64"/>
      <c r="I148" s="59">
        <f t="shared" si="5"/>
        <v>8.6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5">
      <c r="A149" s="279">
        <v>60</v>
      </c>
      <c r="B149" s="61">
        <f>197+27</f>
        <v>224</v>
      </c>
      <c r="C149" s="61"/>
      <c r="D149" s="61"/>
      <c r="E149" s="54"/>
      <c r="F149" s="54"/>
      <c r="G149" s="54"/>
      <c r="H149" s="54"/>
      <c r="I149" s="59">
        <f t="shared" si="5"/>
        <v>8.1999999999999993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5">
      <c r="A150" s="279">
        <v>65</v>
      </c>
      <c r="B150" s="61">
        <f>211+27+27</f>
        <v>265</v>
      </c>
      <c r="C150" s="61">
        <v>5</v>
      </c>
      <c r="D150" s="61">
        <f>27+27</f>
        <v>54</v>
      </c>
      <c r="E150" s="54"/>
      <c r="F150" s="54"/>
      <c r="G150" s="54"/>
      <c r="H150" s="54"/>
      <c r="I150" s="59">
        <f t="shared" si="5"/>
        <v>8.1999999999999993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5">
      <c r="A151" s="53">
        <v>70</v>
      </c>
      <c r="B151" s="61">
        <f>223+26</f>
        <v>249</v>
      </c>
      <c r="C151" s="61"/>
      <c r="D151" s="61"/>
      <c r="E151" s="54"/>
      <c r="F151" s="54"/>
      <c r="G151" s="54"/>
      <c r="H151" s="54"/>
      <c r="I151" s="59">
        <f t="shared" si="5"/>
        <v>7.6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5">
      <c r="A152" s="53">
        <v>75</v>
      </c>
      <c r="B152" s="61">
        <f>235+26+26</f>
        <v>287</v>
      </c>
      <c r="C152" s="61">
        <v>6</v>
      </c>
      <c r="D152" s="61">
        <f>26+26</f>
        <v>52</v>
      </c>
      <c r="E152" s="57"/>
      <c r="F152" s="57"/>
      <c r="G152" s="57"/>
      <c r="H152" s="57"/>
      <c r="I152" s="59">
        <f t="shared" si="5"/>
        <v>7.6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5">
      <c r="A153" s="53">
        <v>80</v>
      </c>
      <c r="B153" s="61">
        <f>245+25</f>
        <v>270</v>
      </c>
      <c r="C153" s="61"/>
      <c r="D153" s="61"/>
      <c r="E153" s="57"/>
      <c r="F153" s="57"/>
      <c r="G153" s="57"/>
      <c r="H153" s="57"/>
      <c r="I153" s="59">
        <f t="shared" si="5"/>
        <v>7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5">
      <c r="A154" s="58">
        <v>85</v>
      </c>
      <c r="B154" s="61">
        <f>255+24+25</f>
        <v>304</v>
      </c>
      <c r="C154" s="61">
        <v>7</v>
      </c>
      <c r="D154" s="61">
        <f>24+25</f>
        <v>49</v>
      </c>
      <c r="E154" s="57"/>
      <c r="F154" s="57"/>
      <c r="G154" s="57"/>
      <c r="H154" s="57"/>
      <c r="I154" s="59">
        <f t="shared" si="5"/>
        <v>6.8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5">
      <c r="A155" s="58">
        <v>90</v>
      </c>
      <c r="B155" s="61">
        <f>263+23</f>
        <v>286</v>
      </c>
      <c r="C155" s="61"/>
      <c r="D155" s="61"/>
      <c r="E155" s="57"/>
      <c r="F155" s="57"/>
      <c r="G155" s="57"/>
      <c r="H155" s="57"/>
      <c r="I155" s="59">
        <f t="shared" si="5"/>
        <v>6.2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5">
      <c r="A156" s="58">
        <v>95</v>
      </c>
      <c r="B156" s="61">
        <f>271+22+23</f>
        <v>316</v>
      </c>
      <c r="C156" s="61">
        <v>8</v>
      </c>
      <c r="D156" s="61">
        <f>22+23</f>
        <v>45</v>
      </c>
      <c r="E156" s="57"/>
      <c r="F156" s="57"/>
      <c r="G156" s="57"/>
      <c r="H156" s="57"/>
      <c r="I156" s="59">
        <f t="shared" si="5"/>
        <v>6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5">
      <c r="A157" s="58">
        <v>105</v>
      </c>
      <c r="B157" s="61">
        <f>285+20+21</f>
        <v>326</v>
      </c>
      <c r="C157" s="61">
        <v>9</v>
      </c>
      <c r="D157" s="61">
        <f>20+21</f>
        <v>41</v>
      </c>
      <c r="E157" s="57"/>
      <c r="F157" s="57"/>
      <c r="G157" s="57"/>
      <c r="H157" s="57"/>
      <c r="I157" s="59">
        <f t="shared" si="5"/>
        <v>5.5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5">
      <c r="A158" s="58">
        <v>115</v>
      </c>
      <c r="B158" s="61">
        <f>296+19+20</f>
        <v>335</v>
      </c>
      <c r="C158" s="61">
        <v>10</v>
      </c>
      <c r="D158" s="61">
        <f>19+20</f>
        <v>39</v>
      </c>
      <c r="E158" s="57"/>
      <c r="F158" s="57"/>
      <c r="G158" s="57"/>
      <c r="H158" s="57"/>
      <c r="I158" s="59">
        <f t="shared" si="5"/>
        <v>5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5">
      <c r="A159" s="58">
        <v>120</v>
      </c>
      <c r="B159" s="61">
        <f>300+18</f>
        <v>318</v>
      </c>
      <c r="C159" s="61">
        <v>11</v>
      </c>
      <c r="D159" s="61">
        <f>B159</f>
        <v>318</v>
      </c>
      <c r="E159" s="57"/>
      <c r="F159" s="57"/>
      <c r="G159" s="57"/>
      <c r="H159" s="57"/>
      <c r="I159" s="59">
        <f t="shared" si="5"/>
        <v>4.4000000000000004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5">
      <c r="A162" s="49" t="s">
        <v>170</v>
      </c>
      <c r="B162" s="55" t="str">
        <f>IF(B14="","",B14)</f>
        <v>Cormier</v>
      </c>
      <c r="D162" s="255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5">
      <c r="A163" s="49"/>
      <c r="B163" s="102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5">
      <c r="A164" s="5"/>
      <c r="B164" s="89" t="s">
        <v>185</v>
      </c>
      <c r="C164" s="290" t="s">
        <v>186</v>
      </c>
      <c r="D164" s="290"/>
      <c r="E164" s="291" t="s">
        <v>187</v>
      </c>
      <c r="F164" s="292"/>
      <c r="G164" s="292"/>
      <c r="H164" s="293"/>
      <c r="I164" s="101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5" x14ac:dyDescent="0.3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5">
      <c r="A166" s="53">
        <v>15</v>
      </c>
      <c r="B166" s="61">
        <f>36</f>
        <v>36</v>
      </c>
      <c r="C166" s="53"/>
      <c r="D166" s="61"/>
      <c r="E166" s="64"/>
      <c r="F166" s="64"/>
      <c r="G166" s="64"/>
      <c r="H166" s="64"/>
      <c r="I166" s="52">
        <f>IFERROR(B166/A166,"")</f>
        <v>2.4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5">
      <c r="A167" s="58">
        <v>20</v>
      </c>
      <c r="B167" s="61">
        <f>53+18</f>
        <v>71</v>
      </c>
      <c r="C167" s="61"/>
      <c r="D167" s="61"/>
      <c r="E167" s="64"/>
      <c r="F167" s="64"/>
      <c r="G167" s="64"/>
      <c r="H167" s="64"/>
      <c r="I167" s="52">
        <f t="shared" ref="I167:I185" si="6">IF(A167&lt;&gt;0,(B167-(B166-D166))/(A167-A166),"")</f>
        <v>7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5">
      <c r="A168" s="58">
        <v>25</v>
      </c>
      <c r="B168" s="61">
        <f>73+18+18</f>
        <v>109</v>
      </c>
      <c r="C168" s="61">
        <v>1</v>
      </c>
      <c r="D168" s="61">
        <f>18+18</f>
        <v>36</v>
      </c>
      <c r="E168" s="64"/>
      <c r="F168" s="64"/>
      <c r="G168" s="64"/>
      <c r="H168" s="64">
        <v>1</v>
      </c>
      <c r="I168" s="52">
        <f t="shared" si="6"/>
        <v>7.6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5">
      <c r="A169" s="58">
        <v>30</v>
      </c>
      <c r="B169" s="61">
        <f>93+21</f>
        <v>114</v>
      </c>
      <c r="C169" s="61"/>
      <c r="D169" s="61"/>
      <c r="E169" s="64"/>
      <c r="F169" s="64"/>
      <c r="G169" s="64"/>
      <c r="H169" s="64"/>
      <c r="I169" s="52">
        <f t="shared" si="6"/>
        <v>8.1999999999999993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5">
      <c r="A170" s="58">
        <v>35</v>
      </c>
      <c r="B170" s="61">
        <f>113+23+21</f>
        <v>157</v>
      </c>
      <c r="C170" s="61">
        <v>2</v>
      </c>
      <c r="D170" s="61">
        <f>23+21</f>
        <v>44</v>
      </c>
      <c r="E170" s="64"/>
      <c r="F170" s="64"/>
      <c r="G170" s="64"/>
      <c r="H170" s="64"/>
      <c r="I170" s="52">
        <f t="shared" si="6"/>
        <v>8.6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5">
      <c r="A171" s="58">
        <v>40</v>
      </c>
      <c r="B171" s="61">
        <f>132+25</f>
        <v>157</v>
      </c>
      <c r="C171" s="61"/>
      <c r="D171" s="61"/>
      <c r="E171" s="64"/>
      <c r="F171" s="64"/>
      <c r="G171" s="64"/>
      <c r="H171" s="64"/>
      <c r="I171" s="52">
        <f t="shared" si="6"/>
        <v>8.8000000000000007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5">
      <c r="A172" s="58">
        <v>45</v>
      </c>
      <c r="B172" s="61">
        <f>150+26+25</f>
        <v>201</v>
      </c>
      <c r="C172" s="61">
        <v>3</v>
      </c>
      <c r="D172" s="61">
        <f>26+25</f>
        <v>51</v>
      </c>
      <c r="E172" s="64"/>
      <c r="F172" s="64"/>
      <c r="G172" s="64"/>
      <c r="H172" s="64"/>
      <c r="I172" s="52">
        <f t="shared" si="6"/>
        <v>8.8000000000000007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5">
      <c r="A173" s="58">
        <v>50</v>
      </c>
      <c r="B173" s="61">
        <f>167+27</f>
        <v>194</v>
      </c>
      <c r="C173" s="61"/>
      <c r="D173" s="61"/>
      <c r="E173" s="64"/>
      <c r="F173" s="64"/>
      <c r="G173" s="64"/>
      <c r="H173" s="64"/>
      <c r="I173" s="52">
        <f t="shared" si="6"/>
        <v>8.8000000000000007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5">
      <c r="A174" s="58">
        <v>55</v>
      </c>
      <c r="B174" s="61">
        <f>183+27+27</f>
        <v>237</v>
      </c>
      <c r="C174" s="61">
        <v>4</v>
      </c>
      <c r="D174" s="61">
        <f>27+27</f>
        <v>54</v>
      </c>
      <c r="E174" s="64"/>
      <c r="F174" s="64"/>
      <c r="G174" s="64"/>
      <c r="H174" s="64"/>
      <c r="I174" s="52">
        <f t="shared" si="6"/>
        <v>8.6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5">
      <c r="A175" s="279">
        <v>60</v>
      </c>
      <c r="B175" s="61">
        <f>197+27</f>
        <v>224</v>
      </c>
      <c r="C175" s="61"/>
      <c r="D175" s="61"/>
      <c r="E175" s="54"/>
      <c r="F175" s="54"/>
      <c r="G175" s="54"/>
      <c r="H175" s="54"/>
      <c r="I175" s="52">
        <f t="shared" si="6"/>
        <v>8.1999999999999993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5">
      <c r="A176" s="279">
        <v>65</v>
      </c>
      <c r="B176" s="61">
        <f>211+27+27</f>
        <v>265</v>
      </c>
      <c r="C176" s="61">
        <v>5</v>
      </c>
      <c r="D176" s="61">
        <f>27+27</f>
        <v>54</v>
      </c>
      <c r="E176" s="54"/>
      <c r="F176" s="54"/>
      <c r="G176" s="54"/>
      <c r="H176" s="54"/>
      <c r="I176" s="52">
        <f t="shared" si="6"/>
        <v>8.1999999999999993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5">
      <c r="A177" s="53">
        <v>70</v>
      </c>
      <c r="B177" s="61">
        <f>223+26</f>
        <v>249</v>
      </c>
      <c r="C177" s="61"/>
      <c r="D177" s="61"/>
      <c r="E177" s="54"/>
      <c r="F177" s="54"/>
      <c r="G177" s="54"/>
      <c r="H177" s="54"/>
      <c r="I177" s="52">
        <f t="shared" si="6"/>
        <v>7.6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5">
      <c r="A178" s="53">
        <v>75</v>
      </c>
      <c r="B178" s="61">
        <f>235+26+26</f>
        <v>287</v>
      </c>
      <c r="C178" s="61">
        <v>6</v>
      </c>
      <c r="D178" s="61">
        <f>26+26</f>
        <v>52</v>
      </c>
      <c r="E178" s="57"/>
      <c r="F178" s="57"/>
      <c r="G178" s="57"/>
      <c r="H178" s="57"/>
      <c r="I178" s="52">
        <f t="shared" si="6"/>
        <v>7.6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5">
      <c r="A179" s="53">
        <v>80</v>
      </c>
      <c r="B179" s="61">
        <f>245+25</f>
        <v>270</v>
      </c>
      <c r="C179" s="61"/>
      <c r="D179" s="61"/>
      <c r="E179" s="57"/>
      <c r="F179" s="57"/>
      <c r="G179" s="57"/>
      <c r="H179" s="57"/>
      <c r="I179" s="52">
        <f t="shared" si="6"/>
        <v>7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5">
      <c r="A180" s="58">
        <v>85</v>
      </c>
      <c r="B180" s="61">
        <f>255+24+25</f>
        <v>304</v>
      </c>
      <c r="C180" s="61">
        <v>7</v>
      </c>
      <c r="D180" s="61">
        <f>24+25</f>
        <v>49</v>
      </c>
      <c r="E180" s="57"/>
      <c r="F180" s="57"/>
      <c r="G180" s="57"/>
      <c r="H180" s="57"/>
      <c r="I180" s="52">
        <f t="shared" si="6"/>
        <v>6.8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5">
      <c r="A181" s="58">
        <v>90</v>
      </c>
      <c r="B181" s="61">
        <f>263+23</f>
        <v>286</v>
      </c>
      <c r="C181" s="61"/>
      <c r="D181" s="61"/>
      <c r="E181" s="57"/>
      <c r="F181" s="57"/>
      <c r="G181" s="57"/>
      <c r="H181" s="57"/>
      <c r="I181" s="52">
        <f t="shared" si="6"/>
        <v>6.2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5">
      <c r="A182" s="58">
        <v>95</v>
      </c>
      <c r="B182" s="61">
        <f>271+22+23</f>
        <v>316</v>
      </c>
      <c r="C182" s="61">
        <v>8</v>
      </c>
      <c r="D182" s="61">
        <f>22+23</f>
        <v>45</v>
      </c>
      <c r="E182" s="57"/>
      <c r="F182" s="57"/>
      <c r="G182" s="57"/>
      <c r="H182" s="57"/>
      <c r="I182" s="52">
        <f t="shared" si="6"/>
        <v>6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5">
      <c r="A183" s="58">
        <v>105</v>
      </c>
      <c r="B183" s="61">
        <f>285+20+21</f>
        <v>326</v>
      </c>
      <c r="C183" s="61">
        <v>9</v>
      </c>
      <c r="D183" s="61">
        <f>20+21</f>
        <v>41</v>
      </c>
      <c r="E183" s="57"/>
      <c r="F183" s="57"/>
      <c r="G183" s="57"/>
      <c r="H183" s="57"/>
      <c r="I183" s="52">
        <f t="shared" si="6"/>
        <v>5.5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5">
      <c r="A184" s="58">
        <v>115</v>
      </c>
      <c r="B184" s="61">
        <f>296+19+20</f>
        <v>335</v>
      </c>
      <c r="C184" s="61">
        <v>10</v>
      </c>
      <c r="D184" s="61">
        <f>19+20</f>
        <v>39</v>
      </c>
      <c r="E184" s="57"/>
      <c r="F184" s="57"/>
      <c r="G184" s="57"/>
      <c r="H184" s="57"/>
      <c r="I184" s="52">
        <f t="shared" si="6"/>
        <v>5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5">
      <c r="A185" s="58">
        <v>120</v>
      </c>
      <c r="B185" s="61">
        <f>300+18</f>
        <v>318</v>
      </c>
      <c r="C185" s="61">
        <v>11</v>
      </c>
      <c r="D185" s="61">
        <f>B185</f>
        <v>318</v>
      </c>
      <c r="E185" s="57"/>
      <c r="F185" s="57"/>
      <c r="G185" s="57"/>
      <c r="H185" s="57"/>
      <c r="I185" s="52">
        <f t="shared" si="6"/>
        <v>4.4000000000000004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5">
      <c r="A188" s="49" t="s">
        <v>171</v>
      </c>
      <c r="B188" s="55" t="str">
        <f>IF(B15="","",B15)</f>
        <v>Orme</v>
      </c>
      <c r="D188" s="255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5">
      <c r="A189" s="49"/>
      <c r="B189" s="102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5">
      <c r="A190" s="5"/>
      <c r="B190" s="89" t="s">
        <v>185</v>
      </c>
      <c r="C190" s="290" t="s">
        <v>186</v>
      </c>
      <c r="D190" s="290"/>
      <c r="E190" s="291" t="s">
        <v>187</v>
      </c>
      <c r="F190" s="292"/>
      <c r="G190" s="292"/>
      <c r="H190" s="293"/>
      <c r="I190" s="101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5" x14ac:dyDescent="0.3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5">
      <c r="A192" s="53">
        <v>20</v>
      </c>
      <c r="B192" s="61">
        <f>32+0</f>
        <v>32</v>
      </c>
      <c r="C192" s="53"/>
      <c r="D192" s="61"/>
      <c r="E192" s="54"/>
      <c r="F192" s="54"/>
      <c r="G192" s="54"/>
      <c r="H192" s="54"/>
      <c r="I192" s="52">
        <f>IFERROR(B192/A192,"")</f>
        <v>1.6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5">
      <c r="A193" s="53">
        <v>25</v>
      </c>
      <c r="B193" s="61">
        <f>76</f>
        <v>76</v>
      </c>
      <c r="C193" s="53"/>
      <c r="D193" s="61"/>
      <c r="E193" s="54"/>
      <c r="F193" s="54"/>
      <c r="G193" s="54"/>
      <c r="H193" s="54"/>
      <c r="I193" s="52">
        <f t="shared" ref="I193:I211" si="7">IF(A193&lt;&gt;0,(B193-(B192-D192))/(A193-A192),"")</f>
        <v>8.8000000000000007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5">
      <c r="A194" s="288">
        <v>30</v>
      </c>
      <c r="B194" s="61">
        <f>116+28</f>
        <v>144</v>
      </c>
      <c r="C194" s="53">
        <v>1</v>
      </c>
      <c r="D194" s="61">
        <v>35</v>
      </c>
      <c r="E194" s="54"/>
      <c r="F194" s="54"/>
      <c r="G194" s="54"/>
      <c r="H194" s="54">
        <v>1</v>
      </c>
      <c r="I194" s="52">
        <f t="shared" si="7"/>
        <v>13.6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5">
      <c r="A195" s="53">
        <v>35</v>
      </c>
      <c r="B195" s="61">
        <f>139</f>
        <v>139</v>
      </c>
      <c r="C195" s="53"/>
      <c r="D195" s="61"/>
      <c r="E195" s="54"/>
      <c r="F195" s="54"/>
      <c r="G195" s="54"/>
      <c r="H195" s="54"/>
      <c r="I195" s="52">
        <f t="shared" si="7"/>
        <v>6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5">
      <c r="A196" s="53">
        <v>40</v>
      </c>
      <c r="B196" s="61">
        <f>164+28</f>
        <v>192</v>
      </c>
      <c r="C196" s="53">
        <v>2</v>
      </c>
      <c r="D196" s="61">
        <v>56</v>
      </c>
      <c r="E196" s="54"/>
      <c r="F196" s="54"/>
      <c r="G196" s="54"/>
      <c r="H196" s="54"/>
      <c r="I196" s="52">
        <f t="shared" si="7"/>
        <v>10.6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5">
      <c r="A197" s="288">
        <v>45</v>
      </c>
      <c r="B197" s="61">
        <f>190</f>
        <v>190</v>
      </c>
      <c r="C197" s="53"/>
      <c r="D197" s="61"/>
      <c r="E197" s="54"/>
      <c r="F197" s="54"/>
      <c r="G197" s="54"/>
      <c r="H197" s="54"/>
      <c r="I197" s="52">
        <f t="shared" si="7"/>
        <v>10.8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5">
      <c r="A198" s="53">
        <v>50</v>
      </c>
      <c r="B198" s="61">
        <f>217+28</f>
        <v>245</v>
      </c>
      <c r="C198" s="53">
        <v>3</v>
      </c>
      <c r="D198" s="61">
        <v>56</v>
      </c>
      <c r="E198" s="54"/>
      <c r="F198" s="54"/>
      <c r="G198" s="54"/>
      <c r="H198" s="54"/>
      <c r="I198" s="52">
        <f t="shared" si="7"/>
        <v>11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5">
      <c r="A199" s="53">
        <v>55</v>
      </c>
      <c r="B199" s="61">
        <f>244</f>
        <v>244</v>
      </c>
      <c r="C199" s="53"/>
      <c r="D199" s="61"/>
      <c r="E199" s="54"/>
      <c r="F199" s="54"/>
      <c r="G199" s="54"/>
      <c r="H199" s="54"/>
      <c r="I199" s="52">
        <f t="shared" si="7"/>
        <v>11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5">
      <c r="A200" s="288">
        <v>60</v>
      </c>
      <c r="B200" s="61">
        <f>270+28</f>
        <v>298</v>
      </c>
      <c r="C200" s="53">
        <v>4</v>
      </c>
      <c r="D200" s="61">
        <v>56</v>
      </c>
      <c r="E200" s="54"/>
      <c r="F200" s="54"/>
      <c r="G200" s="54"/>
      <c r="H200" s="54"/>
      <c r="I200" s="52">
        <f t="shared" si="7"/>
        <v>10.8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5">
      <c r="A201" s="53">
        <v>65</v>
      </c>
      <c r="B201" s="61">
        <f>294</f>
        <v>294</v>
      </c>
      <c r="C201" s="53"/>
      <c r="D201" s="61"/>
      <c r="E201" s="54"/>
      <c r="F201" s="54"/>
      <c r="G201" s="54"/>
      <c r="H201" s="54"/>
      <c r="I201" s="52">
        <f t="shared" si="7"/>
        <v>10.4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5">
      <c r="A202" s="53">
        <v>70</v>
      </c>
      <c r="B202" s="61">
        <f>316+28</f>
        <v>344</v>
      </c>
      <c r="C202" s="53">
        <v>5</v>
      </c>
      <c r="D202" s="61">
        <v>56</v>
      </c>
      <c r="E202" s="54"/>
      <c r="F202" s="54"/>
      <c r="G202" s="54"/>
      <c r="H202" s="54"/>
      <c r="I202" s="52">
        <f t="shared" si="7"/>
        <v>10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5">
      <c r="A203" s="288">
        <v>75</v>
      </c>
      <c r="B203" s="61">
        <f>335</f>
        <v>335</v>
      </c>
      <c r="C203" s="53"/>
      <c r="D203" s="61"/>
      <c r="E203" s="54"/>
      <c r="F203" s="54"/>
      <c r="G203" s="54"/>
      <c r="H203" s="54"/>
      <c r="I203" s="52">
        <f t="shared" si="7"/>
        <v>9.4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5">
      <c r="A204" s="53">
        <v>80</v>
      </c>
      <c r="B204" s="61">
        <f>351+28</f>
        <v>379</v>
      </c>
      <c r="C204" s="53">
        <v>6</v>
      </c>
      <c r="D204" s="61">
        <v>56</v>
      </c>
      <c r="E204" s="57"/>
      <c r="F204" s="57"/>
      <c r="G204" s="57"/>
      <c r="H204" s="57"/>
      <c r="I204" s="52">
        <f t="shared" si="7"/>
        <v>8.8000000000000007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5">
      <c r="A205" s="53">
        <v>90</v>
      </c>
      <c r="B205" s="61">
        <f>377+26</f>
        <v>403</v>
      </c>
      <c r="C205" s="61">
        <v>7</v>
      </c>
      <c r="D205" s="61">
        <v>53</v>
      </c>
      <c r="E205" s="66"/>
      <c r="F205" s="66"/>
      <c r="G205" s="66"/>
      <c r="H205" s="66"/>
      <c r="I205" s="52">
        <f t="shared" si="7"/>
        <v>8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5">
      <c r="A206" s="53">
        <v>100</v>
      </c>
      <c r="B206" s="61">
        <f>400+24</f>
        <v>424</v>
      </c>
      <c r="C206" s="61">
        <v>8</v>
      </c>
      <c r="D206" s="53">
        <v>49</v>
      </c>
      <c r="E206" s="57"/>
      <c r="F206" s="57"/>
      <c r="G206" s="57"/>
      <c r="H206" s="57"/>
      <c r="I206" s="52">
        <f t="shared" si="7"/>
        <v>7.4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5">
      <c r="A207" s="53">
        <v>110</v>
      </c>
      <c r="B207" s="61">
        <f>418+22</f>
        <v>440</v>
      </c>
      <c r="C207" s="53">
        <v>9</v>
      </c>
      <c r="D207" s="53">
        <v>45</v>
      </c>
      <c r="E207" s="54"/>
      <c r="F207" s="54"/>
      <c r="G207" s="54"/>
      <c r="H207" s="54"/>
      <c r="I207" s="52">
        <f t="shared" si="7"/>
        <v>6.5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5">
      <c r="A208" s="53">
        <v>120</v>
      </c>
      <c r="B208" s="61">
        <f>432+21</f>
        <v>453</v>
      </c>
      <c r="C208" s="53">
        <v>10</v>
      </c>
      <c r="D208" s="53">
        <v>43</v>
      </c>
      <c r="E208" s="54"/>
      <c r="F208" s="54"/>
      <c r="G208" s="54"/>
      <c r="H208" s="54"/>
      <c r="I208" s="52">
        <f t="shared" si="7"/>
        <v>5.8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5">
      <c r="A209" s="53">
        <v>130</v>
      </c>
      <c r="B209" s="61">
        <f>440+20</f>
        <v>460</v>
      </c>
      <c r="C209" s="53">
        <v>11</v>
      </c>
      <c r="D209" s="53">
        <v>41</v>
      </c>
      <c r="E209" s="54"/>
      <c r="F209" s="54"/>
      <c r="G209" s="54"/>
      <c r="H209" s="54"/>
      <c r="I209" s="52">
        <f t="shared" si="7"/>
        <v>5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5">
      <c r="A210" s="53">
        <v>140</v>
      </c>
      <c r="B210" s="61">
        <f>446+19</f>
        <v>465</v>
      </c>
      <c r="C210" s="53">
        <v>12</v>
      </c>
      <c r="D210" s="53">
        <v>39</v>
      </c>
      <c r="E210" s="54"/>
      <c r="F210" s="54"/>
      <c r="G210" s="54"/>
      <c r="H210" s="54"/>
      <c r="I210" s="52">
        <f t="shared" si="7"/>
        <v>4.5999999999999996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5">
      <c r="A211" s="53">
        <v>150</v>
      </c>
      <c r="B211" s="61">
        <f>448+19</f>
        <v>467</v>
      </c>
      <c r="C211" s="53">
        <v>13</v>
      </c>
      <c r="D211" s="53">
        <v>467</v>
      </c>
      <c r="E211" s="54"/>
      <c r="F211" s="54"/>
      <c r="G211" s="54"/>
      <c r="H211" s="54"/>
      <c r="I211" s="52">
        <f t="shared" si="7"/>
        <v>4.0999999999999996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5">
      <c r="A214" s="49" t="s">
        <v>172</v>
      </c>
      <c r="B214" s="55" t="str">
        <f>IF(B16="","",B16)</f>
        <v/>
      </c>
      <c r="D214" s="255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5">
      <c r="A215" s="49"/>
      <c r="B215" s="102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5">
      <c r="A216" s="5"/>
      <c r="B216" s="89" t="s">
        <v>185</v>
      </c>
      <c r="C216" s="290" t="s">
        <v>186</v>
      </c>
      <c r="D216" s="290"/>
      <c r="E216" s="291" t="s">
        <v>187</v>
      </c>
      <c r="F216" s="292"/>
      <c r="G216" s="292"/>
      <c r="H216" s="293"/>
      <c r="I216" s="101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5" x14ac:dyDescent="0.3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5">
      <c r="A218" s="53"/>
      <c r="B218" s="61"/>
      <c r="C218" s="61"/>
      <c r="D218" s="61"/>
      <c r="E218" s="54"/>
      <c r="F218" s="54"/>
      <c r="G218" s="54"/>
      <c r="H218" s="5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5">
      <c r="A219" s="53"/>
      <c r="B219" s="61"/>
      <c r="C219" s="61"/>
      <c r="D219" s="61"/>
      <c r="E219" s="54"/>
      <c r="F219" s="54"/>
      <c r="G219" s="54"/>
      <c r="H219" s="5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5">
      <c r="A220" s="53"/>
      <c r="B220" s="61"/>
      <c r="C220" s="61"/>
      <c r="D220" s="61"/>
      <c r="E220" s="54"/>
      <c r="F220" s="54"/>
      <c r="G220" s="54"/>
      <c r="H220" s="5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5">
      <c r="A221" s="53"/>
      <c r="B221" s="61"/>
      <c r="C221" s="61"/>
      <c r="D221" s="61"/>
      <c r="E221" s="54"/>
      <c r="F221" s="54"/>
      <c r="G221" s="54"/>
      <c r="H221" s="5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5">
      <c r="A222" s="53"/>
      <c r="B222" s="61"/>
      <c r="C222" s="61"/>
      <c r="D222" s="61"/>
      <c r="E222" s="54"/>
      <c r="F222" s="54"/>
      <c r="G222" s="54"/>
      <c r="H222" s="5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5">
      <c r="A223" s="53"/>
      <c r="B223" s="61"/>
      <c r="C223" s="61"/>
      <c r="D223" s="61"/>
      <c r="E223" s="54"/>
      <c r="F223" s="54"/>
      <c r="G223" s="54"/>
      <c r="H223" s="5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5">
      <c r="A224" s="53"/>
      <c r="B224" s="61"/>
      <c r="C224" s="61"/>
      <c r="D224" s="61"/>
      <c r="E224" s="54"/>
      <c r="F224" s="54"/>
      <c r="G224" s="54"/>
      <c r="H224" s="5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5">
      <c r="A225" s="279"/>
      <c r="B225" s="61"/>
      <c r="C225" s="61"/>
      <c r="D225" s="61"/>
      <c r="E225" s="54"/>
      <c r="F225" s="54"/>
      <c r="G225" s="54"/>
      <c r="H225" s="5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5">
      <c r="A226" s="279"/>
      <c r="B226" s="61"/>
      <c r="C226" s="61"/>
      <c r="D226" s="61"/>
      <c r="E226" s="54"/>
      <c r="F226" s="54"/>
      <c r="G226" s="54"/>
      <c r="H226" s="5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5">
      <c r="A227" s="279"/>
      <c r="B227" s="61"/>
      <c r="C227" s="61"/>
      <c r="D227" s="61"/>
      <c r="E227" s="54"/>
      <c r="F227" s="54"/>
      <c r="G227" s="54"/>
      <c r="H227" s="5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5">
      <c r="A228" s="279"/>
      <c r="B228" s="61"/>
      <c r="C228" s="61"/>
      <c r="D228" s="61"/>
      <c r="E228" s="54"/>
      <c r="F228" s="54"/>
      <c r="G228" s="54"/>
      <c r="H228" s="5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5">
      <c r="A229" s="279"/>
      <c r="B229" s="61"/>
      <c r="C229" s="61"/>
      <c r="D229" s="61"/>
      <c r="E229" s="54"/>
      <c r="F229" s="54"/>
      <c r="G229" s="54"/>
      <c r="H229" s="5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5">
      <c r="A230" s="279"/>
      <c r="B230" s="61"/>
      <c r="C230" s="61"/>
      <c r="D230" s="61"/>
      <c r="E230" s="54"/>
      <c r="F230" s="54"/>
      <c r="G230" s="54"/>
      <c r="H230" s="54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5">
      <c r="A231" s="279"/>
      <c r="B231" s="61"/>
      <c r="C231" s="61"/>
      <c r="D231" s="61"/>
      <c r="E231" s="54"/>
      <c r="F231" s="54"/>
      <c r="G231" s="54"/>
      <c r="H231" s="54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5">
      <c r="A232" s="279"/>
      <c r="B232" s="61"/>
      <c r="C232" s="61"/>
      <c r="D232" s="61"/>
      <c r="E232" s="54"/>
      <c r="F232" s="54"/>
      <c r="G232" s="54"/>
      <c r="H232" s="54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5">
      <c r="A233" s="279"/>
      <c r="B233" s="61"/>
      <c r="C233" s="61"/>
      <c r="D233" s="61"/>
      <c r="E233" s="54"/>
      <c r="F233" s="54"/>
      <c r="G233" s="54"/>
      <c r="H233" s="54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5">
      <c r="A234" s="279"/>
      <c r="B234" s="61"/>
      <c r="C234" s="61"/>
      <c r="D234" s="61"/>
      <c r="E234" s="54"/>
      <c r="F234" s="54"/>
      <c r="G234" s="54"/>
      <c r="H234" s="54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5">
      <c r="A235" s="279"/>
      <c r="B235" s="61"/>
      <c r="C235" s="61"/>
      <c r="D235" s="61"/>
      <c r="E235" s="54"/>
      <c r="F235" s="54"/>
      <c r="G235" s="54"/>
      <c r="H235" s="54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5">
      <c r="A236" s="279"/>
      <c r="B236" s="61"/>
      <c r="C236" s="61"/>
      <c r="D236" s="61"/>
      <c r="E236" s="54"/>
      <c r="F236" s="54"/>
      <c r="G236" s="54"/>
      <c r="H236" s="54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5">
      <c r="A237" s="279"/>
      <c r="B237" s="61"/>
      <c r="C237" s="61"/>
      <c r="D237" s="61"/>
      <c r="E237" s="54"/>
      <c r="F237" s="54"/>
      <c r="G237" s="54"/>
      <c r="H237" s="54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5">
      <c r="A240" s="49" t="s">
        <v>173</v>
      </c>
      <c r="B240" s="55" t="str">
        <f>IF(B17="","",B17)</f>
        <v/>
      </c>
      <c r="D240" s="255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5">
      <c r="A241" s="49"/>
      <c r="B241" s="102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5">
      <c r="A242" s="5"/>
      <c r="B242" s="89" t="s">
        <v>185</v>
      </c>
      <c r="C242" s="290" t="s">
        <v>186</v>
      </c>
      <c r="D242" s="290"/>
      <c r="E242" s="291" t="s">
        <v>187</v>
      </c>
      <c r="F242" s="292"/>
      <c r="G242" s="292"/>
      <c r="H242" s="293"/>
      <c r="I242" s="101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5" x14ac:dyDescent="0.3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5">
      <c r="A244" s="53"/>
      <c r="B244" s="61"/>
      <c r="C244" s="61"/>
      <c r="D244" s="61"/>
      <c r="E244" s="54"/>
      <c r="F244" s="54"/>
      <c r="G244" s="54"/>
      <c r="H244" s="5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5">
      <c r="A245" s="53"/>
      <c r="B245" s="61"/>
      <c r="C245" s="61"/>
      <c r="D245" s="61"/>
      <c r="E245" s="54"/>
      <c r="F245" s="54"/>
      <c r="G245" s="54"/>
      <c r="H245" s="5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5">
      <c r="A246" s="53"/>
      <c r="B246" s="61"/>
      <c r="C246" s="61"/>
      <c r="D246" s="61"/>
      <c r="E246" s="54"/>
      <c r="F246" s="54"/>
      <c r="G246" s="54"/>
      <c r="H246" s="5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5">
      <c r="A247" s="53"/>
      <c r="B247" s="61"/>
      <c r="C247" s="61"/>
      <c r="D247" s="61"/>
      <c r="E247" s="54"/>
      <c r="F247" s="54"/>
      <c r="G247" s="54"/>
      <c r="H247" s="5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5">
      <c r="A248" s="53"/>
      <c r="B248" s="61"/>
      <c r="C248" s="61"/>
      <c r="D248" s="61"/>
      <c r="E248" s="54"/>
      <c r="F248" s="54"/>
      <c r="G248" s="54"/>
      <c r="H248" s="5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5">
      <c r="A249" s="53"/>
      <c r="B249" s="61"/>
      <c r="C249" s="61"/>
      <c r="D249" s="61"/>
      <c r="E249" s="54"/>
      <c r="F249" s="54"/>
      <c r="G249" s="54"/>
      <c r="H249" s="5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5">
      <c r="A250" s="53"/>
      <c r="B250" s="61"/>
      <c r="C250" s="61"/>
      <c r="D250" s="61"/>
      <c r="E250" s="54"/>
      <c r="F250" s="54"/>
      <c r="G250" s="54"/>
      <c r="H250" s="5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5">
      <c r="A251" s="53"/>
      <c r="B251" s="61"/>
      <c r="C251" s="53"/>
      <c r="D251" s="61"/>
      <c r="E251" s="54"/>
      <c r="F251" s="54"/>
      <c r="G251" s="54"/>
      <c r="H251" s="5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5">
      <c r="A252" s="53"/>
      <c r="B252" s="61"/>
      <c r="C252" s="53"/>
      <c r="D252" s="61"/>
      <c r="E252" s="54"/>
      <c r="F252" s="54"/>
      <c r="G252" s="54"/>
      <c r="H252" s="5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5">
      <c r="A253" s="53"/>
      <c r="B253" s="61"/>
      <c r="C253" s="58"/>
      <c r="D253" s="61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5">
      <c r="A254" s="53"/>
      <c r="B254" s="61"/>
      <c r="C254" s="58"/>
      <c r="D254" s="61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5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5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5">
      <c r="A257" s="91"/>
      <c r="B257" s="61"/>
      <c r="C257" s="91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5">
      <c r="A266" s="49" t="s">
        <v>174</v>
      </c>
      <c r="B266" s="55" t="str">
        <f>IF(B18="","",B18)</f>
        <v/>
      </c>
      <c r="D266" s="255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5">
      <c r="A267" s="49"/>
      <c r="B267" s="102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5">
      <c r="A268" s="5"/>
      <c r="B268" s="89" t="s">
        <v>185</v>
      </c>
      <c r="C268" s="290" t="s">
        <v>186</v>
      </c>
      <c r="D268" s="290"/>
      <c r="E268" s="291" t="s">
        <v>187</v>
      </c>
      <c r="F268" s="292"/>
      <c r="G268" s="292"/>
      <c r="H268" s="293"/>
      <c r="I268" s="101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5" x14ac:dyDescent="0.3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5">
      <c r="A270" s="53"/>
      <c r="B270" s="61"/>
      <c r="C270" s="61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5">
      <c r="A271" s="53"/>
      <c r="B271" s="61"/>
      <c r="C271" s="61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5">
      <c r="A272" s="53"/>
      <c r="B272" s="61"/>
      <c r="C272" s="61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5">
      <c r="A273" s="53"/>
      <c r="B273" s="61"/>
      <c r="C273" s="61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5">
      <c r="A274" s="53"/>
      <c r="B274" s="61"/>
      <c r="C274" s="61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5">
      <c r="A275" s="53"/>
      <c r="B275" s="61"/>
      <c r="C275" s="61"/>
      <c r="D275" s="61"/>
      <c r="E275" s="54"/>
      <c r="F275" s="54"/>
      <c r="G275" s="54"/>
      <c r="H275" s="5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5">
      <c r="A276" s="53"/>
      <c r="B276" s="61"/>
      <c r="C276" s="61"/>
      <c r="D276" s="61"/>
      <c r="E276" s="54"/>
      <c r="F276" s="54"/>
      <c r="G276" s="54"/>
      <c r="H276" s="5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5">
      <c r="A277" s="279"/>
      <c r="B277" s="61"/>
      <c r="C277" s="61"/>
      <c r="D277" s="61"/>
      <c r="E277" s="54"/>
      <c r="F277" s="54"/>
      <c r="G277" s="54"/>
      <c r="H277" s="5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5">
      <c r="A278" s="279"/>
      <c r="B278" s="61"/>
      <c r="C278" s="61"/>
      <c r="D278" s="61"/>
      <c r="E278" s="54"/>
      <c r="F278" s="54"/>
      <c r="G278" s="54"/>
      <c r="H278" s="5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5">
      <c r="A279" s="279"/>
      <c r="B279" s="61"/>
      <c r="C279" s="61"/>
      <c r="D279" s="61"/>
      <c r="E279" s="54"/>
      <c r="F279" s="54"/>
      <c r="G279" s="54"/>
      <c r="H279" s="5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5">
      <c r="A280" s="279"/>
      <c r="B280" s="61"/>
      <c r="C280" s="61"/>
      <c r="D280" s="61"/>
      <c r="E280" s="54"/>
      <c r="F280" s="54"/>
      <c r="G280" s="54"/>
      <c r="H280" s="5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5">
      <c r="A281" s="279"/>
      <c r="B281" s="61"/>
      <c r="C281" s="61"/>
      <c r="D281" s="61"/>
      <c r="E281" s="54"/>
      <c r="F281" s="54"/>
      <c r="G281" s="54"/>
      <c r="H281" s="5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5">
      <c r="A282" s="279"/>
      <c r="B282" s="61"/>
      <c r="C282" s="61"/>
      <c r="D282" s="61"/>
      <c r="E282" s="54"/>
      <c r="F282" s="54"/>
      <c r="G282" s="54"/>
      <c r="H282" s="54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5">
      <c r="A283" s="279"/>
      <c r="B283" s="61"/>
      <c r="C283" s="61"/>
      <c r="D283" s="61"/>
      <c r="E283" s="54"/>
      <c r="F283" s="54"/>
      <c r="G283" s="54"/>
      <c r="H283" s="54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5">
      <c r="A284" s="279"/>
      <c r="B284" s="61"/>
      <c r="C284" s="53"/>
      <c r="D284" s="61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5">
      <c r="A285" s="279"/>
      <c r="B285" s="61"/>
      <c r="C285" s="53"/>
      <c r="D285" s="61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5">
      <c r="A286" s="279"/>
      <c r="B286" s="61"/>
      <c r="C286" s="53"/>
      <c r="D286" s="61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5">
      <c r="A287" s="279"/>
      <c r="B287" s="61"/>
      <c r="C287" s="53"/>
      <c r="D287" s="61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5">
      <c r="A288" s="279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5">
      <c r="A289" s="279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F8" sqref="F8"/>
    </sheetView>
  </sheetViews>
  <sheetFormatPr baseColWidth="10" defaultColWidth="11.453125" defaultRowHeight="14.5" x14ac:dyDescent="0.35"/>
  <cols>
    <col min="1" max="1" width="5.9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5"/>
      <c r="B1" s="5"/>
      <c r="C1" s="5"/>
      <c r="D1" s="5"/>
      <c r="E1" s="5"/>
      <c r="F1" s="5"/>
      <c r="G1" s="5"/>
      <c r="H1" s="5"/>
      <c r="I1" s="5"/>
      <c r="J1" s="103"/>
      <c r="K1" s="103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5" thickBot="1" x14ac:dyDescent="0.65">
      <c r="A2" s="5"/>
      <c r="B2" s="305" t="s">
        <v>191</v>
      </c>
      <c r="C2" s="306"/>
      <c r="D2" s="306"/>
      <c r="E2" s="306"/>
      <c r="F2" s="306"/>
      <c r="G2" s="30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5">
      <c r="A4" s="5"/>
      <c r="B4" s="304"/>
      <c r="C4" s="304"/>
      <c r="D4" s="304"/>
      <c r="E4" s="304"/>
      <c r="F4" s="304"/>
      <c r="G4" s="30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5">
      <c r="A5" s="5"/>
      <c r="B5" s="104" t="s">
        <v>296</v>
      </c>
      <c r="C5" s="104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5">
      <c r="A6" s="25"/>
      <c r="B6" s="233"/>
      <c r="C6" s="233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5">
      <c r="A7" s="105"/>
      <c r="B7" s="29" t="s">
        <v>295</v>
      </c>
      <c r="C7" s="106" t="s">
        <v>214</v>
      </c>
      <c r="D7" s="231"/>
      <c r="E7" s="107"/>
      <c r="F7" s="29" t="s">
        <v>295</v>
      </c>
      <c r="G7" s="106" t="s">
        <v>215</v>
      </c>
      <c r="H7" s="232"/>
      <c r="I7" s="232"/>
      <c r="J7" s="232"/>
      <c r="K7" s="232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</row>
    <row r="8" spans="1:38" ht="17.25" customHeight="1" x14ac:dyDescent="0.35">
      <c r="A8" s="111">
        <v>1</v>
      </c>
      <c r="B8" s="62">
        <v>0</v>
      </c>
      <c r="C8" s="52" t="s">
        <v>177</v>
      </c>
      <c r="D8" s="25"/>
      <c r="E8" s="111">
        <v>4</v>
      </c>
      <c r="F8" s="62">
        <v>1</v>
      </c>
      <c r="G8" s="108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5">
      <c r="A9" s="111">
        <v>2</v>
      </c>
      <c r="B9" s="62">
        <v>0</v>
      </c>
      <c r="C9" s="114" t="s">
        <v>216</v>
      </c>
      <c r="D9" s="25"/>
      <c r="E9" s="111">
        <v>5</v>
      </c>
      <c r="F9" s="62">
        <v>0</v>
      </c>
      <c r="G9" s="109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5">
      <c r="A10" s="111">
        <v>3</v>
      </c>
      <c r="B10" s="62">
        <v>0</v>
      </c>
      <c r="C10" s="115" t="s">
        <v>217</v>
      </c>
      <c r="D10" s="25"/>
      <c r="E10" s="5"/>
      <c r="F10" s="112">
        <f>SUM(F7:F9)</f>
        <v>1</v>
      </c>
      <c r="G10" s="110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5">
      <c r="A11" s="25"/>
      <c r="B11" s="112">
        <v>0</v>
      </c>
      <c r="C11" s="110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5">
      <c r="A13" s="232"/>
      <c r="B13" s="113"/>
      <c r="C13" s="104" t="s">
        <v>273</v>
      </c>
      <c r="D13" s="232"/>
      <c r="E13" s="105"/>
      <c r="F13" s="113"/>
      <c r="G13" s="104" t="s">
        <v>301</v>
      </c>
      <c r="H13" s="232"/>
      <c r="I13" s="232"/>
      <c r="J13" s="232"/>
      <c r="K13" s="232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</row>
    <row r="14" spans="1:38" s="4" customFormat="1" ht="21" customHeight="1" x14ac:dyDescent="0.35">
      <c r="A14" s="232"/>
      <c r="B14" s="113"/>
      <c r="C14" s="104" t="s">
        <v>309</v>
      </c>
      <c r="D14" s="232"/>
      <c r="E14" s="105"/>
      <c r="F14" s="113"/>
      <c r="G14" s="104" t="s">
        <v>294</v>
      </c>
      <c r="H14" s="232"/>
      <c r="I14" s="232"/>
      <c r="J14" s="232"/>
      <c r="K14" s="232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</row>
    <row r="15" spans="1:38" x14ac:dyDescent="0.35">
      <c r="A15" s="25"/>
      <c r="B15" s="29" t="s">
        <v>295</v>
      </c>
      <c r="C15" s="5"/>
      <c r="D15" s="25"/>
      <c r="E15" s="5"/>
      <c r="F15" s="5"/>
      <c r="G15" s="2" t="s">
        <v>149</v>
      </c>
      <c r="H15" s="25" t="s">
        <v>324</v>
      </c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5">
      <c r="A16" s="25"/>
      <c r="B16" s="62">
        <v>0</v>
      </c>
      <c r="C16" s="116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5">
      <c r="A17" s="25"/>
      <c r="B17" s="62">
        <v>0</v>
      </c>
      <c r="C17" s="116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5">
      <c r="A18" s="25"/>
      <c r="B18" s="62">
        <v>0</v>
      </c>
      <c r="C18" s="116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5">
      <c r="A19" s="25"/>
      <c r="B19" s="112">
        <f>SUM(B16:B18)</f>
        <v>0</v>
      </c>
      <c r="C19" s="110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5">
      <c r="A25" s="5"/>
      <c r="B25" s="25"/>
      <c r="C25" s="25"/>
      <c r="D25" s="27"/>
      <c r="E25" s="96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5">
      <c r="A29" s="5"/>
      <c r="B29" s="5"/>
      <c r="C29" s="5"/>
      <c r="D29" s="5"/>
      <c r="E29" s="5"/>
      <c r="F29" s="9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5">
      <c r="C104" s="5"/>
      <c r="F104" s="5"/>
    </row>
    <row r="105" spans="3:35" x14ac:dyDescent="0.35">
      <c r="C105" s="5"/>
      <c r="F105" s="5"/>
    </row>
    <row r="106" spans="3:35" x14ac:dyDescent="0.35">
      <c r="C106" s="5"/>
      <c r="F106" s="5"/>
    </row>
    <row r="107" spans="3:35" x14ac:dyDescent="0.35">
      <c r="C107" s="5"/>
      <c r="F107" s="5"/>
    </row>
    <row r="108" spans="3:35" x14ac:dyDescent="0.35">
      <c r="C108" s="5"/>
      <c r="F108" s="5"/>
    </row>
    <row r="109" spans="3:35" x14ac:dyDescent="0.35">
      <c r="C109" s="5"/>
      <c r="F109" s="5"/>
    </row>
    <row r="110" spans="3:35" x14ac:dyDescent="0.35">
      <c r="C110" s="5"/>
      <c r="F110" s="5"/>
    </row>
    <row r="111" spans="3:35" x14ac:dyDescent="0.35">
      <c r="C111" s="5"/>
      <c r="F111" s="5"/>
    </row>
    <row r="112" spans="3:35" x14ac:dyDescent="0.35">
      <c r="C112" s="5"/>
      <c r="F112" s="5"/>
    </row>
    <row r="113" spans="3:6" x14ac:dyDescent="0.35">
      <c r="C113" s="5"/>
      <c r="F113" s="5"/>
    </row>
    <row r="114" spans="3:6" x14ac:dyDescent="0.35">
      <c r="C114" s="5"/>
      <c r="F114" s="5"/>
    </row>
    <row r="115" spans="3:6" x14ac:dyDescent="0.35">
      <c r="C115" s="5"/>
      <c r="F115" s="5"/>
    </row>
    <row r="116" spans="3:6" x14ac:dyDescent="0.35">
      <c r="C116" s="5"/>
      <c r="F116" s="5"/>
    </row>
    <row r="117" spans="3:6" x14ac:dyDescent="0.35">
      <c r="C117" s="5"/>
      <c r="F117" s="5"/>
    </row>
    <row r="118" spans="3:6" x14ac:dyDescent="0.35">
      <c r="C118" s="5"/>
      <c r="F118" s="5"/>
    </row>
    <row r="119" spans="3:6" x14ac:dyDescent="0.35">
      <c r="C119" s="5"/>
      <c r="F119" s="5"/>
    </row>
    <row r="120" spans="3:6" x14ac:dyDescent="0.35">
      <c r="C120" s="5"/>
      <c r="F120" s="5"/>
    </row>
    <row r="121" spans="3:6" x14ac:dyDescent="0.35">
      <c r="C121" s="5"/>
      <c r="F121" s="5"/>
    </row>
    <row r="122" spans="3:6" x14ac:dyDescent="0.35">
      <c r="C122" s="5"/>
      <c r="F122" s="5"/>
    </row>
    <row r="123" spans="3:6" x14ac:dyDescent="0.35">
      <c r="C123" s="5"/>
      <c r="F123" s="5"/>
    </row>
    <row r="124" spans="3:6" x14ac:dyDescent="0.35">
      <c r="C124" s="5"/>
      <c r="F124" s="5"/>
    </row>
    <row r="125" spans="3:6" x14ac:dyDescent="0.35">
      <c r="C125" s="5"/>
      <c r="F125" s="5"/>
    </row>
    <row r="126" spans="3:6" x14ac:dyDescent="0.35">
      <c r="C126" s="5"/>
      <c r="F126" s="5"/>
    </row>
    <row r="127" spans="3:6" x14ac:dyDescent="0.35">
      <c r="C127" s="5"/>
      <c r="F127" s="5"/>
    </row>
    <row r="128" spans="3:6" x14ac:dyDescent="0.35">
      <c r="C128" s="5"/>
      <c r="F128" s="5"/>
    </row>
    <row r="129" spans="3:6" x14ac:dyDescent="0.35">
      <c r="C129" s="5"/>
      <c r="F129" s="5"/>
    </row>
    <row r="130" spans="3:6" x14ac:dyDescent="0.35">
      <c r="C130" s="5"/>
      <c r="F130" s="5"/>
    </row>
    <row r="131" spans="3:6" x14ac:dyDescent="0.35">
      <c r="C131" s="5"/>
      <c r="F131" s="5"/>
    </row>
    <row r="132" spans="3:6" x14ac:dyDescent="0.35">
      <c r="F132" s="5"/>
    </row>
    <row r="133" spans="3:6" x14ac:dyDescent="0.35">
      <c r="F133" s="5"/>
    </row>
    <row r="134" spans="3:6" x14ac:dyDescent="0.35">
      <c r="F134" s="5"/>
    </row>
    <row r="135" spans="3:6" x14ac:dyDescent="0.35">
      <c r="F135" s="5"/>
    </row>
    <row r="136" spans="3:6" x14ac:dyDescent="0.35">
      <c r="F136" s="5"/>
    </row>
    <row r="137" spans="3:6" x14ac:dyDescent="0.35">
      <c r="F137" s="5"/>
    </row>
    <row r="138" spans="3:6" x14ac:dyDescent="0.35">
      <c r="F138" s="5"/>
    </row>
    <row r="139" spans="3:6" x14ac:dyDescent="0.35">
      <c r="F139" s="5"/>
    </row>
    <row r="140" spans="3:6" x14ac:dyDescent="0.35">
      <c r="F140" s="5"/>
    </row>
    <row r="141" spans="3:6" x14ac:dyDescent="0.35">
      <c r="F141" s="5"/>
    </row>
    <row r="142" spans="3:6" x14ac:dyDescent="0.35">
      <c r="F142" s="5"/>
    </row>
    <row r="143" spans="3:6" x14ac:dyDescent="0.35">
      <c r="F143" s="5"/>
    </row>
    <row r="144" spans="3:6" x14ac:dyDescent="0.35">
      <c r="F144" s="5"/>
    </row>
    <row r="145" spans="6:6" x14ac:dyDescent="0.35">
      <c r="F145" s="5"/>
    </row>
    <row r="146" spans="6:6" x14ac:dyDescent="0.35">
      <c r="F146" s="5"/>
    </row>
    <row r="147" spans="6:6" x14ac:dyDescent="0.35">
      <c r="F147" s="5"/>
    </row>
    <row r="148" spans="6:6" x14ac:dyDescent="0.35">
      <c r="F148" s="5"/>
    </row>
    <row r="149" spans="6:6" x14ac:dyDescent="0.35">
      <c r="F149" s="5"/>
    </row>
    <row r="150" spans="6:6" x14ac:dyDescent="0.35">
      <c r="F150" s="5"/>
    </row>
    <row r="151" spans="6:6" x14ac:dyDescent="0.35">
      <c r="F151" s="5"/>
    </row>
    <row r="152" spans="6:6" x14ac:dyDescent="0.35">
      <c r="F152" s="5"/>
    </row>
    <row r="153" spans="6:6" x14ac:dyDescent="0.35">
      <c r="F153" s="5"/>
    </row>
    <row r="154" spans="6:6" x14ac:dyDescent="0.35">
      <c r="F154" s="5"/>
    </row>
    <row r="155" spans="6:6" x14ac:dyDescent="0.35">
      <c r="F155" s="5"/>
    </row>
    <row r="156" spans="6:6" x14ac:dyDescent="0.35">
      <c r="F156" s="5"/>
    </row>
    <row r="157" spans="6:6" x14ac:dyDescent="0.35">
      <c r="F157" s="5"/>
    </row>
    <row r="158" spans="6:6" x14ac:dyDescent="0.35">
      <c r="F158" s="5"/>
    </row>
    <row r="159" spans="6:6" x14ac:dyDescent="0.35">
      <c r="F159" s="5"/>
    </row>
    <row r="160" spans="6:6" x14ac:dyDescent="0.35">
      <c r="F160" s="5"/>
    </row>
    <row r="161" spans="6:6" x14ac:dyDescent="0.35">
      <c r="F161" s="5"/>
    </row>
    <row r="162" spans="6:6" x14ac:dyDescent="0.35">
      <c r="F162" s="5"/>
    </row>
    <row r="163" spans="6:6" x14ac:dyDescent="0.3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90625" style="69" bestFit="1" customWidth="1"/>
    <col min="2" max="4" width="11.453125" style="69"/>
    <col min="5" max="5" width="9.54296875" style="69" customWidth="1"/>
    <col min="6" max="7" width="11.453125" style="69"/>
    <col min="8" max="8" width="10.6328125" style="69" customWidth="1"/>
    <col min="9" max="9" width="9.453125" style="69" customWidth="1"/>
    <col min="10" max="11" width="10.54296875" style="69" bestFit="1" customWidth="1"/>
    <col min="12" max="12" width="14" style="69" bestFit="1" customWidth="1"/>
    <col min="13" max="13" width="14" style="69" customWidth="1"/>
    <col min="14" max="23" width="11.453125" style="69"/>
    <col min="24" max="24" width="11.6328125" style="69" bestFit="1" customWidth="1"/>
    <col min="25" max="25" width="14.54296875" style="69" bestFit="1" customWidth="1"/>
    <col min="26" max="26" width="12.453125" style="69" bestFit="1" customWidth="1"/>
    <col min="27" max="27" width="9.6328125" style="69" bestFit="1" customWidth="1"/>
    <col min="28" max="28" width="11" style="69" bestFit="1" customWidth="1"/>
    <col min="29" max="29" width="9.453125" style="69" bestFit="1" customWidth="1"/>
    <col min="30" max="31" width="9.453125" style="69" customWidth="1"/>
    <col min="32" max="32" width="11.453125" style="69"/>
    <col min="33" max="34" width="14" style="69" bestFit="1" customWidth="1"/>
    <col min="35" max="35" width="10.54296875" style="69" bestFit="1" customWidth="1"/>
    <col min="36" max="36" width="9.453125" style="69" bestFit="1" customWidth="1"/>
    <col min="37" max="38" width="10.54296875" style="69" bestFit="1" customWidth="1"/>
    <col min="39" max="41" width="10.54296875" style="69" customWidth="1"/>
    <col min="42" max="42" width="9" style="69" bestFit="1" customWidth="1"/>
    <col min="43" max="43" width="10.54296875" style="69" bestFit="1" customWidth="1"/>
    <col min="44" max="44" width="9.36328125" style="69" bestFit="1" customWidth="1"/>
    <col min="45" max="45" width="11.6328125" style="69" bestFit="1" customWidth="1"/>
    <col min="46" max="46" width="8.453125" style="69" bestFit="1" customWidth="1"/>
    <col min="47" max="47" width="9.453125" style="69" bestFit="1" customWidth="1"/>
    <col min="48" max="48" width="9.6328125" style="69" bestFit="1" customWidth="1"/>
    <col min="49" max="49" width="11" style="69" bestFit="1" customWidth="1"/>
    <col min="50" max="50" width="9.453125" style="69" bestFit="1" customWidth="1"/>
    <col min="51" max="52" width="9.453125" style="69" customWidth="1"/>
    <col min="53" max="53" width="10.54296875" style="69" bestFit="1" customWidth="1"/>
    <col min="54" max="54" width="14.36328125" style="69" customWidth="1"/>
    <col min="55" max="55" width="14" style="69" customWidth="1"/>
    <col min="56" max="56" width="10.54296875" style="69" bestFit="1" customWidth="1"/>
    <col min="57" max="57" width="9.453125" style="69" bestFit="1" customWidth="1"/>
    <col min="58" max="59" width="10.54296875" style="69" bestFit="1" customWidth="1"/>
    <col min="60" max="62" width="10.54296875" style="69" customWidth="1"/>
    <col min="63" max="63" width="9" style="69" bestFit="1" customWidth="1"/>
    <col min="64" max="64" width="10.54296875" style="69" bestFit="1" customWidth="1"/>
    <col min="65" max="65" width="9.36328125" style="69" bestFit="1" customWidth="1"/>
    <col min="66" max="66" width="11.6328125" style="69" bestFit="1" customWidth="1"/>
    <col min="67" max="67" width="8.453125" style="69" bestFit="1" customWidth="1"/>
    <col min="68" max="68" width="9.453125" style="69" bestFit="1" customWidth="1"/>
    <col min="69" max="69" width="9.6328125" style="69" bestFit="1" customWidth="1"/>
    <col min="70" max="70" width="11" style="69" bestFit="1" customWidth="1"/>
    <col min="71" max="71" width="9.453125" style="69" bestFit="1" customWidth="1"/>
    <col min="72" max="73" width="9.453125" style="69" customWidth="1"/>
    <col min="74" max="74" width="10.54296875" style="69" bestFit="1" customWidth="1"/>
    <col min="75" max="75" width="14" style="69" bestFit="1" customWidth="1"/>
    <col min="76" max="76" width="13.90625" style="69" customWidth="1"/>
    <col min="77" max="77" width="10.54296875" style="69" bestFit="1" customWidth="1"/>
    <col min="78" max="78" width="9.453125" style="69" bestFit="1" customWidth="1"/>
    <col min="79" max="80" width="10.54296875" style="69" bestFit="1" customWidth="1"/>
    <col min="81" max="83" width="10.54296875" style="69" customWidth="1"/>
    <col min="84" max="84" width="11.453125" style="69"/>
    <col min="85" max="85" width="10.54296875" style="69" bestFit="1" customWidth="1"/>
    <col min="86" max="86" width="9.36328125" style="69" bestFit="1" customWidth="1"/>
    <col min="87" max="87" width="11.6328125" style="69" bestFit="1" customWidth="1"/>
    <col min="88" max="88" width="8.453125" style="69" bestFit="1" customWidth="1"/>
    <col min="89" max="89" width="9.453125" style="69" bestFit="1" customWidth="1"/>
    <col min="90" max="90" width="9.6328125" style="69" bestFit="1" customWidth="1"/>
    <col min="91" max="91" width="11" style="69" bestFit="1" customWidth="1"/>
    <col min="92" max="92" width="9.453125" style="69" bestFit="1" customWidth="1"/>
    <col min="93" max="94" width="9.453125" style="69" customWidth="1"/>
    <col min="95" max="95" width="11.453125" style="69"/>
    <col min="96" max="97" width="14" style="69" customWidth="1"/>
    <col min="98" max="98" width="10.54296875" style="69" bestFit="1" customWidth="1"/>
    <col min="99" max="99" width="9.453125" style="69" bestFit="1" customWidth="1"/>
    <col min="100" max="101" width="10.54296875" style="69" bestFit="1" customWidth="1"/>
    <col min="102" max="104" width="10.54296875" style="69" customWidth="1"/>
    <col min="105" max="105" width="9" style="69" bestFit="1" customWidth="1"/>
    <col min="106" max="106" width="10.54296875" style="69" bestFit="1" customWidth="1"/>
    <col min="107" max="107" width="9.36328125" style="69" bestFit="1" customWidth="1"/>
    <col min="108" max="108" width="11.6328125" style="69" bestFit="1" customWidth="1"/>
    <col min="109" max="109" width="8.453125" style="69" bestFit="1" customWidth="1"/>
    <col min="110" max="110" width="9.453125" style="69" bestFit="1" customWidth="1"/>
    <col min="111" max="111" width="9.6328125" style="69" bestFit="1" customWidth="1"/>
    <col min="112" max="112" width="11" style="69" bestFit="1" customWidth="1"/>
    <col min="113" max="113" width="9.453125" style="69" bestFit="1" customWidth="1"/>
    <col min="114" max="115" width="9.453125" style="69" customWidth="1"/>
    <col min="116" max="116" width="10.54296875" style="69" bestFit="1" customWidth="1"/>
    <col min="117" max="117" width="14.36328125" style="69" customWidth="1"/>
    <col min="118" max="118" width="14" style="69" bestFit="1" customWidth="1"/>
    <col min="119" max="119" width="10.54296875" style="69" bestFit="1" customWidth="1"/>
    <col min="120" max="120" width="9.453125" style="69" bestFit="1" customWidth="1"/>
    <col min="121" max="122" width="10.54296875" style="69" bestFit="1" customWidth="1"/>
    <col min="123" max="125" width="10.54296875" style="69" customWidth="1"/>
    <col min="126" max="126" width="9" style="69" bestFit="1" customWidth="1"/>
    <col min="127" max="127" width="10.54296875" style="69" bestFit="1" customWidth="1"/>
    <col min="128" max="128" width="9.36328125" style="69" bestFit="1" customWidth="1"/>
    <col min="129" max="129" width="11.6328125" style="69" bestFit="1" customWidth="1"/>
    <col min="130" max="130" width="8.453125" style="69" bestFit="1" customWidth="1"/>
    <col min="131" max="131" width="9.453125" style="69" bestFit="1" customWidth="1"/>
    <col min="132" max="132" width="9.6328125" style="69" bestFit="1" customWidth="1"/>
    <col min="133" max="133" width="11" style="69" bestFit="1" customWidth="1"/>
    <col min="134" max="134" width="9.453125" style="69" bestFit="1" customWidth="1"/>
    <col min="135" max="136" width="9.453125" style="69" customWidth="1"/>
    <col min="137" max="137" width="10.54296875" style="69" bestFit="1" customWidth="1"/>
    <col min="138" max="139" width="14" style="69" customWidth="1"/>
    <col min="140" max="140" width="10.54296875" style="69" bestFit="1" customWidth="1"/>
    <col min="141" max="141" width="9.453125" style="69" bestFit="1" customWidth="1"/>
    <col min="142" max="143" width="10.54296875" style="69" bestFit="1" customWidth="1"/>
    <col min="144" max="146" width="10.54296875" style="69" customWidth="1"/>
    <col min="147" max="147" width="9" style="69" bestFit="1" customWidth="1"/>
    <col min="148" max="148" width="10.54296875" style="69" bestFit="1" customWidth="1"/>
    <col min="149" max="149" width="9.36328125" style="69" bestFit="1" customWidth="1"/>
    <col min="150" max="150" width="11.6328125" style="69" bestFit="1" customWidth="1"/>
    <col min="151" max="151" width="8.453125" style="69" bestFit="1" customWidth="1"/>
    <col min="152" max="152" width="9.453125" style="69" bestFit="1" customWidth="1"/>
    <col min="153" max="153" width="9.6328125" style="69" bestFit="1" customWidth="1"/>
    <col min="154" max="154" width="11" style="69" bestFit="1" customWidth="1"/>
    <col min="155" max="155" width="9.453125" style="69" bestFit="1" customWidth="1"/>
    <col min="156" max="157" width="9.453125" style="69" customWidth="1"/>
    <col min="158" max="158" width="11.453125" style="69"/>
    <col min="159" max="160" width="14" style="69" bestFit="1" customWidth="1"/>
    <col min="161" max="161" width="10.54296875" style="69" bestFit="1" customWidth="1"/>
    <col min="162" max="162" width="9.453125" style="69" bestFit="1" customWidth="1"/>
    <col min="163" max="164" width="10.54296875" style="69" bestFit="1" customWidth="1"/>
    <col min="165" max="167" width="10.54296875" style="69" customWidth="1"/>
    <col min="168" max="168" width="9" style="69" bestFit="1" customWidth="1"/>
    <col min="169" max="169" width="10.54296875" style="69" bestFit="1" customWidth="1"/>
    <col min="170" max="170" width="9.36328125" style="69" bestFit="1" customWidth="1"/>
    <col min="171" max="171" width="11.6328125" style="69" bestFit="1" customWidth="1"/>
    <col min="172" max="172" width="8.08984375" style="69" bestFit="1" customWidth="1"/>
    <col min="173" max="173" width="9.453125" style="69" bestFit="1" customWidth="1"/>
    <col min="174" max="174" width="9.6328125" style="69" bestFit="1" customWidth="1"/>
    <col min="175" max="175" width="11" style="69" bestFit="1" customWidth="1"/>
    <col min="176" max="176" width="9.453125" style="69" bestFit="1" customWidth="1"/>
    <col min="177" max="178" width="9.453125" style="69" customWidth="1"/>
    <col min="179" max="179" width="10.54296875" style="69" bestFit="1" customWidth="1"/>
    <col min="180" max="181" width="14" style="69" bestFit="1" customWidth="1"/>
    <col min="182" max="182" width="10.54296875" style="69" bestFit="1" customWidth="1"/>
    <col min="183" max="183" width="9.453125" style="69" bestFit="1" customWidth="1"/>
    <col min="184" max="185" width="10.54296875" style="69" bestFit="1" customWidth="1"/>
    <col min="186" max="188" width="10.54296875" style="69" customWidth="1"/>
    <col min="189" max="189" width="9" style="69" bestFit="1" customWidth="1"/>
    <col min="190" max="190" width="10.54296875" style="69" bestFit="1" customWidth="1"/>
    <col min="191" max="191" width="9.36328125" style="69" bestFit="1" customWidth="1"/>
    <col min="192" max="192" width="11.453125" style="69"/>
    <col min="193" max="193" width="8.453125" style="69" bestFit="1" customWidth="1"/>
    <col min="194" max="194" width="9.453125" style="69" bestFit="1" customWidth="1"/>
    <col min="195" max="195" width="9.6328125" style="69" bestFit="1" customWidth="1"/>
    <col min="196" max="196" width="11" style="69" bestFit="1" customWidth="1"/>
    <col min="197" max="197" width="9.453125" style="69" bestFit="1" customWidth="1"/>
    <col min="198" max="199" width="9.453125" style="69" customWidth="1"/>
    <col min="200" max="200" width="10.54296875" style="69" bestFit="1" customWidth="1"/>
    <col min="201" max="201" width="14" style="69" customWidth="1"/>
    <col min="202" max="202" width="14.36328125" style="69" customWidth="1"/>
    <col min="203" max="203" width="10.54296875" style="69" bestFit="1" customWidth="1"/>
    <col min="204" max="204" width="9.453125" style="69" bestFit="1" customWidth="1"/>
    <col min="205" max="206" width="10.54296875" style="69" bestFit="1" customWidth="1"/>
    <col min="207" max="209" width="10.54296875" style="69" customWidth="1"/>
    <col min="210" max="210" width="9" style="69" bestFit="1" customWidth="1"/>
    <col min="211" max="211" width="10.54296875" style="69" bestFit="1" customWidth="1"/>
    <col min="212" max="212" width="9.36328125" style="69" bestFit="1" customWidth="1"/>
    <col min="213" max="213" width="11.6328125" style="69" bestFit="1" customWidth="1"/>
    <col min="214" max="214" width="8.453125" style="69" bestFit="1" customWidth="1"/>
    <col min="215" max="215" width="9.453125" style="69" bestFit="1" customWidth="1"/>
    <col min="216" max="216" width="9.6328125" style="69" bestFit="1" customWidth="1"/>
    <col min="217" max="217" width="11" style="69" bestFit="1" customWidth="1"/>
    <col min="218" max="218" width="9.453125" style="69" bestFit="1" customWidth="1"/>
    <col min="219" max="16384" width="11.453125" style="69"/>
  </cols>
  <sheetData>
    <row r="1" spans="1:218" s="5" customFormat="1" ht="26.5" thickBot="1" x14ac:dyDescent="0.65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Chêne sessile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Chêne pédonculé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>Charme</v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>Aulne à feuilles en cœur</v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>Alisier torminal</v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>Cormier</v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>Orme</v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/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/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58.5" thickBot="1" x14ac:dyDescent="0.4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5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293.33333333333331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293.33333333333331</v>
      </c>
      <c r="S3" s="60">
        <f ca="1">AVERAGE(OFFSET($R$3,0,0,'Données projet'!$E$9+1,1))-AVERAGE(OFFSET($H$3,0,0,'Données projet'!$E$9+1,1))</f>
        <v>327.62615088747526</v>
      </c>
      <c r="T3" s="60">
        <f>IF('Données projet'!E9&gt;30,$R$33-$H$33,LOOKUP('Données projet'!$E$9,$A$3:$A$203,R3:R203)-LOOKUP('Données projet'!$E$9,$A$3:$A$203,$H$3:$H$203))</f>
        <v>180.48047802041276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293.33333333333331</v>
      </c>
      <c r="AN3" s="60">
        <f ca="1">AVERAGE(OFFSET($AM$3,0,0,'Données projet'!$E$10+1,1))-AVERAGE(OFFSET($H$3,0,0,'Données projet'!$E$10+1,1))</f>
        <v>295.5242128298583</v>
      </c>
      <c r="AO3" s="60">
        <f>IF('Données projet'!E10&gt;30,$AM$33-$H$33,LOOKUP('Données projet'!$E$10,$A$3:$A$203,AM3:AM203)-LOOKUP('Données projet'!$E$10,$A$3:$A$203,$H$3:$H$203))</f>
        <v>164.21740841327744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293.33333333333331</v>
      </c>
      <c r="BI3" s="60">
        <f ca="1">AVERAGE(OFFSET($BH$3,0,0,'Données projet'!$E$11+1,1))-AVERAGE(OFFSET($H$3,0,0,'Données projet'!$E$11+1,1))</f>
        <v>276.19649531804959</v>
      </c>
      <c r="BJ3" s="60">
        <f>IF('Données projet'!E11&gt;30,$BH$33-$H$33,LOOKUP('Données projet'!$E$11,$A$3:$A$203,BH3:BH203)-LOOKUP('Données projet'!$E$11,$A$3:$A$203,$H$3:$H$203))</f>
        <v>253.14970964973463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293.33333333333331</v>
      </c>
      <c r="CD3" s="60">
        <f ca="1">AVERAGE(OFFSET($CC$3,0,0,'Données projet'!$E$12+1,1))-AVERAGE(OFFSET($H$3,0,0,'Données projet'!$E$12+1,1))</f>
        <v>154.88061446835457</v>
      </c>
      <c r="CE3" s="60">
        <f>IF('Données projet'!E12&gt;30,$CC$33-$H$33,LOOKUP('Données projet'!$E$12,$A$3:$A$203,CC3:CC203)-LOOKUP('Données projet'!$E$12,$A$3:$A$203,$H$3:$H$203))</f>
        <v>201.47826692201693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293.33333333333331</v>
      </c>
      <c r="CY3" s="60">
        <f ca="1">AVERAGE(OFFSET($CX$3,0,0,'Données projet'!$E$13+1,1))-AVERAGE(OFFSET($H$3,0,0,'Données projet'!$E$13+1,1))</f>
        <v>293.44206058086951</v>
      </c>
      <c r="CZ3" s="60">
        <f>IF('Données projet'!E13&gt;30,$CX$33-$H$33,LOOKUP('Données projet'!$E$13,$A$3:$A$203,CX3:CX203)-LOOKUP('Données projet'!$E$13,$A$3:$A$203,$H$3:$H$203))</f>
        <v>182.15909509186827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293.33333333333331</v>
      </c>
      <c r="DT3" s="60">
        <f ca="1">AVERAGE(OFFSET($DS$3,0,0,'Données projet'!$E$14+1,1))-AVERAGE(OFFSET($H$3,0,0,'Données projet'!$E$14+1,1))</f>
        <v>338.92444234934266</v>
      </c>
      <c r="DU3" s="60">
        <f>IF('Données projet'!E14&gt;30,$DS$33-$H$33,LOOKUP('Données projet'!$E$14,$A$3:$A$203,DS3:DS203)-LOOKUP('Données projet'!$E$14,$A$3:$A$203,$H$3:$H$203))</f>
        <v>208.91548891910895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293.33333333333331</v>
      </c>
      <c r="EO3" s="60">
        <f ca="1">AVERAGE(OFFSET($EN$3,0,0,'Données projet'!$E$15+1,1))-AVERAGE(OFFSET($H$3,0,0,'Données projet'!$E$15+1,1))</f>
        <v>346.10839312896536</v>
      </c>
      <c r="EP3" s="60">
        <f>IF('Données projet'!E15&gt;30,$EN$33-$H$33,LOOKUP('Données projet'!$E$15,$A$3:$A$203,EN3:EN203)-LOOKUP('Données projet'!$E$15,$A$3:$A$203,$H$3:$H$203))</f>
        <v>196.24927250256087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5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8">
        <f t="shared" ref="H4:H67" si="1">(B4+E4+F4)*44/12+(C4+D4)*0.475*44/12</f>
        <v>295.60554746801699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0">
        <f t="shared" si="0"/>
        <v>296.17432310550635</v>
      </c>
      <c r="S4" s="60">
        <f ca="1">AVERAGE(OFFSET($R$3,0,0,'Données projet'!$E$9+1,1))-AVERAGE(OFFSET($H$3,0,0,'Données projet'!$E$9+1,1))</f>
        <v>327.62615088747526</v>
      </c>
      <c r="T4" s="60">
        <f>$T$3</f>
        <v>180.48047802041276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1.0439615443779955</v>
      </c>
      <c r="AK4" s="14">
        <f>EXP(-1.0587+0.8836*LN(AJ4)+0.284)</f>
        <v>0.478698084995758</v>
      </c>
      <c r="AL4" s="22">
        <f t="shared" ref="AL4:AL67" si="4">(AJ4+AK4)*0.475*44/12</f>
        <v>2.6519655211592874</v>
      </c>
      <c r="AM4" s="60">
        <f t="shared" ref="AM4:AM67" si="5">AL4+(AD4+AE4)*44/12</f>
        <v>295.98529885449261</v>
      </c>
      <c r="AN4" s="60">
        <f ca="1">AVERAGE(OFFSET($AM$3,0,0,'Données projet'!$E$10+1,1))-AVERAGE(OFFSET($H$3,0,0,'Données projet'!$E$10+1,1))</f>
        <v>295.5242128298583</v>
      </c>
      <c r="AO4" s="60">
        <f>$AO$3</f>
        <v>164.21740841327744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2.4358974358974357</v>
      </c>
      <c r="BD4" s="13">
        <f>IF('Données projet'!$A$88&gt;35,BD3+BC4-BL3,IF(A4&lt;'Données projet'!$A$88,$BA$205^A4,IF(A4='Données projet'!$A$88,'Données projet'!$B$88,BD3+BC4-BL3)))</f>
        <v>1.3761503972240634</v>
      </c>
      <c r="BE4" s="14">
        <f>BD4*VLOOKUP('Données projet'!$B$11,Paramètres!$A$1:$I$89,3,0)*VLOOKUP('Données projet'!$B$11,Paramètres!$A$1:$I$89,5,0)</f>
        <v>1.3095447179984188</v>
      </c>
      <c r="BF4" s="14">
        <f>EXP(-1.0587+0.8836*LN(BE4)+0.284)</f>
        <v>0.58484339737510005</v>
      </c>
      <c r="BG4" s="22">
        <f t="shared" ref="BG4:BG67" si="7">(BE4+BF4)*0.475*44/12</f>
        <v>3.2993926342755451</v>
      </c>
      <c r="BH4" s="60">
        <f t="shared" ref="BH4:BH67" si="8">BG4+(AY4+AZ4)*44/12</f>
        <v>296.63272596760885</v>
      </c>
      <c r="BI4" s="60">
        <f ca="1">AVERAGE(OFFSET($BH$3,0,0,'Données projet'!$E$11+1,1))-AVERAGE(OFFSET($H$3,0,0,'Données projet'!$E$11+1,1))</f>
        <v>276.19649531804959</v>
      </c>
      <c r="BJ4" s="60">
        <f>$BJ$3</f>
        <v>253.14970964973463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1.1000000000000001</v>
      </c>
      <c r="BY4" s="13">
        <f>IF('Données projet'!$A$114&gt;35,BY3+BX4-CG3,IF(A4&lt;'Données projet'!$A$114,$BV$205^A4,IF(A4='Données projet'!$A$114,'Données projet'!$B$114,BY3+BX4-CG3)))</f>
        <v>1.2709816152101407</v>
      </c>
      <c r="BZ4" s="14">
        <f>BY4*VLOOKUP('Données projet'!$B$12,Paramètres!$A$1:$I$89,3,0)*VLOOKUP('Données projet'!$B$12,Paramètres!$A$1:$I$89,5,0)</f>
        <v>0.83274715428568413</v>
      </c>
      <c r="CA4" s="14">
        <f>EXP(-1.0587+0.8836*LN(BZ4)+0.284)</f>
        <v>0.39202836439738087</v>
      </c>
      <c r="CB4" s="22">
        <f t="shared" ref="CB4:CB67" si="10">(BZ4+CA4)*0.475*44/12</f>
        <v>2.1331506950396717</v>
      </c>
      <c r="CC4" s="60">
        <f t="shared" ref="CC4:CC67" si="11">CB4+(BT4+BU4)*44/12</f>
        <v>295.46648402837297</v>
      </c>
      <c r="CD4" s="60">
        <f ca="1">AVERAGE(OFFSET($CC$3,0,0,'Données projet'!$E$12+1,1))-AVERAGE(OFFSET($H$3,0,0,'Données projet'!$E$12+1,1))</f>
        <v>154.88061446835457</v>
      </c>
      <c r="CE4" s="60">
        <f>$CE$3</f>
        <v>201.47826692201693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2.4</v>
      </c>
      <c r="CT4" s="13">
        <f>IF('Données projet'!$A$140&gt;35,CT3+CS4-DB3,IF(A4&lt;'Données projet'!$A$140,$CQ$205^A4,IF(A4='Données projet'!$A$140,'Données projet'!$B$140,CT3+CS4-DB3)))</f>
        <v>1.2698531483493882</v>
      </c>
      <c r="CU4" s="18">
        <f>CT4*VLOOKUP('Données projet'!$B$13,Paramètres!$A$1:$I$89,3,0)*VLOOKUP('Données projet'!$B$13,Paramètres!$A$1:$I$89,5,0)</f>
        <v>1.2282019650835283</v>
      </c>
      <c r="CV4" s="14">
        <f>EXP(-1.0587+0.8836*LN(CU4)+0.284)</f>
        <v>0.55262540915841274</v>
      </c>
      <c r="CW4" s="22">
        <f t="shared" ref="CW4:CW67" si="13">(CU4+CV4)*0.475*44/12</f>
        <v>3.1016076768047136</v>
      </c>
      <c r="CX4" s="60">
        <f t="shared" ref="CX4:CX67" si="14">CW4+(CO4+CP4)*44/12</f>
        <v>296.434941010138</v>
      </c>
      <c r="CY4" s="60">
        <f ca="1">AVERAGE(OFFSET($CX$3,0,0,'Données projet'!$E$13+1,1))-AVERAGE(OFFSET($H$3,0,0,'Données projet'!$E$13+1,1))</f>
        <v>293.44206058086951</v>
      </c>
      <c r="CZ4" s="60">
        <f>$CZ$3</f>
        <v>182.15909509186827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2.4</v>
      </c>
      <c r="DO4" s="13">
        <f>IF('Données projet'!$A$166&gt;35,DO3+DN4-DW3,IF(A4&lt;'Données projet'!$A$166,$DL$205^A4,IF(A4='Données projet'!$A$166,'Données projet'!$B$166,DO3+DN4-DW3)))</f>
        <v>1.2698531483493882</v>
      </c>
      <c r="DP4" s="18">
        <f>DO4*VLOOKUP('Données projet'!$B$14,Paramètres!$A$1:$I$89,3,0)*VLOOKUP('Données projet'!$B$14,Paramètres!$A$1:$I$89,5,0)</f>
        <v>1.3668699288832815</v>
      </c>
      <c r="DQ4" s="14">
        <f>EXP(-1.0587+0.8836*LN(DP4)+0.284)</f>
        <v>0.60740814210669691</v>
      </c>
      <c r="DR4" s="22">
        <f t="shared" ref="DR4:DR67" si="16">(DP4+DQ4)*0.475*44/12</f>
        <v>3.438534306974212</v>
      </c>
      <c r="DS4" s="60">
        <f t="shared" ref="DS4:DS67" si="17">DR4+(DJ4+DK4)*44/12</f>
        <v>296.77186764030751</v>
      </c>
      <c r="DT4" s="60">
        <f ca="1">AVERAGE(OFFSET($DS$3,0,0,'Données projet'!$E$14+1,1))-AVERAGE(OFFSET($H$3,0,0,'Données projet'!$E$14+1,1))</f>
        <v>338.92444234934266</v>
      </c>
      <c r="DU4" s="60">
        <f>$DU$3</f>
        <v>208.91548891910895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1.6</v>
      </c>
      <c r="EJ4" s="13">
        <f>IF('Données projet'!$A$192&gt;35,EJ3+EI4-ER3,IF(A4&lt;'Données projet'!$A$192,$EG$205^A4,IF(A4='Données projet'!$A$192,'Données projet'!$B$192,EJ3+EI4-ER3)))</f>
        <v>1.189207115002721</v>
      </c>
      <c r="EK4" s="18">
        <f>EJ4*VLOOKUP('Données projet'!$B$15,Paramètres!$A$1:$I$89,3,0)*VLOOKUP('Données projet'!$B$15,Paramètres!$A$1:$I$89,5,0)</f>
        <v>0.96468481169020737</v>
      </c>
      <c r="EL4" s="14">
        <f>EXP(-1.0587+0.8836*LN(EK4)+0.284)</f>
        <v>0.44643171568907519</v>
      </c>
      <c r="EM4" s="22">
        <f t="shared" ref="EM4:EM67" si="19">(EK4+EL4)*0.475*44/12</f>
        <v>2.4576946185189166</v>
      </c>
      <c r="EN4" s="60">
        <f t="shared" ref="EN4:EN67" si="20">EM4+(EE4+EF4)*44/12</f>
        <v>295.79102795185224</v>
      </c>
      <c r="EO4" s="60">
        <f ca="1">AVERAGE(OFFSET($EN$3,0,0,'Données projet'!$E$15+1,1))-AVERAGE(OFFSET($H$3,0,0,'Données projet'!$E$15+1,1))</f>
        <v>346.10839312896536</v>
      </c>
      <c r="EP4" s="60">
        <f>$EP$3</f>
        <v>196.24927250256087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5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8">
        <f t="shared" si="1"/>
        <v>297.76559610099633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0">
        <f t="shared" si="0"/>
        <v>296.82694711009896</v>
      </c>
      <c r="S5" s="60">
        <f ca="1">AVERAGE(OFFSET($R$3,0,0,'Données projet'!$E$9+1,1))-AVERAGE(OFFSET($H$3,0,0,'Données projet'!$E$9+1,1))</f>
        <v>327.62615088747526</v>
      </c>
      <c r="T5" s="60">
        <f t="shared" ref="T5:T68" si="34">$T$3</f>
        <v>180.48047802041276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1.2937508382479692</v>
      </c>
      <c r="AK5" s="14">
        <f t="shared" ref="AK5:AK68" si="35">EXP(-1.0587+0.8836*LN(AJ5)+0.284)</f>
        <v>0.57860648124254321</v>
      </c>
      <c r="AL5" s="22">
        <f t="shared" si="4"/>
        <v>3.2610223314459752</v>
      </c>
      <c r="AM5" s="60">
        <f t="shared" si="5"/>
        <v>296.5943556647793</v>
      </c>
      <c r="AN5" s="60">
        <f ca="1">AVERAGE(OFFSET($AM$3,0,0,'Données projet'!$E$10+1,1))-AVERAGE(OFFSET($H$3,0,0,'Données projet'!$E$10+1,1))</f>
        <v>295.5242128298583</v>
      </c>
      <c r="AO5" s="60">
        <f t="shared" ref="AO5:AO68" si="36">$AO$3</f>
        <v>164.21740841327744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2.4358974358974357</v>
      </c>
      <c r="BD5" s="13">
        <f>IF('Données projet'!$A$88&gt;35,BD4+BC5-BL4,IF(A5&lt;'Données projet'!$A$88,$BA$205^A5,IF(A5='Données projet'!$A$88,'Données projet'!$B$88,BD4+BC5-BL4)))</f>
        <v>1.8937899157799476</v>
      </c>
      <c r="BE5" s="14">
        <f>BD5*VLOOKUP('Données projet'!$B$11,Paramètres!$A$1:$I$89,3,0)*VLOOKUP('Données projet'!$B$11,Paramètres!$A$1:$I$89,5,0)</f>
        <v>1.8021304838561982</v>
      </c>
      <c r="BF5" s="14">
        <f t="shared" ref="BF5:BF68" si="37">EXP(-1.0587+0.8836*LN(BE5)+0.284)</f>
        <v>0.77546960556345013</v>
      </c>
      <c r="BG5" s="22">
        <f t="shared" si="7"/>
        <v>4.4893201557392208</v>
      </c>
      <c r="BH5" s="60">
        <f t="shared" si="8"/>
        <v>297.82265348907254</v>
      </c>
      <c r="BI5" s="60">
        <f ca="1">AVERAGE(OFFSET($BH$3,0,0,'Données projet'!$E$11+1,1))-AVERAGE(OFFSET($H$3,0,0,'Données projet'!$E$11+1,1))</f>
        <v>276.19649531804959</v>
      </c>
      <c r="BJ5" s="60">
        <f t="shared" ref="BJ5:BJ68" si="38">$BJ$3</f>
        <v>253.14970964973463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1.1000000000000001</v>
      </c>
      <c r="BY5" s="13">
        <f>IF('Données projet'!$A$114&gt;35,BY4+BX5-CG4,IF(A5&lt;'Données projet'!$A$114,$BV$205^A5,IF(A5='Données projet'!$A$114,'Données projet'!$B$114,BY4+BX5-CG4)))</f>
        <v>1.6153942662021783</v>
      </c>
      <c r="BZ5" s="14">
        <f>BY5*VLOOKUP('Données projet'!$B$12,Paramètres!$A$1:$I$89,3,0)*VLOOKUP('Données projet'!$B$12,Paramètres!$A$1:$I$89,5,0)</f>
        <v>1.0584063232156671</v>
      </c>
      <c r="CA5" s="14">
        <f t="shared" ref="CA5:CA68" si="39">EXP(-1.0587+0.8836*LN(BZ5)+0.284)</f>
        <v>0.48454592807852009</v>
      </c>
      <c r="CB5" s="22">
        <f t="shared" si="10"/>
        <v>2.6873085043373757</v>
      </c>
      <c r="CC5" s="60">
        <f t="shared" si="11"/>
        <v>296.02064183767067</v>
      </c>
      <c r="CD5" s="60">
        <f ca="1">AVERAGE(OFFSET($CC$3,0,0,'Données projet'!$E$12+1,1))-AVERAGE(OFFSET($H$3,0,0,'Données projet'!$E$12+1,1))</f>
        <v>154.88061446835457</v>
      </c>
      <c r="CE5" s="60">
        <f t="shared" ref="CE5:CE68" si="40">$CE$3</f>
        <v>201.47826692201693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2.4</v>
      </c>
      <c r="CT5" s="13">
        <f>IF('Données projet'!$A$140&gt;35,CT4+CS5-DB4,IF(A5&lt;'Données projet'!$A$140,$CQ$205^A5,IF(A5='Données projet'!$A$140,'Données projet'!$B$140,CT4+CS5-DB4)))</f>
        <v>1.6125270183728533</v>
      </c>
      <c r="CU5" s="18">
        <f>CT5*VLOOKUP('Données projet'!$B$13,Paramètres!$A$1:$I$89,3,0)*VLOOKUP('Données projet'!$B$13,Paramètres!$A$1:$I$89,5,0)</f>
        <v>1.5596361321702237</v>
      </c>
      <c r="CV5" s="14">
        <f t="shared" ref="CV5:CV68" si="41">EXP(-1.0587+0.8836*LN(CU5)+0.284)</f>
        <v>0.6825075219278971</v>
      </c>
      <c r="CW5" s="22">
        <f t="shared" si="13"/>
        <v>3.9050668642208937</v>
      </c>
      <c r="CX5" s="60">
        <f t="shared" si="14"/>
        <v>297.2384001975542</v>
      </c>
      <c r="CY5" s="60">
        <f ca="1">AVERAGE(OFFSET($CX$3,0,0,'Données projet'!$E$13+1,1))-AVERAGE(OFFSET($H$3,0,0,'Données projet'!$E$13+1,1))</f>
        <v>293.44206058086951</v>
      </c>
      <c r="CZ5" s="60">
        <f t="shared" ref="CZ5:CZ68" si="42">$CZ$3</f>
        <v>182.15909509186827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2.4</v>
      </c>
      <c r="DO5" s="13">
        <f>IF('Données projet'!$A$166&gt;35,DO4+DN5-DW4,IF(A5&lt;'Données projet'!$A$166,$DL$205^A5,IF(A5='Données projet'!$A$166,'Données projet'!$B$166,DO4+DN5-DW4)))</f>
        <v>1.6125270183728533</v>
      </c>
      <c r="DP5" s="18">
        <f>DO5*VLOOKUP('Données projet'!$B$14,Paramètres!$A$1:$I$89,3,0)*VLOOKUP('Données projet'!$B$14,Paramètres!$A$1:$I$89,5,0)</f>
        <v>1.7357240825765394</v>
      </c>
      <c r="DQ5" s="14">
        <f t="shared" ref="DQ5:DQ68" si="43">EXP(-1.0587+0.8836*LN(DP5)+0.284)</f>
        <v>0.75016569813429235</v>
      </c>
      <c r="DR5" s="22">
        <f t="shared" si="16"/>
        <v>4.3295913680713651</v>
      </c>
      <c r="DS5" s="60">
        <f t="shared" si="17"/>
        <v>297.66292470140468</v>
      </c>
      <c r="DT5" s="60">
        <f ca="1">AVERAGE(OFFSET($DS$3,0,0,'Données projet'!$E$14+1,1))-AVERAGE(OFFSET($H$3,0,0,'Données projet'!$E$14+1,1))</f>
        <v>338.92444234934266</v>
      </c>
      <c r="DU5" s="60">
        <f t="shared" ref="DU5:DU68" si="44">$DU$3</f>
        <v>208.91548891910895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1.6</v>
      </c>
      <c r="EJ5" s="13">
        <f>IF('Données projet'!$A$192&gt;35,EJ4+EI5-ER4,IF(A5&lt;'Données projet'!$A$192,$EG$205^A5,IF(A5='Données projet'!$A$192,'Données projet'!$B$192,EJ4+EI5-ER4)))</f>
        <v>1.4142135623730949</v>
      </c>
      <c r="EK5" s="18">
        <f>EJ5*VLOOKUP('Données projet'!$B$15,Paramètres!$A$1:$I$89,3,0)*VLOOKUP('Données projet'!$B$15,Paramètres!$A$1:$I$89,5,0)</f>
        <v>1.1472100417970548</v>
      </c>
      <c r="EL5" s="14">
        <f t="shared" ref="EL5:EL68" si="45">EXP(-1.0587+0.8836*LN(EK5)+0.284)</f>
        <v>0.52029849119636584</v>
      </c>
      <c r="EM5" s="22">
        <f t="shared" si="19"/>
        <v>2.9042440282968744</v>
      </c>
      <c r="EN5" s="60">
        <f t="shared" si="20"/>
        <v>296.2375773616302</v>
      </c>
      <c r="EO5" s="60">
        <f ca="1">AVERAGE(OFFSET($EN$3,0,0,'Données projet'!$E$15+1,1))-AVERAGE(OFFSET($H$3,0,0,'Données projet'!$E$15+1,1))</f>
        <v>346.10839312896536</v>
      </c>
      <c r="EP5" s="60">
        <f t="shared" ref="EP5:EP68" si="46">$EP$3</f>
        <v>196.24927250256087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5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8">
        <f t="shared" si="1"/>
        <v>299.88942090728119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0">
        <f t="shared" si="0"/>
        <v>297.63006022433916</v>
      </c>
      <c r="S6" s="60">
        <f ca="1">AVERAGE(OFFSET($R$3,0,0,'Données projet'!$E$9+1,1))-AVERAGE(OFFSET($H$3,0,0,'Données projet'!$E$9+1,1))</f>
        <v>327.62615088747526</v>
      </c>
      <c r="T6" s="60">
        <f t="shared" si="34"/>
        <v>180.48047802041276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1.6033073636487132</v>
      </c>
      <c r="AK6" s="14">
        <f t="shared" si="35"/>
        <v>0.69936661672428513</v>
      </c>
      <c r="AL6" s="22">
        <f t="shared" si="4"/>
        <v>4.0104905158163051</v>
      </c>
      <c r="AM6" s="60">
        <f t="shared" si="5"/>
        <v>297.3438238491496</v>
      </c>
      <c r="AN6" s="60">
        <f ca="1">AVERAGE(OFFSET($AM$3,0,0,'Données projet'!$E$10+1,1))-AVERAGE(OFFSET($H$3,0,0,'Données projet'!$E$10+1,1))</f>
        <v>295.5242128298583</v>
      </c>
      <c r="AO6" s="60">
        <f t="shared" si="36"/>
        <v>164.21740841327744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2.4358974358974357</v>
      </c>
      <c r="BD6" s="13">
        <f>IF('Données projet'!$A$88&gt;35,BD5+BC6-BL5,IF(A6&lt;'Données projet'!$A$88,$BA$205^A6,IF(A6='Données projet'!$A$88,'Données projet'!$B$88,BD5+BC6-BL5)))</f>
        <v>2.6061397448595005</v>
      </c>
      <c r="BE6" s="14">
        <f>BD6*VLOOKUP('Données projet'!$B$11,Paramètres!$A$1:$I$89,3,0)*VLOOKUP('Données projet'!$B$11,Paramètres!$A$1:$I$89,5,0)</f>
        <v>2.4800025812083004</v>
      </c>
      <c r="BF6" s="14">
        <f t="shared" si="37"/>
        <v>1.0282292864239075</v>
      </c>
      <c r="BG6" s="22">
        <f t="shared" si="7"/>
        <v>6.1101705027927622</v>
      </c>
      <c r="BH6" s="60">
        <f t="shared" si="8"/>
        <v>299.44350383612607</v>
      </c>
      <c r="BI6" s="60">
        <f ca="1">AVERAGE(OFFSET($BH$3,0,0,'Données projet'!$E$11+1,1))-AVERAGE(OFFSET($H$3,0,0,'Données projet'!$E$11+1,1))</f>
        <v>276.19649531804959</v>
      </c>
      <c r="BJ6" s="60">
        <f t="shared" si="38"/>
        <v>253.14970964973463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1.1000000000000001</v>
      </c>
      <c r="BY6" s="13">
        <f>IF('Données projet'!$A$114&gt;35,BY5+BX6-CG5,IF(A6&lt;'Données projet'!$A$114,$BV$205^A6,IF(A6='Données projet'!$A$114,'Données projet'!$B$114,BY5+BX6-CG5)))</f>
        <v>2.0531364136588448</v>
      </c>
      <c r="BZ6" s="14">
        <f>BY6*VLOOKUP('Données projet'!$B$12,Paramètres!$A$1:$I$89,3,0)*VLOOKUP('Données projet'!$B$12,Paramètres!$A$1:$I$89,5,0)</f>
        <v>1.3452149782292753</v>
      </c>
      <c r="CA6" s="14">
        <f t="shared" si="39"/>
        <v>0.59889737003693966</v>
      </c>
      <c r="CB6" s="22">
        <f t="shared" si="10"/>
        <v>3.3859956732303242</v>
      </c>
      <c r="CC6" s="60">
        <f t="shared" si="11"/>
        <v>296.71932900656361</v>
      </c>
      <c r="CD6" s="60">
        <f ca="1">AVERAGE(OFFSET($CC$3,0,0,'Données projet'!$E$12+1,1))-AVERAGE(OFFSET($H$3,0,0,'Données projet'!$E$12+1,1))</f>
        <v>154.88061446835457</v>
      </c>
      <c r="CE6" s="60">
        <f t="shared" si="40"/>
        <v>201.47826692201693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2.4</v>
      </c>
      <c r="CT6" s="13">
        <f>IF('Données projet'!$A$140&gt;35,CT5+CS6-DB5,IF(A6&lt;'Données projet'!$A$140,$CQ$205^A6,IF(A6='Données projet'!$A$140,'Données projet'!$B$140,CT5+CS6-DB5)))</f>
        <v>2.0476725110792193</v>
      </c>
      <c r="CU6" s="18">
        <f>CT6*VLOOKUP('Données projet'!$B$13,Paramètres!$A$1:$I$89,3,0)*VLOOKUP('Données projet'!$B$13,Paramètres!$A$1:$I$89,5,0)</f>
        <v>1.9805088527158212</v>
      </c>
      <c r="CV6" s="14">
        <f t="shared" si="41"/>
        <v>0.84291548989313725</v>
      </c>
      <c r="CW6" s="22">
        <f t="shared" si="13"/>
        <v>4.9174640633772686</v>
      </c>
      <c r="CX6" s="60">
        <f t="shared" si="14"/>
        <v>298.2507973967106</v>
      </c>
      <c r="CY6" s="60">
        <f ca="1">AVERAGE(OFFSET($CX$3,0,0,'Données projet'!$E$13+1,1))-AVERAGE(OFFSET($H$3,0,0,'Données projet'!$E$13+1,1))</f>
        <v>293.44206058086951</v>
      </c>
      <c r="CZ6" s="60">
        <f t="shared" si="42"/>
        <v>182.15909509186827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2.4</v>
      </c>
      <c r="DO6" s="13">
        <f>IF('Données projet'!$A$166&gt;35,DO5+DN6-DW5,IF(A6&lt;'Données projet'!$A$166,$DL$205^A6,IF(A6='Données projet'!$A$166,'Données projet'!$B$166,DO5+DN6-DW5)))</f>
        <v>2.0476725110792193</v>
      </c>
      <c r="DP6" s="18">
        <f>DO6*VLOOKUP('Données projet'!$B$14,Paramètres!$A$1:$I$89,3,0)*VLOOKUP('Données projet'!$B$14,Paramètres!$A$1:$I$89,5,0)</f>
        <v>2.2041146909256715</v>
      </c>
      <c r="DQ6" s="14">
        <f t="shared" si="43"/>
        <v>0.92647519130301359</v>
      </c>
      <c r="DR6" s="22">
        <f t="shared" si="16"/>
        <v>5.4524440448816271</v>
      </c>
      <c r="DS6" s="60">
        <f t="shared" si="17"/>
        <v>298.78577737821496</v>
      </c>
      <c r="DT6" s="60">
        <f ca="1">AVERAGE(OFFSET($DS$3,0,0,'Données projet'!$E$14+1,1))-AVERAGE(OFFSET($H$3,0,0,'Données projet'!$E$14+1,1))</f>
        <v>338.92444234934266</v>
      </c>
      <c r="DU6" s="60">
        <f t="shared" si="44"/>
        <v>208.91548891910895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1.6</v>
      </c>
      <c r="EJ6" s="13">
        <f>IF('Données projet'!$A$192&gt;35,EJ5+EI6-ER5,IF(A6&lt;'Données projet'!$A$192,$EG$205^A6,IF(A6='Données projet'!$A$192,'Données projet'!$B$192,EJ5+EI6-ER5)))</f>
        <v>1.6817928305074288</v>
      </c>
      <c r="EK6" s="18">
        <f>EJ6*VLOOKUP('Données projet'!$B$15,Paramètres!$A$1:$I$89,3,0)*VLOOKUP('Données projet'!$B$15,Paramètres!$A$1:$I$89,5,0)</f>
        <v>1.3642703441076263</v>
      </c>
      <c r="EL6" s="14">
        <f t="shared" si="45"/>
        <v>0.60638729379557688</v>
      </c>
      <c r="EM6" s="22">
        <f t="shared" si="19"/>
        <v>3.4322287193480787</v>
      </c>
      <c r="EN6" s="60">
        <f t="shared" si="20"/>
        <v>296.76556205268139</v>
      </c>
      <c r="EO6" s="60">
        <f ca="1">AVERAGE(OFFSET($EN$3,0,0,'Données projet'!$E$15+1,1))-AVERAGE(OFFSET($H$3,0,0,'Données projet'!$E$15+1,1))</f>
        <v>346.10839312896536</v>
      </c>
      <c r="EP6" s="60">
        <f t="shared" si="46"/>
        <v>196.24927250256087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5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8">
        <f t="shared" si="1"/>
        <v>301.9909165039561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0">
        <f t="shared" si="0"/>
        <v>298.61848781128475</v>
      </c>
      <c r="S7" s="60">
        <f ca="1">AVERAGE(OFFSET($R$3,0,0,'Données projet'!$E$9+1,1))-AVERAGE(OFFSET($H$3,0,0,'Données projet'!$E$9+1,1))</f>
        <v>327.62615088747526</v>
      </c>
      <c r="T7" s="60">
        <f t="shared" si="34"/>
        <v>180.48047802041276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1.9869316612859962</v>
      </c>
      <c r="AK7" s="14">
        <f t="shared" si="35"/>
        <v>0.84533042826968274</v>
      </c>
      <c r="AL7" s="22">
        <f t="shared" si="4"/>
        <v>4.9328564726428068</v>
      </c>
      <c r="AM7" s="60">
        <f t="shared" si="5"/>
        <v>298.26618980597613</v>
      </c>
      <c r="AN7" s="60">
        <f ca="1">AVERAGE(OFFSET($AM$3,0,0,'Données projet'!$E$10+1,1))-AVERAGE(OFFSET($H$3,0,0,'Données projet'!$E$10+1,1))</f>
        <v>295.5242128298583</v>
      </c>
      <c r="AO7" s="60">
        <f t="shared" si="36"/>
        <v>164.21740841327744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2.4358974358974357</v>
      </c>
      <c r="BD7" s="13">
        <f>IF('Données projet'!$A$88&gt;35,BD6+BC7-BL6,IF(A7&lt;'Données projet'!$A$88,$BA$205^A7,IF(A7='Données projet'!$A$88,'Données projet'!$B$88,BD6+BC7-BL6)))</f>
        <v>3.586440245109821</v>
      </c>
      <c r="BE7" s="14">
        <f>BD7*VLOOKUP('Données projet'!$B$11,Paramètres!$A$1:$I$89,3,0)*VLOOKUP('Données projet'!$B$11,Paramètres!$A$1:$I$89,5,0)</f>
        <v>3.4128565372465061</v>
      </c>
      <c r="BF7" s="14">
        <f t="shared" si="37"/>
        <v>1.3633744738346318</v>
      </c>
      <c r="BG7" s="22">
        <f t="shared" si="7"/>
        <v>8.3186023442996486</v>
      </c>
      <c r="BH7" s="60">
        <f t="shared" si="8"/>
        <v>301.65193567763299</v>
      </c>
      <c r="BI7" s="60">
        <f ca="1">AVERAGE(OFFSET($BH$3,0,0,'Données projet'!$E$11+1,1))-AVERAGE(OFFSET($H$3,0,0,'Données projet'!$E$11+1,1))</f>
        <v>276.19649531804959</v>
      </c>
      <c r="BJ7" s="60">
        <f t="shared" si="38"/>
        <v>253.14970964973463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1.1000000000000001</v>
      </c>
      <c r="BY7" s="13">
        <f>IF('Données projet'!$A$114&gt;35,BY6+BX7-CG6,IF(A7&lt;'Données projet'!$A$114,$BV$205^A7,IF(A7='Données projet'!$A$114,'Données projet'!$B$114,BY6+BX7-CG6)))</f>
        <v>2.6094986352788743</v>
      </c>
      <c r="BZ7" s="14">
        <f>BY7*VLOOKUP('Données projet'!$B$12,Paramètres!$A$1:$I$89,3,0)*VLOOKUP('Données projet'!$B$12,Paramètres!$A$1:$I$89,5,0)</f>
        <v>1.7097435058347183</v>
      </c>
      <c r="CA7" s="14">
        <f t="shared" si="39"/>
        <v>0.74023542259349984</v>
      </c>
      <c r="CB7" s="22">
        <f t="shared" si="10"/>
        <v>4.2670466336791462</v>
      </c>
      <c r="CC7" s="60">
        <f t="shared" si="11"/>
        <v>297.60037996701249</v>
      </c>
      <c r="CD7" s="60">
        <f ca="1">AVERAGE(OFFSET($CC$3,0,0,'Données projet'!$E$12+1,1))-AVERAGE(OFFSET($H$3,0,0,'Données projet'!$E$12+1,1))</f>
        <v>154.88061446835457</v>
      </c>
      <c r="CE7" s="60">
        <f t="shared" si="40"/>
        <v>201.47826692201693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2.4</v>
      </c>
      <c r="CT7" s="13">
        <f>IF('Données projet'!$A$140&gt;35,CT6+CS7-DB6,IF(A7&lt;'Données projet'!$A$140,$CQ$205^A7,IF(A7='Données projet'!$A$140,'Données projet'!$B$140,CT6+CS7-DB6)))</f>
        <v>2.6002433849824445</v>
      </c>
      <c r="CU7" s="18">
        <f>CT7*VLOOKUP('Données projet'!$B$13,Paramètres!$A$1:$I$89,3,0)*VLOOKUP('Données projet'!$B$13,Paramètres!$A$1:$I$89,5,0)</f>
        <v>2.5149554019550204</v>
      </c>
      <c r="CV7" s="14">
        <f t="shared" si="41"/>
        <v>1.04102372541595</v>
      </c>
      <c r="CW7" s="22">
        <f t="shared" si="13"/>
        <v>6.1933303135044397</v>
      </c>
      <c r="CX7" s="60">
        <f t="shared" si="14"/>
        <v>299.52666364683773</v>
      </c>
      <c r="CY7" s="60">
        <f ca="1">AVERAGE(OFFSET($CX$3,0,0,'Données projet'!$E$13+1,1))-AVERAGE(OFFSET($H$3,0,0,'Données projet'!$E$13+1,1))</f>
        <v>293.44206058086951</v>
      </c>
      <c r="CZ7" s="60">
        <f t="shared" si="42"/>
        <v>182.15909509186827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2.4</v>
      </c>
      <c r="DO7" s="13">
        <f>IF('Données projet'!$A$166&gt;35,DO6+DN7-DW6,IF(A7&lt;'Données projet'!$A$166,$DL$205^A7,IF(A7='Données projet'!$A$166,'Données projet'!$B$166,DO6+DN7-DW6)))</f>
        <v>2.6002433849824445</v>
      </c>
      <c r="DP7" s="18">
        <f>DO7*VLOOKUP('Données projet'!$B$14,Paramètres!$A$1:$I$89,3,0)*VLOOKUP('Données projet'!$B$14,Paramètres!$A$1:$I$89,5,0)</f>
        <v>2.7989019795951031</v>
      </c>
      <c r="DQ7" s="14">
        <f t="shared" si="43"/>
        <v>1.1442222461447387</v>
      </c>
      <c r="DR7" s="22">
        <f t="shared" si="16"/>
        <v>6.8676080264968915</v>
      </c>
      <c r="DS7" s="60">
        <f t="shared" si="17"/>
        <v>300.20094135983021</v>
      </c>
      <c r="DT7" s="60">
        <f ca="1">AVERAGE(OFFSET($DS$3,0,0,'Données projet'!$E$14+1,1))-AVERAGE(OFFSET($H$3,0,0,'Données projet'!$E$14+1,1))</f>
        <v>338.92444234934266</v>
      </c>
      <c r="DU7" s="60">
        <f t="shared" si="44"/>
        <v>208.91548891910895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1.6</v>
      </c>
      <c r="EJ7" s="13">
        <f>IF('Données projet'!$A$192&gt;35,EJ6+EI7-ER6,IF(A7&lt;'Données projet'!$A$192,$EG$205^A7,IF(A7='Données projet'!$A$192,'Données projet'!$B$192,EJ6+EI7-ER6)))</f>
        <v>1.9999999999999996</v>
      </c>
      <c r="EK7" s="18">
        <f>EJ7*VLOOKUP('Données projet'!$B$15,Paramètres!$A$1:$I$89,3,0)*VLOOKUP('Données projet'!$B$15,Paramètres!$A$1:$I$89,5,0)</f>
        <v>1.6223999999999998</v>
      </c>
      <c r="EL7" s="14">
        <f t="shared" si="45"/>
        <v>0.7067203851220617</v>
      </c>
      <c r="EM7" s="22">
        <f t="shared" si="19"/>
        <v>4.056551337420923</v>
      </c>
      <c r="EN7" s="60">
        <f t="shared" si="20"/>
        <v>297.38988467075421</v>
      </c>
      <c r="EO7" s="60">
        <f ca="1">AVERAGE(OFFSET($EN$3,0,0,'Données projet'!$E$15+1,1))-AVERAGE(OFFSET($H$3,0,0,'Données projet'!$E$15+1,1))</f>
        <v>346.10839312896536</v>
      </c>
      <c r="EP7" s="60">
        <f t="shared" si="46"/>
        <v>196.24927250256087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5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8">
        <f t="shared" si="1"/>
        <v>304.07638038697939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0">
        <f t="shared" si="0"/>
        <v>299.83514117239878</v>
      </c>
      <c r="S8" s="60">
        <f ca="1">AVERAGE(OFFSET($R$3,0,0,'Données projet'!$E$9+1,1))-AVERAGE(OFFSET($H$3,0,0,'Données projet'!$E$9+1,1))</f>
        <v>327.62615088747526</v>
      </c>
      <c r="T8" s="60">
        <f t="shared" si="34"/>
        <v>180.48047802041276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2.462345970666743</v>
      </c>
      <c r="AK8" s="14">
        <f t="shared" si="35"/>
        <v>1.021758139251189</v>
      </c>
      <c r="AL8" s="22">
        <f t="shared" si="4"/>
        <v>6.068147991440398</v>
      </c>
      <c r="AM8" s="60">
        <f t="shared" si="5"/>
        <v>299.40148132477373</v>
      </c>
      <c r="AN8" s="60">
        <f ca="1">AVERAGE(OFFSET($AM$3,0,0,'Données projet'!$E$10+1,1))-AVERAGE(OFFSET($H$3,0,0,'Données projet'!$E$10+1,1))</f>
        <v>295.5242128298583</v>
      </c>
      <c r="AO8" s="60">
        <f t="shared" si="36"/>
        <v>164.21740841327744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2.4358974358974357</v>
      </c>
      <c r="BD8" s="13">
        <f>IF('Données projet'!$A$88&gt;35,BD7+BC8-BL7,IF(A8&lt;'Données projet'!$A$88,$BA$205^A8,IF(A8='Données projet'!$A$88,'Données projet'!$B$88,BD7+BC8-BL7)))</f>
        <v>4.9354811679282475</v>
      </c>
      <c r="BE8" s="14">
        <f>BD8*VLOOKUP('Données projet'!$B$11,Paramètres!$A$1:$I$89,3,0)*VLOOKUP('Données projet'!$B$11,Paramètres!$A$1:$I$89,5,0)</f>
        <v>4.69660387940052</v>
      </c>
      <c r="BF8" s="14">
        <f t="shared" si="37"/>
        <v>1.8077582310153499</v>
      </c>
      <c r="BG8" s="22">
        <f t="shared" si="7"/>
        <v>11.328430675640973</v>
      </c>
      <c r="BH8" s="60">
        <f t="shared" si="8"/>
        <v>304.66176400897427</v>
      </c>
      <c r="BI8" s="60">
        <f ca="1">AVERAGE(OFFSET($BH$3,0,0,'Données projet'!$E$11+1,1))-AVERAGE(OFFSET($H$3,0,0,'Données projet'!$E$11+1,1))</f>
        <v>276.19649531804959</v>
      </c>
      <c r="BJ8" s="60">
        <f t="shared" si="38"/>
        <v>253.14970964973463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1.1000000000000001</v>
      </c>
      <c r="BY8" s="13">
        <f>IF('Données projet'!$A$114&gt;35,BY7+BX8-CG7,IF(A8&lt;'Données projet'!$A$114,$BV$205^A8,IF(A8='Données projet'!$A$114,'Données projet'!$B$114,BY7+BX8-CG7)))</f>
        <v>3.3166247903554016</v>
      </c>
      <c r="BZ8" s="14">
        <f>BY8*VLOOKUP('Données projet'!$B$12,Paramètres!$A$1:$I$89,3,0)*VLOOKUP('Données projet'!$B$12,Paramètres!$A$1:$I$89,5,0)</f>
        <v>2.173052562640859</v>
      </c>
      <c r="CA8" s="14">
        <f t="shared" si="39"/>
        <v>0.91492884804015795</v>
      </c>
      <c r="CB8" s="22">
        <f t="shared" si="10"/>
        <v>5.3782342902694369</v>
      </c>
      <c r="CC8" s="60">
        <f t="shared" si="11"/>
        <v>298.71156762360278</v>
      </c>
      <c r="CD8" s="60">
        <f ca="1">AVERAGE(OFFSET($CC$3,0,0,'Données projet'!$E$12+1,1))-AVERAGE(OFFSET($H$3,0,0,'Données projet'!$E$12+1,1))</f>
        <v>154.88061446835457</v>
      </c>
      <c r="CE8" s="60">
        <f t="shared" si="40"/>
        <v>201.47826692201693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2.4</v>
      </c>
      <c r="CT8" s="13">
        <f>IF('Données projet'!$A$140&gt;35,CT7+CS8-DB7,IF(A8&lt;'Données projet'!$A$140,$CQ$205^A8,IF(A8='Données projet'!$A$140,'Données projet'!$B$140,CT7+CS8-DB7)))</f>
        <v>3.3019272488946276</v>
      </c>
      <c r="CU8" s="18">
        <f>CT8*VLOOKUP('Données projet'!$B$13,Paramètres!$A$1:$I$89,3,0)*VLOOKUP('Données projet'!$B$13,Paramètres!$A$1:$I$89,5,0)</f>
        <v>3.1936240351308842</v>
      </c>
      <c r="CV8" s="14">
        <f t="shared" si="41"/>
        <v>1.2856928243379369</v>
      </c>
      <c r="CW8" s="22">
        <f t="shared" si="13"/>
        <v>7.8014768635748633</v>
      </c>
      <c r="CX8" s="60">
        <f t="shared" si="14"/>
        <v>301.13481019690818</v>
      </c>
      <c r="CY8" s="60">
        <f ca="1">AVERAGE(OFFSET($CX$3,0,0,'Données projet'!$E$13+1,1))-AVERAGE(OFFSET($H$3,0,0,'Données projet'!$E$13+1,1))</f>
        <v>293.44206058086951</v>
      </c>
      <c r="CZ8" s="60">
        <f t="shared" si="42"/>
        <v>182.15909509186827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2.4</v>
      </c>
      <c r="DO8" s="13">
        <f>IF('Données projet'!$A$166&gt;35,DO7+DN8-DW7,IF(A8&lt;'Données projet'!$A$166,$DL$205^A8,IF(A8='Données projet'!$A$166,'Données projet'!$B$166,DO7+DN8-DW7)))</f>
        <v>3.3019272488946276</v>
      </c>
      <c r="DP8" s="18">
        <f>DO8*VLOOKUP('Données projet'!$B$14,Paramètres!$A$1:$I$89,3,0)*VLOOKUP('Données projet'!$B$14,Paramètres!$A$1:$I$89,5,0)</f>
        <v>3.5541944907101768</v>
      </c>
      <c r="DQ8" s="14">
        <f t="shared" si="43"/>
        <v>1.413145825017897</v>
      </c>
      <c r="DR8" s="22">
        <f t="shared" si="16"/>
        <v>8.6514510498930619</v>
      </c>
      <c r="DS8" s="60">
        <f t="shared" si="17"/>
        <v>301.98478438322638</v>
      </c>
      <c r="DT8" s="60">
        <f ca="1">AVERAGE(OFFSET($DS$3,0,0,'Données projet'!$E$14+1,1))-AVERAGE(OFFSET($H$3,0,0,'Données projet'!$E$14+1,1))</f>
        <v>338.92444234934266</v>
      </c>
      <c r="DU8" s="60">
        <f t="shared" si="44"/>
        <v>208.91548891910895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1.6</v>
      </c>
      <c r="EJ8" s="13">
        <f>IF('Données projet'!$A$192&gt;35,EJ7+EI8-ER7,IF(A8&lt;'Données projet'!$A$192,$EG$205^A8,IF(A8='Données projet'!$A$192,'Données projet'!$B$192,EJ7+EI8-ER7)))</f>
        <v>2.3784142300054416</v>
      </c>
      <c r="EK8" s="18">
        <f>EJ8*VLOOKUP('Données projet'!$B$15,Paramètres!$A$1:$I$89,3,0)*VLOOKUP('Données projet'!$B$15,Paramètres!$A$1:$I$89,5,0)</f>
        <v>1.9293696233804143</v>
      </c>
      <c r="EL8" s="14">
        <f t="shared" si="45"/>
        <v>0.82365463105407566</v>
      </c>
      <c r="EM8" s="22">
        <f t="shared" si="19"/>
        <v>4.7948505764734026</v>
      </c>
      <c r="EN8" s="60">
        <f t="shared" si="20"/>
        <v>298.12818390980669</v>
      </c>
      <c r="EO8" s="60">
        <f ca="1">AVERAGE(OFFSET($EN$3,0,0,'Données projet'!$E$15+1,1))-AVERAGE(OFFSET($H$3,0,0,'Données projet'!$E$15+1,1))</f>
        <v>346.10839312896536</v>
      </c>
      <c r="EP8" s="60">
        <f t="shared" si="46"/>
        <v>196.24927250256087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5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8">
        <f t="shared" si="1"/>
        <v>306.1494049109736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0">
        <f t="shared" si="0"/>
        <v>301.33290077663611</v>
      </c>
      <c r="S9" s="60">
        <f ca="1">AVERAGE(OFFSET($R$3,0,0,'Données projet'!$E$9+1,1))-AVERAGE(OFFSET($H$3,0,0,'Données projet'!$E$9+1,1))</f>
        <v>327.62615088747526</v>
      </c>
      <c r="T9" s="60">
        <f t="shared" si="34"/>
        <v>180.48047802041276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3.0515129419874016</v>
      </c>
      <c r="AK9" s="14">
        <f t="shared" si="35"/>
        <v>1.2350078267772846</v>
      </c>
      <c r="AL9" s="22">
        <f t="shared" si="4"/>
        <v>7.4656903389318279</v>
      </c>
      <c r="AM9" s="60">
        <f t="shared" si="5"/>
        <v>300.79902367226515</v>
      </c>
      <c r="AN9" s="60">
        <f ca="1">AVERAGE(OFFSET($AM$3,0,0,'Données projet'!$E$10+1,1))-AVERAGE(OFFSET($H$3,0,0,'Données projet'!$E$10+1,1))</f>
        <v>295.5242128298583</v>
      </c>
      <c r="AO9" s="60">
        <f t="shared" si="36"/>
        <v>164.21740841327744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2.4358974358974357</v>
      </c>
      <c r="BD9" s="13">
        <f>IF('Données projet'!$A$88&gt;35,BD8+BC9-BL8,IF(A9&lt;'Données projet'!$A$88,$BA$205^A9,IF(A9='Données projet'!$A$88,'Données projet'!$B$88,BD8+BC9-BL8)))</f>
        <v>6.7919643697363421</v>
      </c>
      <c r="BE9" s="14">
        <f>BD9*VLOOKUP('Données projet'!$B$11,Paramètres!$A$1:$I$89,3,0)*VLOOKUP('Données projet'!$B$11,Paramètres!$A$1:$I$89,5,0)</f>
        <v>6.4632332942411033</v>
      </c>
      <c r="BF9" s="14">
        <f t="shared" si="37"/>
        <v>2.3969862165690898</v>
      </c>
      <c r="BG9" s="22">
        <f t="shared" si="7"/>
        <v>15.431548981327753</v>
      </c>
      <c r="BH9" s="60">
        <f t="shared" si="8"/>
        <v>308.76488231466107</v>
      </c>
      <c r="BI9" s="60">
        <f ca="1">AVERAGE(OFFSET($BH$3,0,0,'Données projet'!$E$11+1,1))-AVERAGE(OFFSET($H$3,0,0,'Données projet'!$E$11+1,1))</f>
        <v>276.19649531804959</v>
      </c>
      <c r="BJ9" s="60">
        <f t="shared" si="38"/>
        <v>253.14970964973463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1.1000000000000001</v>
      </c>
      <c r="BY9" s="13">
        <f>IF('Données projet'!$A$114&gt;35,BY8+BX9-CG8,IF(A9&lt;'Données projet'!$A$114,$BV$205^A9,IF(A9='Données projet'!$A$114,'Données projet'!$B$114,BY8+BX9-CG8)))</f>
        <v>4.2153691330919028</v>
      </c>
      <c r="BZ9" s="14">
        <f>BY9*VLOOKUP('Données projet'!$B$12,Paramètres!$A$1:$I$89,3,0)*VLOOKUP('Données projet'!$B$12,Paramètres!$A$1:$I$89,5,0)</f>
        <v>2.7619098560018145</v>
      </c>
      <c r="CA9" s="14">
        <f t="shared" si="39"/>
        <v>1.1308494182070246</v>
      </c>
      <c r="CB9" s="22">
        <f t="shared" si="10"/>
        <v>6.7798890692470613</v>
      </c>
      <c r="CC9" s="60">
        <f t="shared" si="11"/>
        <v>300.11322240258039</v>
      </c>
      <c r="CD9" s="60">
        <f ca="1">AVERAGE(OFFSET($CC$3,0,0,'Données projet'!$E$12+1,1))-AVERAGE(OFFSET($H$3,0,0,'Données projet'!$E$12+1,1))</f>
        <v>154.88061446835457</v>
      </c>
      <c r="CE9" s="60">
        <f t="shared" si="40"/>
        <v>201.47826692201693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2.4</v>
      </c>
      <c r="CT9" s="13">
        <f>IF('Données projet'!$A$140&gt;35,CT8+CS9-DB8,IF(A9&lt;'Données projet'!$A$140,$CQ$205^A9,IF(A9='Données projet'!$A$140,'Données projet'!$B$140,CT8+CS9-DB8)))</f>
        <v>4.1929627126294768</v>
      </c>
      <c r="CU9" s="18">
        <f>CT9*VLOOKUP('Données projet'!$B$13,Paramètres!$A$1:$I$89,3,0)*VLOOKUP('Données projet'!$B$13,Paramètres!$A$1:$I$89,5,0)</f>
        <v>4.0554335356552302</v>
      </c>
      <c r="CV9" s="14">
        <f t="shared" si="41"/>
        <v>1.5878658652986877</v>
      </c>
      <c r="CW9" s="22">
        <f t="shared" si="13"/>
        <v>9.8287464566614062</v>
      </c>
      <c r="CX9" s="60">
        <f t="shared" si="14"/>
        <v>303.16207978999472</v>
      </c>
      <c r="CY9" s="60">
        <f ca="1">AVERAGE(OFFSET($CX$3,0,0,'Données projet'!$E$13+1,1))-AVERAGE(OFFSET($H$3,0,0,'Données projet'!$E$13+1,1))</f>
        <v>293.44206058086951</v>
      </c>
      <c r="CZ9" s="60">
        <f t="shared" si="42"/>
        <v>182.15909509186827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2.4</v>
      </c>
      <c r="DO9" s="13">
        <f>IF('Données projet'!$A$166&gt;35,DO8+DN9-DW8,IF(A9&lt;'Données projet'!$A$166,$DL$205^A9,IF(A9='Données projet'!$A$166,'Données projet'!$B$166,DO8+DN9-DW8)))</f>
        <v>4.1929627126294768</v>
      </c>
      <c r="DP9" s="18">
        <f>DO9*VLOOKUP('Données projet'!$B$14,Paramètres!$A$1:$I$89,3,0)*VLOOKUP('Données projet'!$B$14,Paramètres!$A$1:$I$89,5,0)</f>
        <v>4.5133050638743688</v>
      </c>
      <c r="DQ9" s="14">
        <f t="shared" si="43"/>
        <v>1.7452738132770962</v>
      </c>
      <c r="DR9" s="22">
        <f t="shared" si="16"/>
        <v>10.900358211038801</v>
      </c>
      <c r="DS9" s="60">
        <f t="shared" si="17"/>
        <v>304.23369154437211</v>
      </c>
      <c r="DT9" s="60">
        <f ca="1">AVERAGE(OFFSET($DS$3,0,0,'Données projet'!$E$14+1,1))-AVERAGE(OFFSET($H$3,0,0,'Données projet'!$E$14+1,1))</f>
        <v>338.92444234934266</v>
      </c>
      <c r="DU9" s="60">
        <f t="shared" si="44"/>
        <v>208.91548891910895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1.6</v>
      </c>
      <c r="EJ9" s="13">
        <f>IF('Données projet'!$A$192&gt;35,EJ8+EI9-ER8,IF(A9&lt;'Données projet'!$A$192,$EG$205^A9,IF(A9='Données projet'!$A$192,'Données projet'!$B$192,EJ8+EI9-ER8)))</f>
        <v>2.8284271247461894</v>
      </c>
      <c r="EK9" s="18">
        <f>EJ9*VLOOKUP('Données projet'!$B$15,Paramètres!$A$1:$I$89,3,0)*VLOOKUP('Données projet'!$B$15,Paramètres!$A$1:$I$89,5,0)</f>
        <v>2.2944200835941091</v>
      </c>
      <c r="EL9" s="14">
        <f t="shared" si="45"/>
        <v>0.95993686546858847</v>
      </c>
      <c r="EM9" s="22">
        <f t="shared" si="19"/>
        <v>5.6680050196175316</v>
      </c>
      <c r="EN9" s="60">
        <f t="shared" si="20"/>
        <v>299.00133835295082</v>
      </c>
      <c r="EO9" s="60">
        <f ca="1">AVERAGE(OFFSET($EN$3,0,0,'Données projet'!$E$15+1,1))-AVERAGE(OFFSET($H$3,0,0,'Données projet'!$E$15+1,1))</f>
        <v>346.10839312896536</v>
      </c>
      <c r="EP9" s="60">
        <f t="shared" si="46"/>
        <v>196.24927250256087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5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8">
        <f t="shared" si="1"/>
        <v>308.2123059280633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0">
        <f t="shared" si="0"/>
        <v>303.17693934275616</v>
      </c>
      <c r="S10" s="60">
        <f ca="1">AVERAGE(OFFSET($R$3,0,0,'Données projet'!$E$9+1,1))-AVERAGE(OFFSET($H$3,0,0,'Données projet'!$E$9+1,1))</f>
        <v>327.62615088747526</v>
      </c>
      <c r="T10" s="60">
        <f t="shared" si="34"/>
        <v>180.48047802041276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3.7816502416982529</v>
      </c>
      <c r="AK10" s="14">
        <f t="shared" si="35"/>
        <v>1.492764553183741</v>
      </c>
      <c r="AL10" s="22">
        <f t="shared" si="4"/>
        <v>9.1862724344194735</v>
      </c>
      <c r="AM10" s="60">
        <f t="shared" si="5"/>
        <v>302.51960576775281</v>
      </c>
      <c r="AN10" s="60">
        <f ca="1">AVERAGE(OFFSET($AM$3,0,0,'Données projet'!$E$10+1,1))-AVERAGE(OFFSET($H$3,0,0,'Données projet'!$E$10+1,1))</f>
        <v>295.5242128298583</v>
      </c>
      <c r="AO10" s="60">
        <f t="shared" si="36"/>
        <v>164.21740841327744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2.4358974358974357</v>
      </c>
      <c r="BD10" s="13">
        <f>IF('Données projet'!$A$88&gt;35,BD9+BC10-BL9,IF(A10&lt;'Données projet'!$A$88,$BA$205^A10,IF(A10='Données projet'!$A$88,'Données projet'!$B$88,BD9+BC10-BL9)))</f>
        <v>9.3467644653443536</v>
      </c>
      <c r="BE10" s="14">
        <f>BD10*VLOOKUP('Données projet'!$B$11,Paramètres!$A$1:$I$89,3,0)*VLOOKUP('Données projet'!$B$11,Paramètres!$A$1:$I$89,5,0)</f>
        <v>8.8943810652216868</v>
      </c>
      <c r="BF10" s="14">
        <f t="shared" si="37"/>
        <v>3.178269540609501</v>
      </c>
      <c r="BG10" s="22">
        <f t="shared" si="7"/>
        <v>21.026533138489317</v>
      </c>
      <c r="BH10" s="60">
        <f t="shared" si="8"/>
        <v>314.35986647182261</v>
      </c>
      <c r="BI10" s="60">
        <f ca="1">AVERAGE(OFFSET($BH$3,0,0,'Données projet'!$E$11+1,1))-AVERAGE(OFFSET($H$3,0,0,'Données projet'!$E$11+1,1))</f>
        <v>276.19649531804959</v>
      </c>
      <c r="BJ10" s="60">
        <f t="shared" si="38"/>
        <v>253.14970964973463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1.1000000000000001</v>
      </c>
      <c r="BY10" s="13">
        <f>IF('Données projet'!$A$114&gt;35,BY9+BX10-CG9,IF(A10&lt;'Données projet'!$A$114,$BV$205^A10,IF(A10='Données projet'!$A$114,'Données projet'!$B$114,BY9+BX10-CG9)))</f>
        <v>5.3576566694841175</v>
      </c>
      <c r="BZ10" s="14">
        <f>BY10*VLOOKUP('Données projet'!$B$12,Paramètres!$A$1:$I$89,3,0)*VLOOKUP('Données projet'!$B$12,Paramètres!$A$1:$I$89,5,0)</f>
        <v>3.510336649845994</v>
      </c>
      <c r="CA10" s="14">
        <f t="shared" si="39"/>
        <v>1.397726620379814</v>
      </c>
      <c r="CB10" s="22">
        <f t="shared" si="10"/>
        <v>8.5482101956432839</v>
      </c>
      <c r="CC10" s="60">
        <f t="shared" si="11"/>
        <v>301.88154352897658</v>
      </c>
      <c r="CD10" s="60">
        <f ca="1">AVERAGE(OFFSET($CC$3,0,0,'Données projet'!$E$12+1,1))-AVERAGE(OFFSET($H$3,0,0,'Données projet'!$E$12+1,1))</f>
        <v>154.88061446835457</v>
      </c>
      <c r="CE10" s="60">
        <f t="shared" si="40"/>
        <v>201.47826692201693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2.4</v>
      </c>
      <c r="CT10" s="13">
        <f>IF('Données projet'!$A$140&gt;35,CT9+CS10-DB9,IF(A10&lt;'Données projet'!$A$140,$CQ$205^A10,IF(A10='Données projet'!$A$140,'Données projet'!$B$140,CT9+CS10-DB9)))</f>
        <v>5.3244469015441309</v>
      </c>
      <c r="CU10" s="18">
        <f>CT10*VLOOKUP('Données projet'!$B$13,Paramètres!$A$1:$I$89,3,0)*VLOOKUP('Données projet'!$B$13,Paramètres!$A$1:$I$89,5,0)</f>
        <v>5.1498050431734832</v>
      </c>
      <c r="CV10" s="14">
        <f t="shared" si="41"/>
        <v>1.9610578502521343</v>
      </c>
      <c r="CW10" s="22">
        <f t="shared" si="13"/>
        <v>12.384752872716282</v>
      </c>
      <c r="CX10" s="60">
        <f t="shared" si="14"/>
        <v>305.71808620604958</v>
      </c>
      <c r="CY10" s="60">
        <f ca="1">AVERAGE(OFFSET($CX$3,0,0,'Données projet'!$E$13+1,1))-AVERAGE(OFFSET($H$3,0,0,'Données projet'!$E$13+1,1))</f>
        <v>293.44206058086951</v>
      </c>
      <c r="CZ10" s="60">
        <f t="shared" si="42"/>
        <v>182.15909509186827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2.4</v>
      </c>
      <c r="DO10" s="13">
        <f>IF('Données projet'!$A$166&gt;35,DO9+DN10-DW9,IF(A10&lt;'Données projet'!$A$166,$DL$205^A10,IF(A10='Données projet'!$A$166,'Données projet'!$B$166,DO9+DN10-DW9)))</f>
        <v>5.3244469015441309</v>
      </c>
      <c r="DP10" s="18">
        <f>DO10*VLOOKUP('Données projet'!$B$14,Paramètres!$A$1:$I$89,3,0)*VLOOKUP('Données projet'!$B$14,Paramètres!$A$1:$I$89,5,0)</f>
        <v>5.7312346448221021</v>
      </c>
      <c r="DQ10" s="14">
        <f t="shared" si="43"/>
        <v>2.1554609788923935</v>
      </c>
      <c r="DR10" s="22">
        <f t="shared" si="16"/>
        <v>13.735994877969413</v>
      </c>
      <c r="DS10" s="60">
        <f t="shared" si="17"/>
        <v>307.06932821130272</v>
      </c>
      <c r="DT10" s="60">
        <f ca="1">AVERAGE(OFFSET($DS$3,0,0,'Données projet'!$E$14+1,1))-AVERAGE(OFFSET($H$3,0,0,'Données projet'!$E$14+1,1))</f>
        <v>338.92444234934266</v>
      </c>
      <c r="DU10" s="60">
        <f t="shared" si="44"/>
        <v>208.91548891910895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1.6</v>
      </c>
      <c r="EJ10" s="13">
        <f>IF('Données projet'!$A$192&gt;35,EJ9+EI10-ER9,IF(A10&lt;'Données projet'!$A$192,$EG$205^A10,IF(A10='Données projet'!$A$192,'Données projet'!$B$192,EJ9+EI10-ER9)))</f>
        <v>3.3635856610148567</v>
      </c>
      <c r="EK10" s="18">
        <f>EJ10*VLOOKUP('Données projet'!$B$15,Paramètres!$A$1:$I$89,3,0)*VLOOKUP('Données projet'!$B$15,Paramètres!$A$1:$I$89,5,0)</f>
        <v>2.7285406882152516</v>
      </c>
      <c r="EL10" s="14">
        <f t="shared" si="45"/>
        <v>1.1187684145069301</v>
      </c>
      <c r="EM10" s="22">
        <f t="shared" si="19"/>
        <v>6.7007300205744658</v>
      </c>
      <c r="EN10" s="60">
        <f t="shared" si="20"/>
        <v>300.03406335390775</v>
      </c>
      <c r="EO10" s="60">
        <f ca="1">AVERAGE(OFFSET($EN$3,0,0,'Données projet'!$E$15+1,1))-AVERAGE(OFFSET($H$3,0,0,'Données projet'!$E$15+1,1))</f>
        <v>346.10839312896536</v>
      </c>
      <c r="EP10" s="60">
        <f t="shared" si="46"/>
        <v>196.24927250256087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5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8">
        <f t="shared" si="1"/>
        <v>310.26669652068324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0">
        <f t="shared" si="0"/>
        <v>305.44758777557922</v>
      </c>
      <c r="S11" s="60">
        <f ca="1">AVERAGE(OFFSET($R$3,0,0,'Données projet'!$E$9+1,1))-AVERAGE(OFFSET($H$3,0,0,'Données projet'!$E$9+1,1))</f>
        <v>327.62615088747526</v>
      </c>
      <c r="T11" s="60">
        <f t="shared" si="34"/>
        <v>180.48047802041276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4.6864879233389463</v>
      </c>
      <c r="AK11" s="14">
        <f t="shared" si="35"/>
        <v>1.8043173192324258</v>
      </c>
      <c r="AL11" s="22">
        <f t="shared" si="4"/>
        <v>11.304819130811806</v>
      </c>
      <c r="AM11" s="60">
        <f t="shared" si="5"/>
        <v>304.63815246414509</v>
      </c>
      <c r="AN11" s="60">
        <f ca="1">AVERAGE(OFFSET($AM$3,0,0,'Données projet'!$E$10+1,1))-AVERAGE(OFFSET($H$3,0,0,'Données projet'!$E$10+1,1))</f>
        <v>295.5242128298583</v>
      </c>
      <c r="AO11" s="60">
        <f t="shared" si="36"/>
        <v>164.21740841327744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2.4358974358974357</v>
      </c>
      <c r="BD11" s="13">
        <f>IF('Données projet'!$A$88&gt;35,BD10+BC11-BL10,IF(A11&lt;'Données projet'!$A$88,$BA$205^A11,IF(A11='Données projet'!$A$88,'Données projet'!$B$88,BD10+BC11-BL10)))</f>
        <v>12.862553631743392</v>
      </c>
      <c r="BE11" s="14">
        <f>BD11*VLOOKUP('Données projet'!$B$11,Paramètres!$A$1:$I$89,3,0)*VLOOKUP('Données projet'!$B$11,Paramètres!$A$1:$I$89,5,0)</f>
        <v>12.240006035967012</v>
      </c>
      <c r="BF11" s="14">
        <f t="shared" si="37"/>
        <v>4.2142074922836628</v>
      </c>
      <c r="BG11" s="22">
        <f t="shared" si="7"/>
        <v>28.657755228369926</v>
      </c>
      <c r="BH11" s="60">
        <f t="shared" si="8"/>
        <v>321.99108856170324</v>
      </c>
      <c r="BI11" s="60">
        <f ca="1">AVERAGE(OFFSET($BH$3,0,0,'Données projet'!$E$11+1,1))-AVERAGE(OFFSET($H$3,0,0,'Données projet'!$E$11+1,1))</f>
        <v>276.19649531804959</v>
      </c>
      <c r="BJ11" s="60">
        <f t="shared" si="38"/>
        <v>253.14970964973463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1.1000000000000001</v>
      </c>
      <c r="BY11" s="13">
        <f>IF('Données projet'!$A$114&gt;35,BY10+BX11-CG10,IF(A11&lt;'Données projet'!$A$114,$BV$205^A11,IF(A11='Données projet'!$A$114,'Données projet'!$B$114,BY10+BX11-CG10)))</f>
        <v>6.8094831275223076</v>
      </c>
      <c r="BZ11" s="14">
        <f>BY11*VLOOKUP('Données projet'!$B$12,Paramètres!$A$1:$I$89,3,0)*VLOOKUP('Données projet'!$B$12,Paramètres!$A$1:$I$89,5,0)</f>
        <v>4.4615733451526163</v>
      </c>
      <c r="CA11" s="14">
        <f t="shared" si="39"/>
        <v>1.7275860727911023</v>
      </c>
      <c r="CB11" s="22">
        <f t="shared" si="10"/>
        <v>10.779452652918643</v>
      </c>
      <c r="CC11" s="60">
        <f t="shared" si="11"/>
        <v>304.11278598625194</v>
      </c>
      <c r="CD11" s="60">
        <f ca="1">AVERAGE(OFFSET($CC$3,0,0,'Données projet'!$E$12+1,1))-AVERAGE(OFFSET($H$3,0,0,'Données projet'!$E$12+1,1))</f>
        <v>154.88061446835457</v>
      </c>
      <c r="CE11" s="60">
        <f t="shared" si="40"/>
        <v>201.47826692201693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2.4</v>
      </c>
      <c r="CT11" s="13">
        <f>IF('Données projet'!$A$140&gt;35,CT10+CS11-DB10,IF(A11&lt;'Données projet'!$A$140,$CQ$205^A11,IF(A11='Données projet'!$A$140,'Données projet'!$B$140,CT10+CS11-DB10)))</f>
        <v>6.7612656611449609</v>
      </c>
      <c r="CU11" s="18">
        <f>CT11*VLOOKUP('Données projet'!$B$13,Paramètres!$A$1:$I$89,3,0)*VLOOKUP('Données projet'!$B$13,Paramètres!$A$1:$I$89,5,0)</f>
        <v>6.5394961474594062</v>
      </c>
      <c r="CV11" s="14">
        <f t="shared" si="41"/>
        <v>2.4219601769146379</v>
      </c>
      <c r="CW11" s="22">
        <f t="shared" si="13"/>
        <v>15.60786976495146</v>
      </c>
      <c r="CX11" s="60">
        <f t="shared" si="14"/>
        <v>308.94120309828475</v>
      </c>
      <c r="CY11" s="60">
        <f ca="1">AVERAGE(OFFSET($CX$3,0,0,'Données projet'!$E$13+1,1))-AVERAGE(OFFSET($H$3,0,0,'Données projet'!$E$13+1,1))</f>
        <v>293.44206058086951</v>
      </c>
      <c r="CZ11" s="60">
        <f t="shared" si="42"/>
        <v>182.15909509186827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2.4</v>
      </c>
      <c r="DO11" s="13">
        <f>IF('Données projet'!$A$166&gt;35,DO10+DN11-DW10,IF(A11&lt;'Données projet'!$A$166,$DL$205^A11,IF(A11='Données projet'!$A$166,'Données projet'!$B$166,DO10+DN11-DW10)))</f>
        <v>6.7612656611449609</v>
      </c>
      <c r="DP11" s="18">
        <f>DO11*VLOOKUP('Données projet'!$B$14,Paramètres!$A$1:$I$89,3,0)*VLOOKUP('Données projet'!$B$14,Paramètres!$A$1:$I$89,5,0)</f>
        <v>7.2778263576564353</v>
      </c>
      <c r="DQ11" s="14">
        <f t="shared" si="43"/>
        <v>2.6620533673188804</v>
      </c>
      <c r="DR11" s="22">
        <f t="shared" si="16"/>
        <v>17.311957187665342</v>
      </c>
      <c r="DS11" s="60">
        <f t="shared" si="17"/>
        <v>310.64529052099863</v>
      </c>
      <c r="DT11" s="60">
        <f ca="1">AVERAGE(OFFSET($DS$3,0,0,'Données projet'!$E$14+1,1))-AVERAGE(OFFSET($H$3,0,0,'Données projet'!$E$14+1,1))</f>
        <v>338.92444234934266</v>
      </c>
      <c r="DU11" s="60">
        <f t="shared" si="44"/>
        <v>208.91548891910895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1.6</v>
      </c>
      <c r="EJ11" s="13">
        <f>IF('Données projet'!$A$192&gt;35,EJ10+EI11-ER10,IF(A11&lt;'Données projet'!$A$192,$EG$205^A11,IF(A11='Données projet'!$A$192,'Données projet'!$B$192,EJ10+EI11-ER10)))</f>
        <v>3.9999999999999982</v>
      </c>
      <c r="EK11" s="18">
        <f>EJ11*VLOOKUP('Données projet'!$B$15,Paramètres!$A$1:$I$89,3,0)*VLOOKUP('Données projet'!$B$15,Paramètres!$A$1:$I$89,5,0)</f>
        <v>3.2447999999999988</v>
      </c>
      <c r="EL11" s="14">
        <f t="shared" si="45"/>
        <v>1.3038802970520014</v>
      </c>
      <c r="EM11" s="22">
        <f t="shared" si="19"/>
        <v>7.9222848506988983</v>
      </c>
      <c r="EN11" s="60">
        <f t="shared" si="20"/>
        <v>301.25561818403219</v>
      </c>
      <c r="EO11" s="60">
        <f ca="1">AVERAGE(OFFSET($EN$3,0,0,'Données projet'!$E$15+1,1))-AVERAGE(OFFSET($H$3,0,0,'Données projet'!$E$15+1,1))</f>
        <v>346.10839312896536</v>
      </c>
      <c r="EP11" s="60">
        <f t="shared" si="46"/>
        <v>196.24927250256087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5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8">
        <f t="shared" si="1"/>
        <v>312.31376232494284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0">
        <f t="shared" si="0"/>
        <v>308.24387113376753</v>
      </c>
      <c r="S12" s="60">
        <f ca="1">AVERAGE(OFFSET($R$3,0,0,'Données projet'!$E$9+1,1))-AVERAGE(OFFSET($H$3,0,0,'Données projet'!$E$9+1,1))</f>
        <v>327.62615088747526</v>
      </c>
      <c r="T12" s="60">
        <f t="shared" si="34"/>
        <v>180.48047802041276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5.8078266502347455</v>
      </c>
      <c r="AK12" s="14">
        <f t="shared" si="35"/>
        <v>2.1808938198181922</v>
      </c>
      <c r="AL12" s="22">
        <f t="shared" si="4"/>
        <v>13.913688152008866</v>
      </c>
      <c r="AM12" s="60">
        <f t="shared" si="5"/>
        <v>307.2470214853422</v>
      </c>
      <c r="AN12" s="60">
        <f ca="1">AVERAGE(OFFSET($AM$3,0,0,'Données projet'!$E$10+1,1))-AVERAGE(OFFSET($H$3,0,0,'Données projet'!$E$10+1,1))</f>
        <v>295.5242128298583</v>
      </c>
      <c r="AO12" s="60">
        <f t="shared" si="36"/>
        <v>164.21740841327744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2.4358974358974357</v>
      </c>
      <c r="BD12" s="13">
        <f>IF('Données projet'!$A$88&gt;35,BD11+BC12-BL11,IF(A12&lt;'Données projet'!$A$88,$BA$205^A12,IF(A12='Données projet'!$A$88,'Données projet'!$B$88,BD11+BC12-BL11)))</f>
        <v>17.70080828963949</v>
      </c>
      <c r="BE12" s="14">
        <f>BD12*VLOOKUP('Données projet'!$B$11,Paramètres!$A$1:$I$89,3,0)*VLOOKUP('Données projet'!$B$11,Paramètres!$A$1:$I$89,5,0)</f>
        <v>16.84408916842094</v>
      </c>
      <c r="BF12" s="14">
        <f t="shared" si="37"/>
        <v>5.5878032247113882</v>
      </c>
      <c r="BG12" s="22">
        <f t="shared" si="7"/>
        <v>39.068879251372145</v>
      </c>
      <c r="BH12" s="60">
        <f t="shared" si="8"/>
        <v>332.40221258470547</v>
      </c>
      <c r="BI12" s="60">
        <f ca="1">AVERAGE(OFFSET($BH$3,0,0,'Données projet'!$E$11+1,1))-AVERAGE(OFFSET($H$3,0,0,'Données projet'!$E$11+1,1))</f>
        <v>276.19649531804959</v>
      </c>
      <c r="BJ12" s="60">
        <f t="shared" si="38"/>
        <v>253.14970964973463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1.1000000000000001</v>
      </c>
      <c r="BY12" s="13">
        <f>IF('Données projet'!$A$114&gt;35,BY11+BX12-CG11,IF(A12&lt;'Données projet'!$A$114,$BV$205^A12,IF(A12='Données projet'!$A$114,'Données projet'!$B$114,BY11+BX12-CG11)))</f>
        <v>8.6547278641645029</v>
      </c>
      <c r="BZ12" s="14">
        <f>BY12*VLOOKUP('Données projet'!$B$12,Paramètres!$A$1:$I$89,3,0)*VLOOKUP('Données projet'!$B$12,Paramètres!$A$1:$I$89,5,0)</f>
        <v>5.6705776966005823</v>
      </c>
      <c r="CA12" s="14">
        <f t="shared" si="39"/>
        <v>2.1352914049034637</v>
      </c>
      <c r="CB12" s="22">
        <f t="shared" si="10"/>
        <v>13.59522201845288</v>
      </c>
      <c r="CC12" s="60">
        <f t="shared" si="11"/>
        <v>306.9285553517862</v>
      </c>
      <c r="CD12" s="60">
        <f ca="1">AVERAGE(OFFSET($CC$3,0,0,'Données projet'!$E$12+1,1))-AVERAGE(OFFSET($H$3,0,0,'Données projet'!$E$12+1,1))</f>
        <v>154.88061446835457</v>
      </c>
      <c r="CE12" s="60">
        <f t="shared" si="40"/>
        <v>201.47826692201693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2.4</v>
      </c>
      <c r="CT12" s="13">
        <f>IF('Données projet'!$A$140&gt;35,CT11+CS12-DB11,IF(A12&lt;'Données projet'!$A$140,$CQ$205^A12,IF(A12='Données projet'!$A$140,'Données projet'!$B$140,CT11+CS12-DB11)))</f>
        <v>8.585814486631536</v>
      </c>
      <c r="CU12" s="18">
        <f>CT12*VLOOKUP('Données projet'!$B$13,Paramètres!$A$1:$I$89,3,0)*VLOOKUP('Données projet'!$B$13,Paramètres!$A$1:$I$89,5,0)</f>
        <v>8.3041997714700226</v>
      </c>
      <c r="CV12" s="14">
        <f t="shared" si="41"/>
        <v>2.9911871788005651</v>
      </c>
      <c r="CW12" s="22">
        <f t="shared" si="13"/>
        <v>19.672798938387942</v>
      </c>
      <c r="CX12" s="60">
        <f t="shared" si="14"/>
        <v>313.00613227172124</v>
      </c>
      <c r="CY12" s="60">
        <f ca="1">AVERAGE(OFFSET($CX$3,0,0,'Données projet'!$E$13+1,1))-AVERAGE(OFFSET($H$3,0,0,'Données projet'!$E$13+1,1))</f>
        <v>293.44206058086951</v>
      </c>
      <c r="CZ12" s="60">
        <f t="shared" si="42"/>
        <v>182.15909509186827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2.4</v>
      </c>
      <c r="DO12" s="13">
        <f>IF('Données projet'!$A$166&gt;35,DO11+DN12-DW11,IF(A12&lt;'Données projet'!$A$166,$DL$205^A12,IF(A12='Données projet'!$A$166,'Données projet'!$B$166,DO11+DN12-DW11)))</f>
        <v>8.585814486631536</v>
      </c>
      <c r="DP12" s="18">
        <f>DO12*VLOOKUP('Données projet'!$B$14,Paramètres!$A$1:$I$89,3,0)*VLOOKUP('Données projet'!$B$14,Paramètres!$A$1:$I$89,5,0)</f>
        <v>9.241770713410185</v>
      </c>
      <c r="DQ12" s="14">
        <f t="shared" si="43"/>
        <v>3.2877088473646507</v>
      </c>
      <c r="DR12" s="22">
        <f t="shared" si="16"/>
        <v>21.822176901682838</v>
      </c>
      <c r="DS12" s="60">
        <f t="shared" si="17"/>
        <v>315.15551023501615</v>
      </c>
      <c r="DT12" s="60">
        <f ca="1">AVERAGE(OFFSET($DS$3,0,0,'Données projet'!$E$14+1,1))-AVERAGE(OFFSET($H$3,0,0,'Données projet'!$E$14+1,1))</f>
        <v>338.92444234934266</v>
      </c>
      <c r="DU12" s="60">
        <f t="shared" si="44"/>
        <v>208.91548891910895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1.6</v>
      </c>
      <c r="EJ12" s="13">
        <f>IF('Données projet'!$A$192&gt;35,EJ11+EI12-ER11,IF(A12&lt;'Données projet'!$A$192,$EG$205^A12,IF(A12='Données projet'!$A$192,'Données projet'!$B$192,EJ11+EI12-ER11)))</f>
        <v>4.7568284600108823</v>
      </c>
      <c r="EK12" s="18">
        <f>EJ12*VLOOKUP('Données projet'!$B$15,Paramètres!$A$1:$I$89,3,0)*VLOOKUP('Données projet'!$B$15,Paramètres!$A$1:$I$89,5,0)</f>
        <v>3.8587392467608281</v>
      </c>
      <c r="EL12" s="14">
        <f t="shared" si="45"/>
        <v>1.5196208679074081</v>
      </c>
      <c r="EM12" s="22">
        <f t="shared" si="19"/>
        <v>9.3673105330471778</v>
      </c>
      <c r="EN12" s="60">
        <f t="shared" si="20"/>
        <v>302.70064386638052</v>
      </c>
      <c r="EO12" s="60">
        <f ca="1">AVERAGE(OFFSET($EN$3,0,0,'Données projet'!$E$15+1,1))-AVERAGE(OFFSET($H$3,0,0,'Données projet'!$E$15+1,1))</f>
        <v>346.10839312896536</v>
      </c>
      <c r="EP12" s="60">
        <f t="shared" si="46"/>
        <v>196.24927250256087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5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8">
        <f t="shared" si="1"/>
        <v>314.35441004548358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0">
        <f t="shared" si="0"/>
        <v>311.68787167067455</v>
      </c>
      <c r="S13" s="60">
        <f ca="1">AVERAGE(OFFSET($R$3,0,0,'Données projet'!$E$9+1,1))-AVERAGE(OFFSET($H$3,0,0,'Données projet'!$E$9+1,1))</f>
        <v>327.62615088747526</v>
      </c>
      <c r="T13" s="60">
        <f t="shared" si="34"/>
        <v>180.48047802041276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7.1974687550554899</v>
      </c>
      <c r="AK13" s="14">
        <f t="shared" si="35"/>
        <v>2.6360650660630816</v>
      </c>
      <c r="AL13" s="22">
        <f t="shared" si="4"/>
        <v>17.126738071781514</v>
      </c>
      <c r="AM13" s="60">
        <f t="shared" si="5"/>
        <v>310.46007140511483</v>
      </c>
      <c r="AN13" s="60">
        <f ca="1">AVERAGE(OFFSET($AM$3,0,0,'Données projet'!$E$10+1,1))-AVERAGE(OFFSET($H$3,0,0,'Données projet'!$E$10+1,1))</f>
        <v>295.5242128298583</v>
      </c>
      <c r="AO13" s="60">
        <f t="shared" si="36"/>
        <v>164.21740841327744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>
        <f>VLOOKUP(A13,'Données projet'!$A$87:$I$107,2,0)</f>
        <v>24.358974358974358</v>
      </c>
      <c r="BB13" s="13">
        <f>VLOOKUP(A13,'Données projet'!$A$87:$I$107,9,0)</f>
        <v>2.4358974358974357</v>
      </c>
      <c r="BC13" s="13">
        <f t="array" ref="BC13">INDEX(BB:BB,MIN(IF(ISNUMBER(BB13:BB209),ROW(BB13:BB209),"")))</f>
        <v>2.4358974358974357</v>
      </c>
      <c r="BD13" s="13">
        <f>IF('Données projet'!$A$88&gt;35,BD12+BC13-BL12,IF(A13&lt;'Données projet'!$A$88,$BA$205^A13,IF(A13='Données projet'!$A$88,'Données projet'!$B$88,BD12+BC13-BL12)))</f>
        <v>24.358974358974358</v>
      </c>
      <c r="BE13" s="14">
        <f>BD13*VLOOKUP('Données projet'!$B$11,Paramètres!$A$1:$I$89,3,0)*VLOOKUP('Données projet'!$B$11,Paramètres!$A$1:$I$89,5,0)</f>
        <v>23.18</v>
      </c>
      <c r="BF13" s="14">
        <f t="shared" si="37"/>
        <v>7.4091142724382211</v>
      </c>
      <c r="BG13" s="22">
        <f t="shared" si="7"/>
        <v>53.276040691163224</v>
      </c>
      <c r="BH13" s="60">
        <f t="shared" si="8"/>
        <v>346.60937402449656</v>
      </c>
      <c r="BI13" s="60">
        <f ca="1">AVERAGE(OFFSET($BH$3,0,0,'Données projet'!$E$11+1,1))-AVERAGE(OFFSET($H$3,0,0,'Données projet'!$E$11+1,1))</f>
        <v>276.19649531804959</v>
      </c>
      <c r="BJ13" s="60">
        <f t="shared" si="38"/>
        <v>253.14970964973463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>
        <f>VLOOKUP(A13,'Données projet'!$A$113:$I$133,2,0)</f>
        <v>11</v>
      </c>
      <c r="BW13" s="13">
        <f>VLOOKUP(A13,'Données projet'!$A$113:$I$133,9,0)</f>
        <v>1.1000000000000001</v>
      </c>
      <c r="BX13" s="13">
        <f t="array" ref="BX13">INDEX(BW:BW,MIN(IF(ISNUMBER(BW13:BW209),ROW(BW13:BW209),"")))</f>
        <v>1.1000000000000001</v>
      </c>
      <c r="BY13" s="13">
        <f>IF('Données projet'!$A$114&gt;35,BY12+BX13-CG12,IF(A13&lt;'Données projet'!$A$114,$BV$205^A13,IF(A13='Données projet'!$A$114,'Données projet'!$B$114,BY12+BX13-CG12)))</f>
        <v>11</v>
      </c>
      <c r="BZ13" s="14">
        <f>BY13*VLOOKUP('Données projet'!$B$12,Paramètres!$A$1:$I$89,3,0)*VLOOKUP('Données projet'!$B$12,Paramètres!$A$1:$I$89,5,0)</f>
        <v>7.2072000000000003</v>
      </c>
      <c r="CA13" s="14">
        <f t="shared" si="39"/>
        <v>2.6392140198770462</v>
      </c>
      <c r="CB13" s="22">
        <f t="shared" si="10"/>
        <v>17.149171084619187</v>
      </c>
      <c r="CC13" s="60">
        <f t="shared" si="11"/>
        <v>310.4825044179525</v>
      </c>
      <c r="CD13" s="60">
        <f ca="1">AVERAGE(OFFSET($CC$3,0,0,'Données projet'!$E$12+1,1))-AVERAGE(OFFSET($H$3,0,0,'Données projet'!$E$12+1,1))</f>
        <v>154.88061446835457</v>
      </c>
      <c r="CE13" s="60">
        <f t="shared" si="40"/>
        <v>201.47826692201693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2.4</v>
      </c>
      <c r="CT13" s="13">
        <f>IF('Données projet'!$A$140&gt;35,CT12+CS13-DB12,IF(A13&lt;'Données projet'!$A$140,$CQ$205^A13,IF(A13='Données projet'!$A$140,'Données projet'!$B$140,CT12+CS13-DB12)))</f>
        <v>10.902723556992843</v>
      </c>
      <c r="CU13" s="18">
        <f>CT13*VLOOKUP('Données projet'!$B$13,Paramètres!$A$1:$I$89,3,0)*VLOOKUP('Données projet'!$B$13,Paramètres!$A$1:$I$89,5,0)</f>
        <v>10.545114224323479</v>
      </c>
      <c r="CV13" s="14">
        <f t="shared" si="41"/>
        <v>3.6941981226210014</v>
      </c>
      <c r="CW13" s="22">
        <f t="shared" si="13"/>
        <v>24.800135670928302</v>
      </c>
      <c r="CX13" s="60">
        <f t="shared" si="14"/>
        <v>318.1334690042616</v>
      </c>
      <c r="CY13" s="60">
        <f ca="1">AVERAGE(OFFSET($CX$3,0,0,'Données projet'!$E$13+1,1))-AVERAGE(OFFSET($H$3,0,0,'Données projet'!$E$13+1,1))</f>
        <v>293.44206058086951</v>
      </c>
      <c r="CZ13" s="60">
        <f t="shared" si="42"/>
        <v>182.15909509186827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2.4</v>
      </c>
      <c r="DO13" s="13">
        <f>IF('Données projet'!$A$166&gt;35,DO12+DN13-DW12,IF(A13&lt;'Données projet'!$A$166,$DL$205^A13,IF(A13='Données projet'!$A$166,'Données projet'!$B$166,DO12+DN13-DW12)))</f>
        <v>10.902723556992843</v>
      </c>
      <c r="DP13" s="18">
        <f>DO13*VLOOKUP('Données projet'!$B$14,Paramètres!$A$1:$I$89,3,0)*VLOOKUP('Données projet'!$B$14,Paramètres!$A$1:$I$89,5,0)</f>
        <v>11.735691636747095</v>
      </c>
      <c r="DQ13" s="14">
        <f t="shared" si="43"/>
        <v>4.0604105078202233</v>
      </c>
      <c r="DR13" s="22">
        <f t="shared" si="16"/>
        <v>27.511544568454742</v>
      </c>
      <c r="DS13" s="60">
        <f t="shared" si="17"/>
        <v>320.84487790178804</v>
      </c>
      <c r="DT13" s="60">
        <f ca="1">AVERAGE(OFFSET($DS$3,0,0,'Données projet'!$E$14+1,1))-AVERAGE(OFFSET($H$3,0,0,'Données projet'!$E$14+1,1))</f>
        <v>338.92444234934266</v>
      </c>
      <c r="DU13" s="60">
        <f t="shared" si="44"/>
        <v>208.91548891910895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1.6</v>
      </c>
      <c r="EJ13" s="13">
        <f>IF('Données projet'!$A$192&gt;35,EJ12+EI13-ER12,IF(A13&lt;'Données projet'!$A$192,$EG$205^A13,IF(A13='Données projet'!$A$192,'Données projet'!$B$192,EJ12+EI13-ER12)))</f>
        <v>5.656854249492377</v>
      </c>
      <c r="EK13" s="18">
        <f>EJ13*VLOOKUP('Données projet'!$B$15,Paramètres!$A$1:$I$89,3,0)*VLOOKUP('Données projet'!$B$15,Paramètres!$A$1:$I$89,5,0)</f>
        <v>4.5888401671882164</v>
      </c>
      <c r="EL13" s="14">
        <f t="shared" si="45"/>
        <v>1.7710579624531029</v>
      </c>
      <c r="EM13" s="22">
        <f t="shared" si="19"/>
        <v>11.076822575791965</v>
      </c>
      <c r="EN13" s="60">
        <f t="shared" si="20"/>
        <v>304.41015590912525</v>
      </c>
      <c r="EO13" s="60">
        <f ca="1">AVERAGE(OFFSET($EN$3,0,0,'Données projet'!$E$15+1,1))-AVERAGE(OFFSET($H$3,0,0,'Données projet'!$E$15+1,1))</f>
        <v>346.10839312896536</v>
      </c>
      <c r="EP13" s="60">
        <f t="shared" si="46"/>
        <v>196.24927250256087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5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8">
        <f t="shared" si="1"/>
        <v>316.3893545523037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0">
        <f t="shared" si="0"/>
        <v>315.93011288122739</v>
      </c>
      <c r="S14" s="60">
        <f ca="1">AVERAGE(OFFSET($R$3,0,0,'Données projet'!$E$9+1,1))-AVERAGE(OFFSET($H$3,0,0,'Données projet'!$E$9+1,1))</f>
        <v>327.62615088747526</v>
      </c>
      <c r="T14" s="60">
        <f t="shared" si="34"/>
        <v>180.48047802041276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8.9196113451330703</v>
      </c>
      <c r="AK14" s="14">
        <f t="shared" si="35"/>
        <v>3.186234455512118</v>
      </c>
      <c r="AL14" s="22">
        <f t="shared" si="4"/>
        <v>21.084348102790369</v>
      </c>
      <c r="AM14" s="60">
        <f t="shared" si="5"/>
        <v>314.4176814361237</v>
      </c>
      <c r="AN14" s="60">
        <f ca="1">AVERAGE(OFFSET($AM$3,0,0,'Données projet'!$E$10+1,1))-AVERAGE(OFFSET($H$3,0,0,'Données projet'!$E$10+1,1))</f>
        <v>295.5242128298583</v>
      </c>
      <c r="AO14" s="60">
        <f t="shared" si="36"/>
        <v>164.21740841327744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6.9230769230769225</v>
      </c>
      <c r="BD14" s="13">
        <f>IF('Données projet'!$A$88&gt;35,BD13+BC14-BL13,IF(A14&lt;'Données projet'!$A$88,$BA$205^A14,IF(A14='Données projet'!$A$88,'Données projet'!$B$88,BD13+BC14-BL13)))</f>
        <v>31.282051282051281</v>
      </c>
      <c r="BE14" s="14">
        <f>BD14*VLOOKUP('Données projet'!$B$11,Paramètres!$A$1:$I$89,3,0)*VLOOKUP('Données projet'!$B$11,Paramètres!$A$1:$I$89,5,0)</f>
        <v>29.768000000000001</v>
      </c>
      <c r="BF14" s="14">
        <f t="shared" si="37"/>
        <v>9.2418148110169618</v>
      </c>
      <c r="BG14" s="22">
        <f t="shared" si="7"/>
        <v>67.942094129187879</v>
      </c>
      <c r="BH14" s="60">
        <f t="shared" si="8"/>
        <v>361.27542746252118</v>
      </c>
      <c r="BI14" s="60">
        <f ca="1">AVERAGE(OFFSET($BH$3,0,0,'Données projet'!$E$11+1,1))-AVERAGE(OFFSET($H$3,0,0,'Données projet'!$E$11+1,1))</f>
        <v>276.19649531804959</v>
      </c>
      <c r="BJ14" s="60">
        <f t="shared" si="38"/>
        <v>253.14970964973463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6.8</v>
      </c>
      <c r="BY14" s="13">
        <f>IF('Données projet'!$A$114&gt;35,BY13+BX14-CG13,IF(A14&lt;'Données projet'!$A$114,$BV$205^A14,IF(A14='Données projet'!$A$114,'Données projet'!$B$114,BY13+BX14-CG13)))</f>
        <v>17.8</v>
      </c>
      <c r="BZ14" s="14">
        <f>BY14*VLOOKUP('Données projet'!$B$12,Paramètres!$A$1:$I$89,3,0)*VLOOKUP('Données projet'!$B$12,Paramètres!$A$1:$I$89,5,0)</f>
        <v>11.662560000000001</v>
      </c>
      <c r="CA14" s="14">
        <f t="shared" si="39"/>
        <v>4.0380449311592468</v>
      </c>
      <c r="CB14" s="22">
        <f t="shared" si="10"/>
        <v>27.345220255102358</v>
      </c>
      <c r="CC14" s="60">
        <f t="shared" si="11"/>
        <v>320.67855358843565</v>
      </c>
      <c r="CD14" s="60">
        <f ca="1">AVERAGE(OFFSET($CC$3,0,0,'Données projet'!$E$12+1,1))-AVERAGE(OFFSET($H$3,0,0,'Données projet'!$E$12+1,1))</f>
        <v>154.88061446835457</v>
      </c>
      <c r="CE14" s="60">
        <f t="shared" si="40"/>
        <v>201.47826692201693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2.4</v>
      </c>
      <c r="CT14" s="13">
        <f>IF('Données projet'!$A$140&gt;35,CT13+CS14-DB13,IF(A14&lt;'Données projet'!$A$140,$CQ$205^A14,IF(A14='Données projet'!$A$140,'Données projet'!$B$140,CT13+CS14-DB13)))</f>
        <v>13.8448578344304</v>
      </c>
      <c r="CU14" s="18">
        <f>CT14*VLOOKUP('Données projet'!$B$13,Paramètres!$A$1:$I$89,3,0)*VLOOKUP('Données projet'!$B$13,Paramètres!$A$1:$I$89,5,0)</f>
        <v>13.390746497461084</v>
      </c>
      <c r="CV14" s="14">
        <f t="shared" si="41"/>
        <v>4.5624359003333526</v>
      </c>
      <c r="CW14" s="22">
        <f t="shared" si="13"/>
        <v>31.268459342825306</v>
      </c>
      <c r="CX14" s="60">
        <f t="shared" si="14"/>
        <v>324.6017926761586</v>
      </c>
      <c r="CY14" s="60">
        <f ca="1">AVERAGE(OFFSET($CX$3,0,0,'Données projet'!$E$13+1,1))-AVERAGE(OFFSET($H$3,0,0,'Données projet'!$E$13+1,1))</f>
        <v>293.44206058086951</v>
      </c>
      <c r="CZ14" s="60">
        <f t="shared" si="42"/>
        <v>182.15909509186827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2.4</v>
      </c>
      <c r="DO14" s="13">
        <f>IF('Données projet'!$A$166&gt;35,DO13+DN14-DW13,IF(A14&lt;'Données projet'!$A$166,$DL$205^A14,IF(A14='Données projet'!$A$166,'Données projet'!$B$166,DO13+DN14-DW13)))</f>
        <v>13.8448578344304</v>
      </c>
      <c r="DP14" s="18">
        <f>DO14*VLOOKUP('Données projet'!$B$14,Paramètres!$A$1:$I$89,3,0)*VLOOKUP('Données projet'!$B$14,Paramètres!$A$1:$I$89,5,0)</f>
        <v>14.902604972980882</v>
      </c>
      <c r="DQ14" s="14">
        <f t="shared" si="43"/>
        <v>5.0147182300623827</v>
      </c>
      <c r="DR14" s="22">
        <f t="shared" si="16"/>
        <v>34.689337911967016</v>
      </c>
      <c r="DS14" s="60">
        <f t="shared" si="17"/>
        <v>328.02267124530033</v>
      </c>
      <c r="DT14" s="60">
        <f ca="1">AVERAGE(OFFSET($DS$3,0,0,'Données projet'!$E$14+1,1))-AVERAGE(OFFSET($H$3,0,0,'Données projet'!$E$14+1,1))</f>
        <v>338.92444234934266</v>
      </c>
      <c r="DU14" s="60">
        <f t="shared" si="44"/>
        <v>208.91548891910895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1.6</v>
      </c>
      <c r="EJ14" s="13">
        <f>IF('Données projet'!$A$192&gt;35,EJ13+EI14-ER13,IF(A14&lt;'Données projet'!$A$192,$EG$205^A14,IF(A14='Données projet'!$A$192,'Données projet'!$B$192,EJ13+EI14-ER13)))</f>
        <v>6.7271713220297125</v>
      </c>
      <c r="EK14" s="18">
        <f>EJ14*VLOOKUP('Données projet'!$B$15,Paramètres!$A$1:$I$89,3,0)*VLOOKUP('Données projet'!$B$15,Paramètres!$A$1:$I$89,5,0)</f>
        <v>5.4570813764305033</v>
      </c>
      <c r="EL14" s="14">
        <f t="shared" si="45"/>
        <v>2.064097942197813</v>
      </c>
      <c r="EM14" s="22">
        <f t="shared" si="19"/>
        <v>13.099387313277651</v>
      </c>
      <c r="EN14" s="60">
        <f t="shared" si="20"/>
        <v>306.43272064661096</v>
      </c>
      <c r="EO14" s="60">
        <f ca="1">AVERAGE(OFFSET($EN$3,0,0,'Données projet'!$E$15+1,1))-AVERAGE(OFFSET($H$3,0,0,'Données projet'!$E$15+1,1))</f>
        <v>346.10839312896536</v>
      </c>
      <c r="EP14" s="60">
        <f t="shared" si="46"/>
        <v>196.24927250256087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5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8">
        <f t="shared" si="1"/>
        <v>318.4191732840215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0">
        <f t="shared" si="0"/>
        <v>321.15620406350808</v>
      </c>
      <c r="S15" s="60">
        <f ca="1">AVERAGE(OFFSET($R$3,0,0,'Données projet'!$E$9+1,1))-AVERAGE(OFFSET($H$3,0,0,'Données projet'!$E$9+1,1))</f>
        <v>327.62615088747526</v>
      </c>
      <c r="T15" s="60">
        <f t="shared" si="34"/>
        <v>180.48047802041276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11.053812007498347</v>
      </c>
      <c r="AK15" s="14">
        <f t="shared" si="35"/>
        <v>3.8512289154738402</v>
      </c>
      <c r="AL15" s="22">
        <f t="shared" si="4"/>
        <v>25.959612940843225</v>
      </c>
      <c r="AM15" s="60">
        <f t="shared" si="5"/>
        <v>319.29294627417653</v>
      </c>
      <c r="AN15" s="60">
        <f ca="1">AVERAGE(OFFSET($AM$3,0,0,'Données projet'!$E$10+1,1))-AVERAGE(OFFSET($H$3,0,0,'Données projet'!$E$10+1,1))</f>
        <v>295.5242128298583</v>
      </c>
      <c r="AO15" s="60">
        <f t="shared" si="36"/>
        <v>164.21740841327744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6.9230769230769225</v>
      </c>
      <c r="BD15" s="13">
        <f>IF('Données projet'!$A$88&gt;35,BD14+BC15-BL14,IF(A15&lt;'Données projet'!$A$88,$BA$205^A15,IF(A15='Données projet'!$A$88,'Données projet'!$B$88,BD14+BC15-BL14)))</f>
        <v>38.205128205128204</v>
      </c>
      <c r="BE15" s="14">
        <f>BD15*VLOOKUP('Données projet'!$B$11,Paramètres!$A$1:$I$89,3,0)*VLOOKUP('Données projet'!$B$11,Paramètres!$A$1:$I$89,5,0)</f>
        <v>36.356000000000002</v>
      </c>
      <c r="BF15" s="14">
        <f t="shared" si="37"/>
        <v>11.027500907529181</v>
      </c>
      <c r="BG15" s="22">
        <f t="shared" si="7"/>
        <v>82.526264080613331</v>
      </c>
      <c r="BH15" s="60">
        <f t="shared" si="8"/>
        <v>375.85959741394663</v>
      </c>
      <c r="BI15" s="60">
        <f ca="1">AVERAGE(OFFSET($BH$3,0,0,'Données projet'!$E$11+1,1))-AVERAGE(OFFSET($H$3,0,0,'Données projet'!$E$11+1,1))</f>
        <v>276.19649531804959</v>
      </c>
      <c r="BJ15" s="60">
        <f t="shared" si="38"/>
        <v>253.14970964973463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6.8</v>
      </c>
      <c r="BY15" s="13">
        <f>IF('Données projet'!$A$114&gt;35,BY14+BX15-CG14,IF(A15&lt;'Données projet'!$A$114,$BV$205^A15,IF(A15='Données projet'!$A$114,'Données projet'!$B$114,BY14+BX15-CG14)))</f>
        <v>24.6</v>
      </c>
      <c r="BZ15" s="14">
        <f>BY15*VLOOKUP('Données projet'!$B$12,Paramètres!$A$1:$I$89,3,0)*VLOOKUP('Données projet'!$B$12,Paramètres!$A$1:$I$89,5,0)</f>
        <v>16.117920000000002</v>
      </c>
      <c r="CA15" s="14">
        <f t="shared" si="39"/>
        <v>5.3744038004928587</v>
      </c>
      <c r="CB15" s="22">
        <f t="shared" si="10"/>
        <v>37.432463952525062</v>
      </c>
      <c r="CC15" s="60">
        <f t="shared" si="11"/>
        <v>330.76579728585835</v>
      </c>
      <c r="CD15" s="60">
        <f ca="1">AVERAGE(OFFSET($CC$3,0,0,'Données projet'!$E$12+1,1))-AVERAGE(OFFSET($H$3,0,0,'Données projet'!$E$12+1,1))</f>
        <v>154.88061446835457</v>
      </c>
      <c r="CE15" s="60">
        <f t="shared" si="40"/>
        <v>201.47826692201693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2.4</v>
      </c>
      <c r="CT15" s="13">
        <f>IF('Données projet'!$A$140&gt;35,CT14+CS15-DB14,IF(A15&lt;'Données projet'!$A$140,$CQ$205^A15,IF(A15='Données projet'!$A$140,'Données projet'!$B$140,CT14+CS15-DB14)))</f>
        <v>17.580936309501137</v>
      </c>
      <c r="CU15" s="18">
        <f>CT15*VLOOKUP('Données projet'!$B$13,Paramètres!$A$1:$I$89,3,0)*VLOOKUP('Données projet'!$B$13,Paramètres!$A$1:$I$89,5,0)</f>
        <v>17.0042815985495</v>
      </c>
      <c r="CV15" s="14">
        <f t="shared" si="41"/>
        <v>5.6347333450221004</v>
      </c>
      <c r="CW15" s="22">
        <f t="shared" si="13"/>
        <v>39.429617693387208</v>
      </c>
      <c r="CX15" s="60">
        <f t="shared" si="14"/>
        <v>332.76295102672054</v>
      </c>
      <c r="CY15" s="60">
        <f ca="1">AVERAGE(OFFSET($CX$3,0,0,'Données projet'!$E$13+1,1))-AVERAGE(OFFSET($H$3,0,0,'Données projet'!$E$13+1,1))</f>
        <v>293.44206058086951</v>
      </c>
      <c r="CZ15" s="60">
        <f t="shared" si="42"/>
        <v>182.15909509186827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2.4</v>
      </c>
      <c r="DO15" s="13">
        <f>IF('Données projet'!$A$166&gt;35,DO14+DN15-DW14,IF(A15&lt;'Données projet'!$A$166,$DL$205^A15,IF(A15='Données projet'!$A$166,'Données projet'!$B$166,DO14+DN15-DW14)))</f>
        <v>17.580936309501137</v>
      </c>
      <c r="DP15" s="18">
        <f>DO15*VLOOKUP('Données projet'!$B$14,Paramètres!$A$1:$I$89,3,0)*VLOOKUP('Données projet'!$B$14,Paramètres!$A$1:$I$89,5,0)</f>
        <v>18.924119843547022</v>
      </c>
      <c r="DQ15" s="14">
        <f t="shared" si="43"/>
        <v>6.1933144145122476</v>
      </c>
      <c r="DR15" s="22">
        <f t="shared" si="16"/>
        <v>43.746197999453223</v>
      </c>
      <c r="DS15" s="60">
        <f t="shared" si="17"/>
        <v>337.07953133278653</v>
      </c>
      <c r="DT15" s="60">
        <f ca="1">AVERAGE(OFFSET($DS$3,0,0,'Données projet'!$E$14+1,1))-AVERAGE(OFFSET($H$3,0,0,'Données projet'!$E$14+1,1))</f>
        <v>338.92444234934266</v>
      </c>
      <c r="DU15" s="60">
        <f t="shared" si="44"/>
        <v>208.91548891910895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1.6</v>
      </c>
      <c r="EJ15" s="13">
        <f>IF('Données projet'!$A$192&gt;35,EJ14+EI15-ER14,IF(A15&lt;'Données projet'!$A$192,$EG$205^A15,IF(A15='Données projet'!$A$192,'Données projet'!$B$192,EJ14+EI15-ER14)))</f>
        <v>7.9999999999999947</v>
      </c>
      <c r="EK15" s="18">
        <f>EJ15*VLOOKUP('Données projet'!$B$15,Paramètres!$A$1:$I$89,3,0)*VLOOKUP('Données projet'!$B$15,Paramètres!$A$1:$I$89,5,0)</f>
        <v>6.4895999999999967</v>
      </c>
      <c r="EL15" s="14">
        <f t="shared" si="45"/>
        <v>2.4056244376575915</v>
      </c>
      <c r="EM15" s="22">
        <f t="shared" si="19"/>
        <v>15.492515895586967</v>
      </c>
      <c r="EN15" s="60">
        <f t="shared" si="20"/>
        <v>308.82584922892028</v>
      </c>
      <c r="EO15" s="60">
        <f ca="1">AVERAGE(OFFSET($EN$3,0,0,'Données projet'!$E$15+1,1))-AVERAGE(OFFSET($H$3,0,0,'Données projet'!$E$15+1,1))</f>
        <v>346.10839312896536</v>
      </c>
      <c r="EP15" s="60">
        <f t="shared" si="46"/>
        <v>196.24927250256087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5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8">
        <f t="shared" si="1"/>
        <v>320.4443419514879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0">
        <f t="shared" si="0"/>
        <v>327.59504121177019</v>
      </c>
      <c r="S16" s="60">
        <f ca="1">AVERAGE(OFFSET($R$3,0,0,'Données projet'!$E$9+1,1))-AVERAGE(OFFSET($H$3,0,0,'Données projet'!$E$9+1,1))</f>
        <v>327.62615088747526</v>
      </c>
      <c r="T16" s="60">
        <f t="shared" si="34"/>
        <v>180.48047802041276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13.698664119909786</v>
      </c>
      <c r="AK16" s="14">
        <f t="shared" si="35"/>
        <v>4.6550134230463893</v>
      </c>
      <c r="AL16" s="22">
        <f t="shared" si="4"/>
        <v>31.965988387315338</v>
      </c>
      <c r="AM16" s="60">
        <f t="shared" si="5"/>
        <v>325.29932172064866</v>
      </c>
      <c r="AN16" s="60">
        <f ca="1">AVERAGE(OFFSET($AM$3,0,0,'Données projet'!$E$10+1,1))-AVERAGE(OFFSET($H$3,0,0,'Données projet'!$E$10+1,1))</f>
        <v>295.5242128298583</v>
      </c>
      <c r="AO16" s="60">
        <f t="shared" si="36"/>
        <v>164.21740841327744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6.9230769230769225</v>
      </c>
      <c r="BD16" s="13">
        <f>IF('Données projet'!$A$88&gt;35,BD15+BC16-BL15,IF(A16&lt;'Données projet'!$A$88,$BA$205^A16,IF(A16='Données projet'!$A$88,'Données projet'!$B$88,BD15+BC16-BL15)))</f>
        <v>45.128205128205124</v>
      </c>
      <c r="BE16" s="14">
        <f>BD16*VLOOKUP('Données projet'!$B$11,Paramètres!$A$1:$I$89,3,0)*VLOOKUP('Données projet'!$B$11,Paramètres!$A$1:$I$89,5,0)</f>
        <v>42.943999999999996</v>
      </c>
      <c r="BF16" s="14">
        <f t="shared" si="37"/>
        <v>12.775700105616927</v>
      </c>
      <c r="BG16" s="22">
        <f t="shared" si="7"/>
        <v>97.045144350616127</v>
      </c>
      <c r="BH16" s="60">
        <f t="shared" si="8"/>
        <v>390.37847768394943</v>
      </c>
      <c r="BI16" s="60">
        <f ca="1">AVERAGE(OFFSET($BH$3,0,0,'Données projet'!$E$11+1,1))-AVERAGE(OFFSET($H$3,0,0,'Données projet'!$E$11+1,1))</f>
        <v>276.19649531804959</v>
      </c>
      <c r="BJ16" s="60">
        <f t="shared" si="38"/>
        <v>253.14970964973463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6.8</v>
      </c>
      <c r="BY16" s="13">
        <f>IF('Données projet'!$A$114&gt;35,BY15+BX16-CG15,IF(A16&lt;'Données projet'!$A$114,$BV$205^A16,IF(A16='Données projet'!$A$114,'Données projet'!$B$114,BY15+BX16-CG15)))</f>
        <v>31.400000000000002</v>
      </c>
      <c r="BZ16" s="14">
        <f>BY16*VLOOKUP('Données projet'!$B$12,Paramètres!$A$1:$I$89,3,0)*VLOOKUP('Données projet'!$B$12,Paramètres!$A$1:$I$89,5,0)</f>
        <v>20.57328</v>
      </c>
      <c r="CA16" s="14">
        <f t="shared" si="39"/>
        <v>6.6678691706770401</v>
      </c>
      <c r="CB16" s="22">
        <f t="shared" si="10"/>
        <v>47.445001472262504</v>
      </c>
      <c r="CC16" s="60">
        <f t="shared" si="11"/>
        <v>340.77833480559582</v>
      </c>
      <c r="CD16" s="60">
        <f ca="1">AVERAGE(OFFSET($CC$3,0,0,'Données projet'!$E$12+1,1))-AVERAGE(OFFSET($H$3,0,0,'Données projet'!$E$12+1,1))</f>
        <v>154.88061446835457</v>
      </c>
      <c r="CE16" s="60">
        <f t="shared" si="40"/>
        <v>201.47826692201693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2.4</v>
      </c>
      <c r="CT16" s="13">
        <f>IF('Données projet'!$A$140&gt;35,CT15+CS16-DB15,IF(A16&lt;'Données projet'!$A$140,$CQ$205^A16,IF(A16='Données projet'!$A$140,'Données projet'!$B$140,CT15+CS16-DB15)))</f>
        <v>22.325207323550096</v>
      </c>
      <c r="CU16" s="18">
        <f>CT16*VLOOKUP('Données projet'!$B$13,Paramètres!$A$1:$I$89,3,0)*VLOOKUP('Données projet'!$B$13,Paramètres!$A$1:$I$89,5,0)</f>
        <v>21.592940523337653</v>
      </c>
      <c r="CV16" s="14">
        <f t="shared" si="41"/>
        <v>6.9590500695438031</v>
      </c>
      <c r="CW16" s="22">
        <f t="shared" si="13"/>
        <v>49.728050282601863</v>
      </c>
      <c r="CX16" s="60">
        <f t="shared" si="14"/>
        <v>343.0613836159352</v>
      </c>
      <c r="CY16" s="60">
        <f ca="1">AVERAGE(OFFSET($CX$3,0,0,'Données projet'!$E$13+1,1))-AVERAGE(OFFSET($H$3,0,0,'Données projet'!$E$13+1,1))</f>
        <v>293.44206058086951</v>
      </c>
      <c r="CZ16" s="60">
        <f t="shared" si="42"/>
        <v>182.15909509186827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2.4</v>
      </c>
      <c r="DO16" s="13">
        <f>IF('Données projet'!$A$166&gt;35,DO15+DN16-DW15,IF(A16&lt;'Données projet'!$A$166,$DL$205^A16,IF(A16='Données projet'!$A$166,'Données projet'!$B$166,DO15+DN16-DW15)))</f>
        <v>22.325207323550096</v>
      </c>
      <c r="DP16" s="18">
        <f>DO16*VLOOKUP('Données projet'!$B$14,Paramètres!$A$1:$I$89,3,0)*VLOOKUP('Données projet'!$B$14,Paramètres!$A$1:$I$89,5,0)</f>
        <v>24.030853163069324</v>
      </c>
      <c r="DQ16" s="14">
        <f t="shared" si="43"/>
        <v>7.6489129951630472</v>
      </c>
      <c r="DR16" s="22">
        <f t="shared" si="16"/>
        <v>55.175592725588047</v>
      </c>
      <c r="DS16" s="60">
        <f t="shared" si="17"/>
        <v>348.50892605892136</v>
      </c>
      <c r="DT16" s="60">
        <f ca="1">AVERAGE(OFFSET($DS$3,0,0,'Données projet'!$E$14+1,1))-AVERAGE(OFFSET($H$3,0,0,'Données projet'!$E$14+1,1))</f>
        <v>338.92444234934266</v>
      </c>
      <c r="DU16" s="60">
        <f t="shared" si="44"/>
        <v>208.91548891910895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1.6</v>
      </c>
      <c r="EJ16" s="13">
        <f>IF('Données projet'!$A$192&gt;35,EJ15+EI16-ER15,IF(A16&lt;'Données projet'!$A$192,$EG$205^A16,IF(A16='Données projet'!$A$192,'Données projet'!$B$192,EJ15+EI16-ER15)))</f>
        <v>9.5136569200217629</v>
      </c>
      <c r="EK16" s="18">
        <f>EJ16*VLOOKUP('Données projet'!$B$15,Paramètres!$A$1:$I$89,3,0)*VLOOKUP('Données projet'!$B$15,Paramètres!$A$1:$I$89,5,0)</f>
        <v>7.7174784935216545</v>
      </c>
      <c r="EL16" s="14">
        <f t="shared" si="45"/>
        <v>2.8036600476881857</v>
      </c>
      <c r="EM16" s="22">
        <f t="shared" si="19"/>
        <v>18.324316292607136</v>
      </c>
      <c r="EN16" s="60">
        <f t="shared" si="20"/>
        <v>311.65764962594045</v>
      </c>
      <c r="EO16" s="60">
        <f ca="1">AVERAGE(OFFSET($EN$3,0,0,'Données projet'!$E$15+1,1))-AVERAGE(OFFSET($H$3,0,0,'Données projet'!$E$15+1,1))</f>
        <v>346.10839312896536</v>
      </c>
      <c r="EP16" s="60">
        <f t="shared" si="46"/>
        <v>196.24927250256087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5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8">
        <f t="shared" si="1"/>
        <v>322.46525892181711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0">
        <f t="shared" si="0"/>
        <v>335.52892963000164</v>
      </c>
      <c r="S17" s="60">
        <f ca="1">AVERAGE(OFFSET($R$3,0,0,'Données projet'!$E$9+1,1))-AVERAGE(OFFSET($H$3,0,0,'Données projet'!$E$9+1,1))</f>
        <v>327.62615088747526</v>
      </c>
      <c r="T17" s="60">
        <f t="shared" si="34"/>
        <v>180.48047802041276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16.976351555717539</v>
      </c>
      <c r="AK17" s="14">
        <f t="shared" si="35"/>
        <v>5.6265546516016363</v>
      </c>
      <c r="AL17" s="22">
        <f t="shared" si="4"/>
        <v>39.366728311080898</v>
      </c>
      <c r="AM17" s="60">
        <f t="shared" si="5"/>
        <v>332.70006164441423</v>
      </c>
      <c r="AN17" s="60">
        <f ca="1">AVERAGE(OFFSET($AM$3,0,0,'Données projet'!$E$10+1,1))-AVERAGE(OFFSET($H$3,0,0,'Données projet'!$E$10+1,1))</f>
        <v>295.5242128298583</v>
      </c>
      <c r="AO17" s="60">
        <f t="shared" si="36"/>
        <v>164.21740841327744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6.9230769230769225</v>
      </c>
      <c r="BD17" s="13">
        <f>IF('Données projet'!$A$88&gt;35,BD16+BC17-BL16,IF(A17&lt;'Données projet'!$A$88,$BA$205^A17,IF(A17='Données projet'!$A$88,'Données projet'!$B$88,BD16+BC17-BL16)))</f>
        <v>52.051282051282044</v>
      </c>
      <c r="BE17" s="14">
        <f>BD17*VLOOKUP('Données projet'!$B$11,Paramètres!$A$1:$I$89,3,0)*VLOOKUP('Données projet'!$B$11,Paramètres!$A$1:$I$89,5,0)</f>
        <v>49.531999999999996</v>
      </c>
      <c r="BF17" s="14">
        <f t="shared" si="37"/>
        <v>14.49283055175348</v>
      </c>
      <c r="BG17" s="22">
        <f t="shared" si="7"/>
        <v>111.50991321097064</v>
      </c>
      <c r="BH17" s="60">
        <f t="shared" si="8"/>
        <v>404.84324654430395</v>
      </c>
      <c r="BI17" s="60">
        <f ca="1">AVERAGE(OFFSET($BH$3,0,0,'Données projet'!$E$11+1,1))-AVERAGE(OFFSET($H$3,0,0,'Données projet'!$E$11+1,1))</f>
        <v>276.19649531804959</v>
      </c>
      <c r="BJ17" s="60">
        <f t="shared" si="38"/>
        <v>253.14970964973463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6.8</v>
      </c>
      <c r="BY17" s="13">
        <f>IF('Données projet'!$A$114&gt;35,BY16+BX17-CG16,IF(A17&lt;'Données projet'!$A$114,$BV$205^A17,IF(A17='Données projet'!$A$114,'Données projet'!$B$114,BY16+BX17-CG16)))</f>
        <v>38.200000000000003</v>
      </c>
      <c r="BZ17" s="14">
        <f>BY17*VLOOKUP('Données projet'!$B$12,Paramètres!$A$1:$I$89,3,0)*VLOOKUP('Données projet'!$B$12,Paramètres!$A$1:$I$89,5,0)</f>
        <v>25.028640000000003</v>
      </c>
      <c r="CA17" s="14">
        <f t="shared" si="39"/>
        <v>7.9288685965286847</v>
      </c>
      <c r="CB17" s="22">
        <f t="shared" si="10"/>
        <v>57.400994138954132</v>
      </c>
      <c r="CC17" s="60">
        <f t="shared" si="11"/>
        <v>350.73432747228742</v>
      </c>
      <c r="CD17" s="60">
        <f ca="1">AVERAGE(OFFSET($CC$3,0,0,'Données projet'!$E$12+1,1))-AVERAGE(OFFSET($H$3,0,0,'Données projet'!$E$12+1,1))</f>
        <v>154.88061446835457</v>
      </c>
      <c r="CE17" s="60">
        <f t="shared" si="40"/>
        <v>201.47826692201693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2.4</v>
      </c>
      <c r="CT17" s="13">
        <f>IF('Données projet'!$A$140&gt;35,CT16+CS17-DB16,IF(A17&lt;'Données projet'!$A$140,$CQ$205^A17,IF(A17='Données projet'!$A$140,'Données projet'!$B$140,CT16+CS17-DB16)))</f>
        <v>28.349734807362907</v>
      </c>
      <c r="CU17" s="18">
        <f>CT17*VLOOKUP('Données projet'!$B$13,Paramètres!$A$1:$I$89,3,0)*VLOOKUP('Données projet'!$B$13,Paramètres!$A$1:$I$89,5,0)</f>
        <v>27.419863505681406</v>
      </c>
      <c r="CV17" s="14">
        <f t="shared" si="41"/>
        <v>8.5946175098420099</v>
      </c>
      <c r="CW17" s="22">
        <f t="shared" si="13"/>
        <v>62.725221102036606</v>
      </c>
      <c r="CX17" s="60">
        <f t="shared" si="14"/>
        <v>356.0585544353699</v>
      </c>
      <c r="CY17" s="60">
        <f ca="1">AVERAGE(OFFSET($CX$3,0,0,'Données projet'!$E$13+1,1))-AVERAGE(OFFSET($H$3,0,0,'Données projet'!$E$13+1,1))</f>
        <v>293.44206058086951</v>
      </c>
      <c r="CZ17" s="60">
        <f t="shared" si="42"/>
        <v>182.15909509186827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2.4</v>
      </c>
      <c r="DO17" s="13">
        <f>IF('Données projet'!$A$166&gt;35,DO16+DN17-DW16,IF(A17&lt;'Données projet'!$A$166,$DL$205^A17,IF(A17='Données projet'!$A$166,'Données projet'!$B$166,DO16+DN17-DW16)))</f>
        <v>28.349734807362907</v>
      </c>
      <c r="DP17" s="18">
        <f>DO17*VLOOKUP('Données projet'!$B$14,Paramètres!$A$1:$I$89,3,0)*VLOOKUP('Données projet'!$B$14,Paramètres!$A$1:$I$89,5,0)</f>
        <v>30.515654546645433</v>
      </c>
      <c r="DQ17" s="14">
        <f t="shared" si="43"/>
        <v>9.4466171248277782</v>
      </c>
      <c r="DR17" s="22">
        <f t="shared" si="16"/>
        <v>69.600956494482503</v>
      </c>
      <c r="DS17" s="60">
        <f t="shared" si="17"/>
        <v>362.9342898278158</v>
      </c>
      <c r="DT17" s="60">
        <f ca="1">AVERAGE(OFFSET($DS$3,0,0,'Données projet'!$E$14+1,1))-AVERAGE(OFFSET($H$3,0,0,'Données projet'!$E$14+1,1))</f>
        <v>338.92444234934266</v>
      </c>
      <c r="DU17" s="60">
        <f t="shared" si="44"/>
        <v>208.91548891910895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1.6</v>
      </c>
      <c r="EJ17" s="13">
        <f>IF('Données projet'!$A$192&gt;35,EJ16+EI17-ER16,IF(A17&lt;'Données projet'!$A$192,$EG$205^A17,IF(A17='Données projet'!$A$192,'Données projet'!$B$192,EJ16+EI17-ER16)))</f>
        <v>11.313708498984752</v>
      </c>
      <c r="EK17" s="18">
        <f>EJ17*VLOOKUP('Données projet'!$B$15,Paramètres!$A$1:$I$89,3,0)*VLOOKUP('Données projet'!$B$15,Paramètres!$A$1:$I$89,5,0)</f>
        <v>9.177680334376431</v>
      </c>
      <c r="EL17" s="14">
        <f t="shared" si="45"/>
        <v>3.2675547936555143</v>
      </c>
      <c r="EM17" s="22">
        <f t="shared" si="19"/>
        <v>21.675451181322305</v>
      </c>
      <c r="EN17" s="60">
        <f t="shared" si="20"/>
        <v>315.00878451465564</v>
      </c>
      <c r="EO17" s="60">
        <f ca="1">AVERAGE(OFFSET($EN$3,0,0,'Données projet'!$E$15+1,1))-AVERAGE(OFFSET($H$3,0,0,'Données projet'!$E$15+1,1))</f>
        <v>346.10839312896536</v>
      </c>
      <c r="EP17" s="60">
        <f t="shared" si="46"/>
        <v>196.24927250256087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5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8">
        <f t="shared" si="1"/>
        <v>324.48226242776991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0">
        <f t="shared" si="0"/>
        <v>345.30607962204783</v>
      </c>
      <c r="S18" s="60">
        <f ca="1">AVERAGE(OFFSET($R$3,0,0,'Données projet'!$E$9+1,1))-AVERAGE(OFFSET($H$3,0,0,'Données projet'!$E$9+1,1))</f>
        <v>327.62615088747526</v>
      </c>
      <c r="T18" s="60">
        <f t="shared" si="34"/>
        <v>180.48047802041276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21.03829319564419</v>
      </c>
      <c r="AK18" s="14">
        <f t="shared" si="35"/>
        <v>6.8008648676982615</v>
      </c>
      <c r="AL18" s="22">
        <f t="shared" si="4"/>
        <v>48.486533626988098</v>
      </c>
      <c r="AM18" s="60">
        <f t="shared" si="5"/>
        <v>341.81986696032141</v>
      </c>
      <c r="AN18" s="60">
        <f ca="1">AVERAGE(OFFSET($AM$3,0,0,'Données projet'!$E$10+1,1))-AVERAGE(OFFSET($H$3,0,0,'Données projet'!$E$10+1,1))</f>
        <v>295.5242128298583</v>
      </c>
      <c r="AO18" s="60">
        <f t="shared" si="36"/>
        <v>164.21740841327744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58.974358974358971</v>
      </c>
      <c r="BB18" s="13">
        <f>VLOOKUP(A18,'Données projet'!$A$87:$I$107,9,0)</f>
        <v>6.9230769230769225</v>
      </c>
      <c r="BC18" s="13">
        <f t="array" ref="BC18">INDEX(BB:BB,MIN(IF(ISNUMBER(BB18:BB214),ROW(BB18:BB214),"")))</f>
        <v>6.9230769230769225</v>
      </c>
      <c r="BD18" s="13">
        <f>IF('Données projet'!$A$88&gt;35,BD17+BC18-BL17,IF(A18&lt;'Données projet'!$A$88,$BA$205^A18,IF(A18='Données projet'!$A$88,'Données projet'!$B$88,BD17+BC18-BL17)))</f>
        <v>58.974358974358964</v>
      </c>
      <c r="BE18" s="14">
        <f>BD18*VLOOKUP('Données projet'!$B$11,Paramètres!$A$1:$I$89,3,0)*VLOOKUP('Données projet'!$B$11,Paramètres!$A$1:$I$89,5,0)</f>
        <v>56.119999999999983</v>
      </c>
      <c r="BF18" s="14">
        <f t="shared" si="37"/>
        <v>16.183499223962752</v>
      </c>
      <c r="BG18" s="22">
        <f t="shared" si="7"/>
        <v>125.92859448173509</v>
      </c>
      <c r="BH18" s="60">
        <f t="shared" si="8"/>
        <v>419.26192781506842</v>
      </c>
      <c r="BI18" s="60">
        <f ca="1">AVERAGE(OFFSET($BH$3,0,0,'Données projet'!$E$11+1,1))-AVERAGE(OFFSET($H$3,0,0,'Données projet'!$E$11+1,1))</f>
        <v>276.19649531804959</v>
      </c>
      <c r="BJ18" s="60">
        <f t="shared" si="38"/>
        <v>253.14970964973463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45</v>
      </c>
      <c r="BW18" s="13">
        <f>VLOOKUP(A18,'Données projet'!$A$113:$I$133,9,0)</f>
        <v>6.8</v>
      </c>
      <c r="BX18" s="13">
        <f t="array" ref="BX18">INDEX(BW:BW,MIN(IF(ISNUMBER(BW18:BW214),ROW(BW18:BW214),"")))</f>
        <v>6.8</v>
      </c>
      <c r="BY18" s="13">
        <f>IF('Données projet'!$A$114&gt;35,BY17+BX18-CG17,IF(A18&lt;'Données projet'!$A$114,$BV$205^A18,IF(A18='Données projet'!$A$114,'Données projet'!$B$114,BY17+BX18-CG17)))</f>
        <v>45</v>
      </c>
      <c r="BZ18" s="14">
        <f>BY18*VLOOKUP('Données projet'!$B$12,Paramètres!$A$1:$I$89,3,0)*VLOOKUP('Données projet'!$B$12,Paramètres!$A$1:$I$89,5,0)</f>
        <v>29.483999999999998</v>
      </c>
      <c r="CA18" s="14">
        <f t="shared" si="39"/>
        <v>9.1638634703614379</v>
      </c>
      <c r="CB18" s="22">
        <f t="shared" si="10"/>
        <v>67.311695544212839</v>
      </c>
      <c r="CC18" s="60">
        <f t="shared" si="11"/>
        <v>360.64502887754617</v>
      </c>
      <c r="CD18" s="60">
        <f ca="1">AVERAGE(OFFSET($CC$3,0,0,'Données projet'!$E$12+1,1))-AVERAGE(OFFSET($H$3,0,0,'Données projet'!$E$12+1,1))</f>
        <v>154.88061446835457</v>
      </c>
      <c r="CE18" s="60">
        <f t="shared" si="40"/>
        <v>201.47826692201693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>
        <f>VLOOKUP(A18,'Données projet'!$A$139:$I$159,2,0)</f>
        <v>36</v>
      </c>
      <c r="CR18" s="13">
        <f>VLOOKUP(A18,'Données projet'!$A$139:$I$159,9,0)</f>
        <v>2.4</v>
      </c>
      <c r="CS18" s="13">
        <f t="array" ref="CS18">INDEX(CR:CR,MIN(IF(ISNUMBER(CR18:CR214),ROW(CR18:CR214),"")))</f>
        <v>2.4</v>
      </c>
      <c r="CT18" s="13">
        <f>IF('Données projet'!$A$140&gt;35,CT17+CS18-DB17,IF(A18&lt;'Données projet'!$A$140,$CQ$205^A18,IF(A18='Données projet'!$A$140,'Données projet'!$B$140,CT17+CS18-DB17)))</f>
        <v>36</v>
      </c>
      <c r="CU18" s="18">
        <f>CT18*VLOOKUP('Données projet'!$B$13,Paramètres!$A$1:$I$89,3,0)*VLOOKUP('Données projet'!$B$13,Paramètres!$A$1:$I$89,5,0)</f>
        <v>34.819200000000002</v>
      </c>
      <c r="CV18" s="14">
        <f t="shared" si="41"/>
        <v>10.61458811221417</v>
      </c>
      <c r="CW18" s="22">
        <f t="shared" si="13"/>
        <v>79.130514295439681</v>
      </c>
      <c r="CX18" s="60">
        <f t="shared" si="14"/>
        <v>372.46384762877301</v>
      </c>
      <c r="CY18" s="60">
        <f ca="1">AVERAGE(OFFSET($CX$3,0,0,'Données projet'!$E$13+1,1))-AVERAGE(OFFSET($H$3,0,0,'Données projet'!$E$13+1,1))</f>
        <v>293.44206058086951</v>
      </c>
      <c r="CZ18" s="60">
        <f t="shared" si="42"/>
        <v>182.15909509186827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>
        <f>VLOOKUP(A18,'Données projet'!$A$165:$I$185,2,0)</f>
        <v>36</v>
      </c>
      <c r="DM18" s="13">
        <f>VLOOKUP(A18,'Données projet'!$A$165:$I$185,9,0)</f>
        <v>2.4</v>
      </c>
      <c r="DN18" s="13">
        <f t="array" ref="DN18">INDEX(DM:DM,MIN(IF(ISNUMBER(DM18:DM214),ROW(DM18:DM214),"")))</f>
        <v>2.4</v>
      </c>
      <c r="DO18" s="13">
        <f>IF('Données projet'!$A$166&gt;35,DO17+DN18-DW17,IF(A18&lt;'Données projet'!$A$166,$DL$205^A18,IF(A18='Données projet'!$A$166,'Données projet'!$B$166,DO17+DN18-DW17)))</f>
        <v>36</v>
      </c>
      <c r="DP18" s="18">
        <f>DO18*VLOOKUP('Données projet'!$B$14,Paramètres!$A$1:$I$89,3,0)*VLOOKUP('Données projet'!$B$14,Paramètres!$A$1:$I$89,5,0)</f>
        <v>38.750399999999999</v>
      </c>
      <c r="DQ18" s="14">
        <f t="shared" si="43"/>
        <v>11.666830981019302</v>
      </c>
      <c r="DR18" s="22">
        <f t="shared" si="16"/>
        <v>87.810010625275268</v>
      </c>
      <c r="DS18" s="60">
        <f t="shared" si="17"/>
        <v>381.14334395860857</v>
      </c>
      <c r="DT18" s="60">
        <f ca="1">AVERAGE(OFFSET($DS$3,0,0,'Données projet'!$E$14+1,1))-AVERAGE(OFFSET($H$3,0,0,'Données projet'!$E$14+1,1))</f>
        <v>338.92444234934266</v>
      </c>
      <c r="DU18" s="60">
        <f t="shared" si="44"/>
        <v>208.91548891910895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1.6</v>
      </c>
      <c r="EJ18" s="13">
        <f>IF('Données projet'!$A$192&gt;35,EJ17+EI18-ER17,IF(A18&lt;'Données projet'!$A$192,$EG$205^A18,IF(A18='Données projet'!$A$192,'Données projet'!$B$192,EJ17+EI18-ER17)))</f>
        <v>13.454342644059421</v>
      </c>
      <c r="EK18" s="18">
        <f>EJ18*VLOOKUP('Données projet'!$B$15,Paramètres!$A$1:$I$89,3,0)*VLOOKUP('Données projet'!$B$15,Paramètres!$A$1:$I$89,5,0)</f>
        <v>10.914162752861003</v>
      </c>
      <c r="EL18" s="14">
        <f t="shared" si="45"/>
        <v>3.8082057553108122</v>
      </c>
      <c r="EM18" s="22">
        <f t="shared" si="19"/>
        <v>25.641458485065911</v>
      </c>
      <c r="EN18" s="60">
        <f t="shared" si="20"/>
        <v>318.97479181839924</v>
      </c>
      <c r="EO18" s="60">
        <f ca="1">AVERAGE(OFFSET($EN$3,0,0,'Données projet'!$E$15+1,1))-AVERAGE(OFFSET($H$3,0,0,'Données projet'!$E$15+1,1))</f>
        <v>346.10839312896536</v>
      </c>
      <c r="EP18" s="60">
        <f t="shared" si="46"/>
        <v>196.24927250256087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5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8">
        <f t="shared" si="1"/>
        <v>326.49564305302061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0">
        <f t="shared" si="0"/>
        <v>357.3560328458579</v>
      </c>
      <c r="S19" s="60">
        <f ca="1">AVERAGE(OFFSET($R$3,0,0,'Données projet'!$E$9+1,1))-AVERAGE(OFFSET($H$3,0,0,'Données projet'!$E$9+1,1))</f>
        <v>327.62615088747526</v>
      </c>
      <c r="T19" s="60">
        <f t="shared" si="34"/>
        <v>180.48047802041276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26.072138005225284</v>
      </c>
      <c r="AK19" s="14">
        <f t="shared" si="35"/>
        <v>8.2202636982343371</v>
      </c>
      <c r="AL19" s="22">
        <f t="shared" si="4"/>
        <v>59.725932966858835</v>
      </c>
      <c r="AM19" s="60">
        <f t="shared" si="5"/>
        <v>353.05926630019212</v>
      </c>
      <c r="AN19" s="60">
        <f ca="1">AVERAGE(OFFSET($AM$3,0,0,'Données projet'!$E$10+1,1))-AVERAGE(OFFSET($H$3,0,0,'Données projet'!$E$10+1,1))</f>
        <v>295.5242128298583</v>
      </c>
      <c r="AO19" s="60">
        <f t="shared" si="36"/>
        <v>164.21740841327744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8.0769230769230766</v>
      </c>
      <c r="BD19" s="13">
        <f>IF('Données projet'!$A$88&gt;35,BD18+BC19-BL18,IF(A19&lt;'Données projet'!$A$88,$BA$205^A19,IF(A19='Données projet'!$A$88,'Données projet'!$B$88,BD18+BC19-BL18)))</f>
        <v>67.051282051282044</v>
      </c>
      <c r="BE19" s="14">
        <f>BD19*VLOOKUP('Données projet'!$B$11,Paramètres!$A$1:$I$89,3,0)*VLOOKUP('Données projet'!$B$11,Paramètres!$A$1:$I$89,5,0)</f>
        <v>63.80599999999999</v>
      </c>
      <c r="BF19" s="14">
        <f t="shared" si="37"/>
        <v>18.127073827518107</v>
      </c>
      <c r="BG19" s="22">
        <f t="shared" si="7"/>
        <v>142.70010358292737</v>
      </c>
      <c r="BH19" s="60">
        <f t="shared" si="8"/>
        <v>436.03343691626071</v>
      </c>
      <c r="BI19" s="60">
        <f ca="1">AVERAGE(OFFSET($BH$3,0,0,'Données projet'!$E$11+1,1))-AVERAGE(OFFSET($H$3,0,0,'Données projet'!$E$11+1,1))</f>
        <v>276.19649531804959</v>
      </c>
      <c r="BJ19" s="60">
        <f t="shared" si="38"/>
        <v>253.14970964973463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12</v>
      </c>
      <c r="BY19" s="13">
        <f>IF('Données projet'!$A$114&gt;35,BY18+BX19-CG18,IF(A19&lt;'Données projet'!$A$114,$BV$205^A19,IF(A19='Données projet'!$A$114,'Données projet'!$B$114,BY18+BX19-CG18)))</f>
        <v>57</v>
      </c>
      <c r="BZ19" s="14">
        <f>BY19*VLOOKUP('Données projet'!$B$12,Paramètres!$A$1:$I$89,3,0)*VLOOKUP('Données projet'!$B$12,Paramètres!$A$1:$I$89,5,0)</f>
        <v>37.346399999999996</v>
      </c>
      <c r="CA19" s="14">
        <f t="shared" si="39"/>
        <v>11.292524863342392</v>
      </c>
      <c r="CB19" s="22">
        <f t="shared" si="10"/>
        <v>84.712794136987995</v>
      </c>
      <c r="CC19" s="60">
        <f t="shared" si="11"/>
        <v>378.04612747032132</v>
      </c>
      <c r="CD19" s="60">
        <f ca="1">AVERAGE(OFFSET($CC$3,0,0,'Données projet'!$E$12+1,1))-AVERAGE(OFFSET($H$3,0,0,'Données projet'!$E$12+1,1))</f>
        <v>154.88061446835457</v>
      </c>
      <c r="CE19" s="60">
        <f t="shared" si="40"/>
        <v>201.47826692201693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7</v>
      </c>
      <c r="CT19" s="13">
        <f>IF('Données projet'!$A$140&gt;35,CT18+CS19-DB18,IF(A19&lt;'Données projet'!$A$140,$CQ$205^A19,IF(A19='Données projet'!$A$140,'Données projet'!$B$140,CT18+CS19-DB18)))</f>
        <v>43</v>
      </c>
      <c r="CU19" s="18">
        <f>CT19*VLOOKUP('Données projet'!$B$13,Paramètres!$A$1:$I$89,3,0)*VLOOKUP('Données projet'!$B$13,Paramètres!$A$1:$I$89,5,0)</f>
        <v>41.589600000000004</v>
      </c>
      <c r="CV19" s="14">
        <f t="shared" si="41"/>
        <v>12.41901021108378</v>
      </c>
      <c r="CW19" s="22">
        <f t="shared" si="13"/>
        <v>94.064996117637591</v>
      </c>
      <c r="CX19" s="60">
        <f t="shared" si="14"/>
        <v>387.39832945097089</v>
      </c>
      <c r="CY19" s="60">
        <f ca="1">AVERAGE(OFFSET($CX$3,0,0,'Données projet'!$E$13+1,1))-AVERAGE(OFFSET($H$3,0,0,'Données projet'!$E$13+1,1))</f>
        <v>293.44206058086951</v>
      </c>
      <c r="CZ19" s="60">
        <f t="shared" si="42"/>
        <v>182.15909509186827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7</v>
      </c>
      <c r="DO19" s="13">
        <f>IF('Données projet'!$A$166&gt;35,DO18+DN19-DW18,IF(A19&lt;'Données projet'!$A$166,$DL$205^A19,IF(A19='Données projet'!$A$166,'Données projet'!$B$166,DO18+DN19-DW18)))</f>
        <v>43</v>
      </c>
      <c r="DP19" s="18">
        <f>DO19*VLOOKUP('Données projet'!$B$14,Paramètres!$A$1:$I$89,3,0)*VLOOKUP('Données projet'!$B$14,Paramètres!$A$1:$I$89,5,0)</f>
        <v>46.285199999999996</v>
      </c>
      <c r="DQ19" s="14">
        <f t="shared" si="43"/>
        <v>13.650128629818649</v>
      </c>
      <c r="DR19" s="22">
        <f t="shared" si="16"/>
        <v>104.38736403026746</v>
      </c>
      <c r="DS19" s="60">
        <f t="shared" si="17"/>
        <v>397.72069736360078</v>
      </c>
      <c r="DT19" s="60">
        <f ca="1">AVERAGE(OFFSET($DS$3,0,0,'Données projet'!$E$14+1,1))-AVERAGE(OFFSET($H$3,0,0,'Données projet'!$E$14+1,1))</f>
        <v>338.92444234934266</v>
      </c>
      <c r="DU19" s="60">
        <f t="shared" si="44"/>
        <v>208.91548891910895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1.6</v>
      </c>
      <c r="EJ19" s="13">
        <f>IF('Données projet'!$A$192&gt;35,EJ18+EI19-ER18,IF(A19&lt;'Données projet'!$A$192,$EG$205^A19,IF(A19='Données projet'!$A$192,'Données projet'!$B$192,EJ18+EI19-ER18)))</f>
        <v>15.999999999999986</v>
      </c>
      <c r="EK19" s="18">
        <f>EJ19*VLOOKUP('Données projet'!$B$15,Paramètres!$A$1:$I$89,3,0)*VLOOKUP('Données projet'!$B$15,Paramètres!$A$1:$I$89,5,0)</f>
        <v>12.97919999999999</v>
      </c>
      <c r="EL19" s="14">
        <f t="shared" si="45"/>
        <v>4.4383130477080934</v>
      </c>
      <c r="EM19" s="22">
        <f t="shared" si="19"/>
        <v>30.335501891424911</v>
      </c>
      <c r="EN19" s="60">
        <f t="shared" si="20"/>
        <v>323.66883522475825</v>
      </c>
      <c r="EO19" s="60">
        <f ca="1">AVERAGE(OFFSET($EN$3,0,0,'Données projet'!$E$15+1,1))-AVERAGE(OFFSET($H$3,0,0,'Données projet'!$E$15+1,1))</f>
        <v>346.10839312896536</v>
      </c>
      <c r="EP19" s="60">
        <f t="shared" si="46"/>
        <v>196.24927250256087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5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8">
        <f t="shared" si="1"/>
        <v>328.50565300530388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0">
        <f t="shared" si="0"/>
        <v>372.20870820074703</v>
      </c>
      <c r="S20" s="60">
        <f ca="1">AVERAGE(OFFSET($R$3,0,0,'Données projet'!$E$9+1,1))-AVERAGE(OFFSET($H$3,0,0,'Données projet'!$E$9+1,1))</f>
        <v>327.62615088747526</v>
      </c>
      <c r="T20" s="60">
        <f t="shared" si="34"/>
        <v>180.48047802041276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32.310433828550828</v>
      </c>
      <c r="AK20" s="14">
        <f t="shared" si="35"/>
        <v>9.9359032392271498</v>
      </c>
      <c r="AL20" s="22">
        <f t="shared" si="4"/>
        <v>73.579037059713301</v>
      </c>
      <c r="AM20" s="60">
        <f t="shared" si="5"/>
        <v>366.91237039304661</v>
      </c>
      <c r="AN20" s="60">
        <f ca="1">AVERAGE(OFFSET($AM$3,0,0,'Données projet'!$E$10+1,1))-AVERAGE(OFFSET($H$3,0,0,'Données projet'!$E$10+1,1))</f>
        <v>295.5242128298583</v>
      </c>
      <c r="AO20" s="60">
        <f t="shared" si="36"/>
        <v>164.21740841327744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8.0769230769230766</v>
      </c>
      <c r="BD20" s="13">
        <f>IF('Données projet'!$A$88&gt;35,BD19+BC20-BL19,IF(A20&lt;'Données projet'!$A$88,$BA$205^A20,IF(A20='Données projet'!$A$88,'Données projet'!$B$88,BD19+BC20-BL19)))</f>
        <v>75.128205128205124</v>
      </c>
      <c r="BE20" s="14">
        <f>BD20*VLOOKUP('Données projet'!$B$11,Paramètres!$A$1:$I$89,3,0)*VLOOKUP('Données projet'!$B$11,Paramètres!$A$1:$I$89,5,0)</f>
        <v>71.492000000000004</v>
      </c>
      <c r="BF20" s="14">
        <f t="shared" si="37"/>
        <v>20.043517738952893</v>
      </c>
      <c r="BG20" s="22">
        <f t="shared" si="7"/>
        <v>159.42436006200964</v>
      </c>
      <c r="BH20" s="60">
        <f t="shared" si="8"/>
        <v>452.75769339534293</v>
      </c>
      <c r="BI20" s="60">
        <f ca="1">AVERAGE(OFFSET($BH$3,0,0,'Données projet'!$E$11+1,1))-AVERAGE(OFFSET($H$3,0,0,'Données projet'!$E$11+1,1))</f>
        <v>276.19649531804959</v>
      </c>
      <c r="BJ20" s="60">
        <f t="shared" si="38"/>
        <v>253.14970964973463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12</v>
      </c>
      <c r="BY20" s="13">
        <f>IF('Données projet'!$A$114&gt;35,BY19+BX20-CG19,IF(A20&lt;'Données projet'!$A$114,$BV$205^A20,IF(A20='Données projet'!$A$114,'Données projet'!$B$114,BY19+BX20-CG19)))</f>
        <v>69</v>
      </c>
      <c r="BZ20" s="14">
        <f>BY20*VLOOKUP('Données projet'!$B$12,Paramètres!$A$1:$I$89,3,0)*VLOOKUP('Données projet'!$B$12,Paramètres!$A$1:$I$89,5,0)</f>
        <v>45.208800000000004</v>
      </c>
      <c r="CA20" s="14">
        <f t="shared" si="39"/>
        <v>13.369251386406743</v>
      </c>
      <c r="CB20" s="22">
        <f t="shared" si="10"/>
        <v>102.02343949799173</v>
      </c>
      <c r="CC20" s="60">
        <f t="shared" si="11"/>
        <v>395.35677283132503</v>
      </c>
      <c r="CD20" s="60">
        <f ca="1">AVERAGE(OFFSET($CC$3,0,0,'Données projet'!$E$12+1,1))-AVERAGE(OFFSET($H$3,0,0,'Données projet'!$E$12+1,1))</f>
        <v>154.88061446835457</v>
      </c>
      <c r="CE20" s="60">
        <f t="shared" si="40"/>
        <v>201.47826692201693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7</v>
      </c>
      <c r="CT20" s="13">
        <f>IF('Données projet'!$A$140&gt;35,CT19+CS20-DB19,IF(A20&lt;'Données projet'!$A$140,$CQ$205^A20,IF(A20='Données projet'!$A$140,'Données projet'!$B$140,CT19+CS20-DB19)))</f>
        <v>50</v>
      </c>
      <c r="CU20" s="18">
        <f>CT20*VLOOKUP('Données projet'!$B$13,Paramètres!$A$1:$I$89,3,0)*VLOOKUP('Données projet'!$B$13,Paramètres!$A$1:$I$89,5,0)</f>
        <v>48.36</v>
      </c>
      <c r="CV20" s="14">
        <f t="shared" si="41"/>
        <v>14.189403952738854</v>
      </c>
      <c r="CW20" s="22">
        <f t="shared" si="13"/>
        <v>108.9402118843535</v>
      </c>
      <c r="CX20" s="60">
        <f t="shared" si="14"/>
        <v>402.27354521768683</v>
      </c>
      <c r="CY20" s="60">
        <f ca="1">AVERAGE(OFFSET($CX$3,0,0,'Données projet'!$E$13+1,1))-AVERAGE(OFFSET($H$3,0,0,'Données projet'!$E$13+1,1))</f>
        <v>293.44206058086951</v>
      </c>
      <c r="CZ20" s="60">
        <f t="shared" si="42"/>
        <v>182.15909509186827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7</v>
      </c>
      <c r="DO20" s="13">
        <f>IF('Données projet'!$A$166&gt;35,DO19+DN20-DW19,IF(A20&lt;'Données projet'!$A$166,$DL$205^A20,IF(A20='Données projet'!$A$166,'Données projet'!$B$166,DO19+DN20-DW19)))</f>
        <v>50</v>
      </c>
      <c r="DP20" s="18">
        <f>DO20*VLOOKUP('Données projet'!$B$14,Paramètres!$A$1:$I$89,3,0)*VLOOKUP('Données projet'!$B$14,Paramètres!$A$1:$I$89,5,0)</f>
        <v>53.82</v>
      </c>
      <c r="DQ20" s="14">
        <f t="shared" si="43"/>
        <v>15.596024630246266</v>
      </c>
      <c r="DR20" s="22">
        <f t="shared" si="16"/>
        <v>120.89957623101225</v>
      </c>
      <c r="DS20" s="60">
        <f t="shared" si="17"/>
        <v>414.23290956434556</v>
      </c>
      <c r="DT20" s="60">
        <f ca="1">AVERAGE(OFFSET($DS$3,0,0,'Données projet'!$E$14+1,1))-AVERAGE(OFFSET($H$3,0,0,'Données projet'!$E$14+1,1))</f>
        <v>338.92444234934266</v>
      </c>
      <c r="DU20" s="60">
        <f t="shared" si="44"/>
        <v>208.91548891910895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1.6</v>
      </c>
      <c r="EJ20" s="13">
        <f>IF('Données projet'!$A$192&gt;35,EJ19+EI20-ER19,IF(A20&lt;'Données projet'!$A$192,$EG$205^A20,IF(A20='Données projet'!$A$192,'Données projet'!$B$192,EJ19+EI20-ER19)))</f>
        <v>19.027313840043519</v>
      </c>
      <c r="EK20" s="18">
        <f>EJ20*VLOOKUP('Données projet'!$B$15,Paramètres!$A$1:$I$89,3,0)*VLOOKUP('Données projet'!$B$15,Paramètres!$A$1:$I$89,5,0)</f>
        <v>15.434956987043304</v>
      </c>
      <c r="EL20" s="14">
        <f t="shared" si="45"/>
        <v>5.1726781521677969</v>
      </c>
      <c r="EM20" s="22">
        <f t="shared" si="19"/>
        <v>35.891631200792666</v>
      </c>
      <c r="EN20" s="60">
        <f t="shared" si="20"/>
        <v>329.224964534126</v>
      </c>
      <c r="EO20" s="60">
        <f ca="1">AVERAGE(OFFSET($EN$3,0,0,'Données projet'!$E$15+1,1))-AVERAGE(OFFSET($H$3,0,0,'Données projet'!$E$15+1,1))</f>
        <v>346.10839312896536</v>
      </c>
      <c r="EP20" s="60">
        <f t="shared" si="46"/>
        <v>196.24927250256087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5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8">
        <f t="shared" si="1"/>
        <v>330.51251314469152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0">
        <f t="shared" si="0"/>
        <v>390.51791836449235</v>
      </c>
      <c r="S21" s="60">
        <f ca="1">AVERAGE(OFFSET($R$3,0,0,'Données projet'!$E$9+1,1))-AVERAGE(OFFSET($H$3,0,0,'Données projet'!$E$9+1,1))</f>
        <v>327.62615088747526</v>
      </c>
      <c r="T21" s="60">
        <f t="shared" si="34"/>
        <v>180.48047802041276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40.041370369393334</v>
      </c>
      <c r="AK21" s="14">
        <f t="shared" si="35"/>
        <v>12.009611467876571</v>
      </c>
      <c r="AL21" s="22">
        <f t="shared" si="4"/>
        <v>90.655460033245092</v>
      </c>
      <c r="AM21" s="60">
        <f t="shared" si="5"/>
        <v>383.98879336657842</v>
      </c>
      <c r="AN21" s="60">
        <f ca="1">AVERAGE(OFFSET($AM$3,0,0,'Données projet'!$E$10+1,1))-AVERAGE(OFFSET($H$3,0,0,'Données projet'!$E$10+1,1))</f>
        <v>295.5242128298583</v>
      </c>
      <c r="AO21" s="60">
        <f t="shared" si="36"/>
        <v>164.21740841327744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8.0769230769230766</v>
      </c>
      <c r="BD21" s="13">
        <f>IF('Données projet'!$A$88&gt;35,BD20+BC21-BL20,IF(A21&lt;'Données projet'!$A$88,$BA$205^A21,IF(A21='Données projet'!$A$88,'Données projet'!$B$88,BD20+BC21-BL20)))</f>
        <v>83.205128205128204</v>
      </c>
      <c r="BE21" s="14">
        <f>BD21*VLOOKUP('Données projet'!$B$11,Paramètres!$A$1:$I$89,3,0)*VLOOKUP('Données projet'!$B$11,Paramètres!$A$1:$I$89,5,0)</f>
        <v>79.177999999999997</v>
      </c>
      <c r="BF21" s="14">
        <f t="shared" si="37"/>
        <v>21.93608020424908</v>
      </c>
      <c r="BG21" s="22">
        <f t="shared" si="7"/>
        <v>176.10702302240045</v>
      </c>
      <c r="BH21" s="60">
        <f t="shared" si="8"/>
        <v>469.4403563557338</v>
      </c>
      <c r="BI21" s="60">
        <f ca="1">AVERAGE(OFFSET($BH$3,0,0,'Données projet'!$E$11+1,1))-AVERAGE(OFFSET($H$3,0,0,'Données projet'!$E$11+1,1))</f>
        <v>276.19649531804959</v>
      </c>
      <c r="BJ21" s="60">
        <f t="shared" si="38"/>
        <v>253.14970964973463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12</v>
      </c>
      <c r="BY21" s="13">
        <f>IF('Données projet'!$A$114&gt;35,BY20+BX21-CG20,IF(A21&lt;'Données projet'!$A$114,$BV$205^A21,IF(A21='Données projet'!$A$114,'Données projet'!$B$114,BY20+BX21-CG20)))</f>
        <v>81</v>
      </c>
      <c r="BZ21" s="14">
        <f>BY21*VLOOKUP('Données projet'!$B$12,Paramètres!$A$1:$I$89,3,0)*VLOOKUP('Données projet'!$B$12,Paramètres!$A$1:$I$89,5,0)</f>
        <v>53.071199999999997</v>
      </c>
      <c r="CA21" s="14">
        <f t="shared" si="39"/>
        <v>15.404137822648016</v>
      </c>
      <c r="CB21" s="22">
        <f t="shared" si="10"/>
        <v>119.26121337444529</v>
      </c>
      <c r="CC21" s="60">
        <f t="shared" si="11"/>
        <v>412.59454670777859</v>
      </c>
      <c r="CD21" s="60">
        <f ca="1">AVERAGE(OFFSET($CC$3,0,0,'Données projet'!$E$12+1,1))-AVERAGE(OFFSET($H$3,0,0,'Données projet'!$E$12+1,1))</f>
        <v>154.88061446835457</v>
      </c>
      <c r="CE21" s="60">
        <f t="shared" si="40"/>
        <v>201.47826692201693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7</v>
      </c>
      <c r="CT21" s="13">
        <f>IF('Données projet'!$A$140&gt;35,CT20+CS21-DB20,IF(A21&lt;'Données projet'!$A$140,$CQ$205^A21,IF(A21='Données projet'!$A$140,'Données projet'!$B$140,CT20+CS21-DB20)))</f>
        <v>57</v>
      </c>
      <c r="CU21" s="18">
        <f>CT21*VLOOKUP('Données projet'!$B$13,Paramètres!$A$1:$I$89,3,0)*VLOOKUP('Données projet'!$B$13,Paramètres!$A$1:$I$89,5,0)</f>
        <v>55.130399999999995</v>
      </c>
      <c r="CV21" s="14">
        <f t="shared" si="41"/>
        <v>15.931082230000035</v>
      </c>
      <c r="CW21" s="22">
        <f t="shared" si="13"/>
        <v>123.7654148839167</v>
      </c>
      <c r="CX21" s="60">
        <f t="shared" si="14"/>
        <v>417.09874821725003</v>
      </c>
      <c r="CY21" s="60">
        <f ca="1">AVERAGE(OFFSET($CX$3,0,0,'Données projet'!$E$13+1,1))-AVERAGE(OFFSET($H$3,0,0,'Données projet'!$E$13+1,1))</f>
        <v>293.44206058086951</v>
      </c>
      <c r="CZ21" s="60">
        <f t="shared" si="42"/>
        <v>182.15909509186827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7</v>
      </c>
      <c r="DO21" s="13">
        <f>IF('Données projet'!$A$166&gt;35,DO20+DN21-DW20,IF(A21&lt;'Données projet'!$A$166,$DL$205^A21,IF(A21='Données projet'!$A$166,'Données projet'!$B$166,DO20+DN21-DW20)))</f>
        <v>57</v>
      </c>
      <c r="DP21" s="18">
        <f>DO21*VLOOKUP('Données projet'!$B$14,Paramètres!$A$1:$I$89,3,0)*VLOOKUP('Données projet'!$B$14,Paramètres!$A$1:$I$89,5,0)</f>
        <v>61.354799999999997</v>
      </c>
      <c r="DQ21" s="14">
        <f t="shared" si="43"/>
        <v>17.510358551572615</v>
      </c>
      <c r="DR21" s="22">
        <f t="shared" si="16"/>
        <v>137.35681781065566</v>
      </c>
      <c r="DS21" s="60">
        <f t="shared" si="17"/>
        <v>430.69015114398894</v>
      </c>
      <c r="DT21" s="60">
        <f ca="1">AVERAGE(OFFSET($DS$3,0,0,'Données projet'!$E$14+1,1))-AVERAGE(OFFSET($H$3,0,0,'Données projet'!$E$14+1,1))</f>
        <v>338.92444234934266</v>
      </c>
      <c r="DU21" s="60">
        <f t="shared" si="44"/>
        <v>208.91548891910895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1.6</v>
      </c>
      <c r="EJ21" s="13">
        <f>IF('Données projet'!$A$192&gt;35,EJ20+EI21-ER20,IF(A21&lt;'Données projet'!$A$192,$EG$205^A21,IF(A21='Données projet'!$A$192,'Données projet'!$B$192,EJ20+EI21-ER20)))</f>
        <v>22.627416997969497</v>
      </c>
      <c r="EK21" s="18">
        <f>EJ21*VLOOKUP('Données projet'!$B$15,Paramètres!$A$1:$I$89,3,0)*VLOOKUP('Données projet'!$B$15,Paramètres!$A$1:$I$89,5,0)</f>
        <v>18.355360668752859</v>
      </c>
      <c r="EL21" s="14">
        <f t="shared" si="45"/>
        <v>6.0285516092045226</v>
      </c>
      <c r="EM21" s="22">
        <f t="shared" si="19"/>
        <v>42.468647217442438</v>
      </c>
      <c r="EN21" s="60">
        <f t="shared" si="20"/>
        <v>335.80198055077574</v>
      </c>
      <c r="EO21" s="60">
        <f ca="1">AVERAGE(OFFSET($EN$3,0,0,'Données projet'!$E$15+1,1))-AVERAGE(OFFSET($H$3,0,0,'Données projet'!$E$15+1,1))</f>
        <v>346.10839312896536</v>
      </c>
      <c r="EP21" s="60">
        <f t="shared" si="46"/>
        <v>196.24927250256087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5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8">
        <f t="shared" si="1"/>
        <v>332.51641840525372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0">
        <f t="shared" si="0"/>
        <v>413.0904086280766</v>
      </c>
      <c r="S22" s="60">
        <f ca="1">AVERAGE(OFFSET($R$3,0,0,'Données projet'!$E$9+1,1))-AVERAGE(OFFSET($H$3,0,0,'Données projet'!$E$9+1,1))</f>
        <v>327.62615088747526</v>
      </c>
      <c r="T22" s="60">
        <f t="shared" si="34"/>
        <v>180.48047802041276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49.622092651760646</v>
      </c>
      <c r="AK22" s="14">
        <f t="shared" si="35"/>
        <v>14.516120390537463</v>
      </c>
      <c r="AL22" s="22">
        <f t="shared" si="4"/>
        <v>111.70738771533587</v>
      </c>
      <c r="AM22" s="60">
        <f t="shared" si="5"/>
        <v>405.04072104866918</v>
      </c>
      <c r="AN22" s="60">
        <f ca="1">AVERAGE(OFFSET($AM$3,0,0,'Données projet'!$E$10+1,1))-AVERAGE(OFFSET($H$3,0,0,'Données projet'!$E$10+1,1))</f>
        <v>295.5242128298583</v>
      </c>
      <c r="AO22" s="60">
        <f t="shared" si="36"/>
        <v>164.21740841327744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8.0769230769230766</v>
      </c>
      <c r="BD22" s="13">
        <f>IF('Données projet'!$A$88&gt;35,BD21+BC22-BL21,IF(A22&lt;'Données projet'!$A$88,$BA$205^A22,IF(A22='Données projet'!$A$88,'Données projet'!$B$88,BD21+BC22-BL21)))</f>
        <v>91.282051282051285</v>
      </c>
      <c r="BE22" s="14">
        <f>BD22*VLOOKUP('Données projet'!$B$11,Paramètres!$A$1:$I$89,3,0)*VLOOKUP('Données projet'!$B$11,Paramètres!$A$1:$I$89,5,0)</f>
        <v>86.864000000000004</v>
      </c>
      <c r="BF22" s="14">
        <f t="shared" si="37"/>
        <v>23.807343253251293</v>
      </c>
      <c r="BG22" s="22">
        <f t="shared" si="7"/>
        <v>192.75258949941266</v>
      </c>
      <c r="BH22" s="60">
        <f t="shared" si="8"/>
        <v>486.08592283274595</v>
      </c>
      <c r="BI22" s="60">
        <f ca="1">AVERAGE(OFFSET($BH$3,0,0,'Données projet'!$E$11+1,1))-AVERAGE(OFFSET($H$3,0,0,'Données projet'!$E$11+1,1))</f>
        <v>276.19649531804959</v>
      </c>
      <c r="BJ22" s="60">
        <f t="shared" si="38"/>
        <v>253.14970964973463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12</v>
      </c>
      <c r="BY22" s="13">
        <f>IF('Données projet'!$A$114&gt;35,BY21+BX22-CG21,IF(A22&lt;'Données projet'!$A$114,$BV$205^A22,IF(A22='Données projet'!$A$114,'Données projet'!$B$114,BY21+BX22-CG21)))</f>
        <v>93</v>
      </c>
      <c r="BZ22" s="14">
        <f>BY22*VLOOKUP('Données projet'!$B$12,Paramètres!$A$1:$I$89,3,0)*VLOOKUP('Données projet'!$B$12,Paramètres!$A$1:$I$89,5,0)</f>
        <v>60.933599999999991</v>
      </c>
      <c r="CA22" s="14">
        <f t="shared" si="39"/>
        <v>17.404099852856145</v>
      </c>
      <c r="CB22" s="22">
        <f t="shared" si="10"/>
        <v>136.43816057705777</v>
      </c>
      <c r="CC22" s="60">
        <f t="shared" si="11"/>
        <v>429.77149391039109</v>
      </c>
      <c r="CD22" s="60">
        <f ca="1">AVERAGE(OFFSET($CC$3,0,0,'Données projet'!$E$12+1,1))-AVERAGE(OFFSET($H$3,0,0,'Données projet'!$E$12+1,1))</f>
        <v>154.88061446835457</v>
      </c>
      <c r="CE22" s="60">
        <f t="shared" si="40"/>
        <v>201.47826692201693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7</v>
      </c>
      <c r="CT22" s="13">
        <f>IF('Données projet'!$A$140&gt;35,CT21+CS22-DB21,IF(A22&lt;'Données projet'!$A$140,$CQ$205^A22,IF(A22='Données projet'!$A$140,'Données projet'!$B$140,CT21+CS22-DB21)))</f>
        <v>64</v>
      </c>
      <c r="CU22" s="18">
        <f>CT22*VLOOKUP('Données projet'!$B$13,Paramètres!$A$1:$I$89,3,0)*VLOOKUP('Données projet'!$B$13,Paramètres!$A$1:$I$89,5,0)</f>
        <v>61.900800000000004</v>
      </c>
      <c r="CV22" s="14">
        <f t="shared" si="41"/>
        <v>17.647975079256284</v>
      </c>
      <c r="CW22" s="22">
        <f t="shared" si="13"/>
        <v>138.5474499297047</v>
      </c>
      <c r="CX22" s="60">
        <f t="shared" si="14"/>
        <v>431.88078326303798</v>
      </c>
      <c r="CY22" s="60">
        <f ca="1">AVERAGE(OFFSET($CX$3,0,0,'Données projet'!$E$13+1,1))-AVERAGE(OFFSET($H$3,0,0,'Données projet'!$E$13+1,1))</f>
        <v>293.44206058086951</v>
      </c>
      <c r="CZ22" s="60">
        <f t="shared" si="42"/>
        <v>182.15909509186827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7</v>
      </c>
      <c r="DO22" s="13">
        <f>IF('Données projet'!$A$166&gt;35,DO21+DN22-DW21,IF(A22&lt;'Données projet'!$A$166,$DL$205^A22,IF(A22='Données projet'!$A$166,'Données projet'!$B$166,DO21+DN22-DW21)))</f>
        <v>64</v>
      </c>
      <c r="DP22" s="18">
        <f>DO22*VLOOKUP('Données projet'!$B$14,Paramètres!$A$1:$I$89,3,0)*VLOOKUP('Données projet'!$B$14,Paramètres!$A$1:$I$89,5,0)</f>
        <v>68.889600000000002</v>
      </c>
      <c r="DQ22" s="14">
        <f t="shared" si="43"/>
        <v>19.397450021635805</v>
      </c>
      <c r="DR22" s="22">
        <f t="shared" si="16"/>
        <v>153.7666121210157</v>
      </c>
      <c r="DS22" s="60">
        <f t="shared" si="17"/>
        <v>447.09994545434904</v>
      </c>
      <c r="DT22" s="60">
        <f ca="1">AVERAGE(OFFSET($DS$3,0,0,'Données projet'!$E$14+1,1))-AVERAGE(OFFSET($H$3,0,0,'Données projet'!$E$14+1,1))</f>
        <v>338.92444234934266</v>
      </c>
      <c r="DU22" s="60">
        <f t="shared" si="44"/>
        <v>208.91548891910895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1.6</v>
      </c>
      <c r="EJ22" s="13">
        <f>IF('Données projet'!$A$192&gt;35,EJ21+EI22-ER21,IF(A22&lt;'Données projet'!$A$192,$EG$205^A22,IF(A22='Données projet'!$A$192,'Données projet'!$B$192,EJ21+EI22-ER21)))</f>
        <v>26.908685288118836</v>
      </c>
      <c r="EK22" s="18">
        <f>EJ22*VLOOKUP('Données projet'!$B$15,Paramètres!$A$1:$I$89,3,0)*VLOOKUP('Données projet'!$B$15,Paramètres!$A$1:$I$89,5,0)</f>
        <v>21.828325505721999</v>
      </c>
      <c r="EL22" s="14">
        <f t="shared" si="45"/>
        <v>7.0260382408697506</v>
      </c>
      <c r="EM22" s="22">
        <f t="shared" si="19"/>
        <v>50.254683525313965</v>
      </c>
      <c r="EN22" s="60">
        <f t="shared" si="20"/>
        <v>343.58801685864728</v>
      </c>
      <c r="EO22" s="60">
        <f ca="1">AVERAGE(OFFSET($EN$3,0,0,'Données projet'!$E$15+1,1))-AVERAGE(OFFSET($H$3,0,0,'Données projet'!$E$15+1,1))</f>
        <v>346.10839312896536</v>
      </c>
      <c r="EP22" s="60">
        <f t="shared" si="46"/>
        <v>196.24927250256087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5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8">
        <f t="shared" si="1"/>
        <v>334.51754204275585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0">
        <f t="shared" si="0"/>
        <v>440.92171753768048</v>
      </c>
      <c r="S23" s="60">
        <f ca="1">AVERAGE(OFFSET($R$3,0,0,'Données projet'!$E$9+1,1))-AVERAGE(OFFSET($H$3,0,0,'Données projet'!$E$9+1,1))</f>
        <v>327.62615088747526</v>
      </c>
      <c r="T23" s="60">
        <f t="shared" si="34"/>
        <v>180.48047802041276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61.495200000000004</v>
      </c>
      <c r="AK23" s="14">
        <f t="shared" si="35"/>
        <v>17.545759224285259</v>
      </c>
      <c r="AL23" s="22">
        <f t="shared" si="4"/>
        <v>137.66300398229683</v>
      </c>
      <c r="AM23" s="60">
        <f t="shared" si="5"/>
        <v>430.99633731563017</v>
      </c>
      <c r="AN23" s="60">
        <f ca="1">AVERAGE(OFFSET($AM$3,0,0,'Données projet'!$E$10+1,1))-AVERAGE(OFFSET($H$3,0,0,'Données projet'!$E$10+1,1))</f>
        <v>295.5242128298583</v>
      </c>
      <c r="AO23" s="60">
        <f t="shared" si="36"/>
        <v>164.21740841327744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99.358974358974351</v>
      </c>
      <c r="BB23" s="13">
        <f>VLOOKUP(A23,'Données projet'!$A$87:$I$107,9,0)</f>
        <v>8.0769230769230766</v>
      </c>
      <c r="BC23" s="13">
        <f t="array" ref="BC23">INDEX(BB:BB,MIN(IF(ISNUMBER(BB23:BB219),ROW(BB23:BB219),"")))</f>
        <v>8.0769230769230766</v>
      </c>
      <c r="BD23" s="13">
        <f>IF('Données projet'!$A$88&gt;35,BD22+BC23-BL22,IF(A23&lt;'Données projet'!$A$88,$BA$205^A23,IF(A23='Données projet'!$A$88,'Données projet'!$B$88,BD22+BC23-BL22)))</f>
        <v>99.358974358974365</v>
      </c>
      <c r="BE23" s="14">
        <f>BD23*VLOOKUP('Données projet'!$B$11,Paramètres!$A$1:$I$89,3,0)*VLOOKUP('Données projet'!$B$11,Paramètres!$A$1:$I$89,5,0)</f>
        <v>94.55</v>
      </c>
      <c r="BF23" s="14">
        <f t="shared" si="37"/>
        <v>25.659405828199805</v>
      </c>
      <c r="BG23" s="22">
        <f t="shared" si="7"/>
        <v>209.36471515078131</v>
      </c>
      <c r="BH23" s="60">
        <f t="shared" si="8"/>
        <v>502.69804848411462</v>
      </c>
      <c r="BI23" s="60">
        <f ca="1">AVERAGE(OFFSET($BH$3,0,0,'Données projet'!$E$11+1,1))-AVERAGE(OFFSET($H$3,0,0,'Données projet'!$E$11+1,1))</f>
        <v>276.19649531804959</v>
      </c>
      <c r="BJ23" s="60">
        <f t="shared" si="38"/>
        <v>253.14970964973463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28.846153846153847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105</v>
      </c>
      <c r="BW23" s="13">
        <f>VLOOKUP(A23,'Données projet'!$A$113:$I$133,9,0)</f>
        <v>12</v>
      </c>
      <c r="BX23" s="13">
        <f t="array" ref="BX23">INDEX(BW:BW,MIN(IF(ISNUMBER(BW23:BW219),ROW(BW23:BW219),"")))</f>
        <v>12</v>
      </c>
      <c r="BY23" s="13">
        <f>IF('Données projet'!$A$114&gt;35,BY22+BX23-CG22,IF(A23&lt;'Données projet'!$A$114,$BV$205^A23,IF(A23='Données projet'!$A$114,'Données projet'!$B$114,BY22+BX23-CG22)))</f>
        <v>105</v>
      </c>
      <c r="BZ23" s="14">
        <f>BY23*VLOOKUP('Données projet'!$B$12,Paramètres!$A$1:$I$89,3,0)*VLOOKUP('Données projet'!$B$12,Paramètres!$A$1:$I$89,5,0)</f>
        <v>68.796000000000006</v>
      </c>
      <c r="CA23" s="14">
        <f t="shared" si="39"/>
        <v>19.374160697102734</v>
      </c>
      <c r="CB23" s="22">
        <f t="shared" si="10"/>
        <v>153.56302988078727</v>
      </c>
      <c r="CC23" s="60">
        <f t="shared" si="11"/>
        <v>446.89636321412058</v>
      </c>
      <c r="CD23" s="60">
        <f ca="1">AVERAGE(OFFSET($CC$3,0,0,'Données projet'!$E$12+1,1))-AVERAGE(OFFSET($H$3,0,0,'Données projet'!$E$12+1,1))</f>
        <v>154.88061446835457</v>
      </c>
      <c r="CE23" s="60">
        <f t="shared" si="40"/>
        <v>201.47826692201693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15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71</v>
      </c>
      <c r="CR23" s="13">
        <f>VLOOKUP(A23,'Données projet'!$A$139:$I$159,9,0)</f>
        <v>7</v>
      </c>
      <c r="CS23" s="13">
        <f t="array" ref="CS23">INDEX(CR:CR,MIN(IF(ISNUMBER(CR23:CR219),ROW(CR23:CR219),"")))</f>
        <v>7</v>
      </c>
      <c r="CT23" s="13">
        <f>IF('Données projet'!$A$140&gt;35,CT22+CS23-DB22,IF(A23&lt;'Données projet'!$A$140,$CQ$205^A23,IF(A23='Données projet'!$A$140,'Données projet'!$B$140,CT22+CS23-DB22)))</f>
        <v>71</v>
      </c>
      <c r="CU23" s="18">
        <f>CT23*VLOOKUP('Données projet'!$B$13,Paramètres!$A$1:$I$89,3,0)*VLOOKUP('Données projet'!$B$13,Paramètres!$A$1:$I$89,5,0)</f>
        <v>68.671200000000013</v>
      </c>
      <c r="CV23" s="14">
        <f t="shared" si="41"/>
        <v>19.343102525659866</v>
      </c>
      <c r="CW23" s="22">
        <f t="shared" si="13"/>
        <v>153.29157689885758</v>
      </c>
      <c r="CX23" s="60">
        <f t="shared" si="14"/>
        <v>446.62491023219093</v>
      </c>
      <c r="CY23" s="60">
        <f ca="1">AVERAGE(OFFSET($CX$3,0,0,'Données projet'!$E$13+1,1))-AVERAGE(OFFSET($H$3,0,0,'Données projet'!$E$13+1,1))</f>
        <v>293.44206058086951</v>
      </c>
      <c r="CZ23" s="60">
        <f t="shared" si="42"/>
        <v>182.15909509186827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>
        <f>VLOOKUP(A23,'Données projet'!$A$165:$I$185,2,0)</f>
        <v>71</v>
      </c>
      <c r="DM23" s="13">
        <f>VLOOKUP(A23,'Données projet'!$A$165:$I$185,9,0)</f>
        <v>7</v>
      </c>
      <c r="DN23" s="13">
        <f t="array" ref="DN23">INDEX(DM:DM,MIN(IF(ISNUMBER(DM23:DM219),ROW(DM23:DM219),"")))</f>
        <v>7</v>
      </c>
      <c r="DO23" s="13">
        <f>IF('Données projet'!$A$166&gt;35,DO22+DN23-DW22,IF(A23&lt;'Données projet'!$A$166,$DL$205^A23,IF(A23='Données projet'!$A$166,'Données projet'!$B$166,DO22+DN23-DW22)))</f>
        <v>71</v>
      </c>
      <c r="DP23" s="18">
        <f>DO23*VLOOKUP('Données projet'!$B$14,Paramètres!$A$1:$I$89,3,0)*VLOOKUP('Données projet'!$B$14,Paramètres!$A$1:$I$89,5,0)</f>
        <v>76.424399999999991</v>
      </c>
      <c r="DQ23" s="14">
        <f t="shared" si="43"/>
        <v>21.260618446015851</v>
      </c>
      <c r="DR23" s="22">
        <f t="shared" si="16"/>
        <v>170.13474046014426</v>
      </c>
      <c r="DS23" s="60">
        <f t="shared" si="17"/>
        <v>463.46807379347757</v>
      </c>
      <c r="DT23" s="60">
        <f ca="1">AVERAGE(OFFSET($DS$3,0,0,'Données projet'!$E$14+1,1))-AVERAGE(OFFSET($H$3,0,0,'Données projet'!$E$14+1,1))</f>
        <v>338.92444234934266</v>
      </c>
      <c r="DU23" s="60">
        <f t="shared" si="44"/>
        <v>208.91548891910895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>
        <f>VLOOKUP(A23,'Données projet'!$A$191:$I$211,2,0)</f>
        <v>32</v>
      </c>
      <c r="EH23" s="13">
        <f>VLOOKUP(A23,'Données projet'!$A$191:$I$211,9,0)</f>
        <v>1.6</v>
      </c>
      <c r="EI23" s="13">
        <f t="array" ref="EI23">INDEX(EH:EH,MIN(IF(ISNUMBER(EH23:EH219),ROW(EH23:EH219),"")))</f>
        <v>1.6</v>
      </c>
      <c r="EJ23" s="13">
        <f>IF('Données projet'!$A$192&gt;35,EJ22+EI23-ER22,IF(A23&lt;'Données projet'!$A$192,$EG$205^A23,IF(A23='Données projet'!$A$192,'Données projet'!$B$192,EJ22+EI23-ER22)))</f>
        <v>32</v>
      </c>
      <c r="EK23" s="18">
        <f>EJ23*VLOOKUP('Données projet'!$B$15,Paramètres!$A$1:$I$89,3,0)*VLOOKUP('Données projet'!$B$15,Paramètres!$A$1:$I$89,5,0)</f>
        <v>25.958400000000001</v>
      </c>
      <c r="EL23" s="14">
        <f t="shared" si="45"/>
        <v>8.1885694213502802</v>
      </c>
      <c r="EM23" s="22">
        <f t="shared" si="19"/>
        <v>59.472638408851729</v>
      </c>
      <c r="EN23" s="60">
        <f t="shared" si="20"/>
        <v>352.80597174218502</v>
      </c>
      <c r="EO23" s="60">
        <f ca="1">AVERAGE(OFFSET($EN$3,0,0,'Données projet'!$E$15+1,1))-AVERAGE(OFFSET($H$3,0,0,'Données projet'!$E$15+1,1))</f>
        <v>346.10839312896536</v>
      </c>
      <c r="EP23" s="60">
        <f t="shared" si="46"/>
        <v>196.24927250256087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5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8">
        <f t="shared" si="1"/>
        <v>336.51603900867377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projet'!$B$9,Paramètres!$A$1:$I$89,3,0)*VLOOKUP('Données projet'!$B$9,Paramètres!$A$1:$I$89,5,0)</f>
        <v>72.564959999999999</v>
      </c>
      <c r="P24" s="14">
        <f t="shared" si="33"/>
        <v>20.30908732150932</v>
      </c>
      <c r="Q24" s="22">
        <f t="shared" si="2"/>
        <v>161.75563241829539</v>
      </c>
      <c r="R24" s="60">
        <f t="shared" si="0"/>
        <v>455.08896575162873</v>
      </c>
      <c r="S24" s="60">
        <f ca="1">AVERAGE(OFFSET($R$3,0,0,'Données projet'!$E$9+1,1))-AVERAGE(OFFSET($H$3,0,0,'Données projet'!$E$9+1,1))</f>
        <v>327.62615088747526</v>
      </c>
      <c r="T24" s="60">
        <f t="shared" si="34"/>
        <v>180.48047802041276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80.2</v>
      </c>
      <c r="AJ24" s="14">
        <f>AI24*VLOOKUP('Données projet'!$B$10,Paramètres!$A$1:$I$89,3,0)*VLOOKUP('Données projet'!$B$10,Paramètres!$A$1:$I$89,5,0)</f>
        <v>67.560480000000013</v>
      </c>
      <c r="AK24" s="14">
        <f t="shared" si="35"/>
        <v>19.066393765425332</v>
      </c>
      <c r="AL24" s="22">
        <f t="shared" si="4"/>
        <v>150.87513847478246</v>
      </c>
      <c r="AM24" s="60">
        <f t="shared" si="5"/>
        <v>444.20847180811575</v>
      </c>
      <c r="AN24" s="60">
        <f ca="1">AVERAGE(OFFSET($AM$3,0,0,'Données projet'!$E$10+1,1))-AVERAGE(OFFSET($H$3,0,0,'Données projet'!$E$10+1,1))</f>
        <v>295.5242128298583</v>
      </c>
      <c r="AO24" s="60">
        <f t="shared" si="36"/>
        <v>164.21740841327744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8.0769230769230802</v>
      </c>
      <c r="BD24" s="13">
        <f>IF('Données projet'!$A$88&gt;35,BD23+BC24-BL23,IF(A24&lt;'Données projet'!$A$88,$BA$205^A24,IF(A24='Données projet'!$A$88,'Données projet'!$B$88,BD23+BC24-BL23)))</f>
        <v>78.589743589743591</v>
      </c>
      <c r="BE24" s="14">
        <f>BD24*VLOOKUP('Données projet'!$B$11,Paramètres!$A$1:$I$89,3,0)*VLOOKUP('Données projet'!$B$11,Paramètres!$A$1:$I$89,5,0)</f>
        <v>74.786000000000001</v>
      </c>
      <c r="BF24" s="14">
        <f t="shared" si="37"/>
        <v>20.857376778776572</v>
      </c>
      <c r="BG24" s="22">
        <f t="shared" si="7"/>
        <v>166.57888122303586</v>
      </c>
      <c r="BH24" s="60">
        <f t="shared" si="8"/>
        <v>459.91221455636918</v>
      </c>
      <c r="BI24" s="60">
        <f ca="1">AVERAGE(OFFSET($BH$3,0,0,'Données projet'!$E$11+1,1))-AVERAGE(OFFSET($H$3,0,0,'Données projet'!$E$11+1,1))</f>
        <v>276.19649531804959</v>
      </c>
      <c r="BJ24" s="60">
        <f t="shared" si="38"/>
        <v>253.14970964973463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9.6</v>
      </c>
      <c r="BY24" s="13">
        <f>IF('Données projet'!$A$114&gt;35,BY23+BX24-CG23,IF(A24&lt;'Données projet'!$A$114,$BV$205^A24,IF(A24='Données projet'!$A$114,'Données projet'!$B$114,BY23+BX24-CG23)))</f>
        <v>99.6</v>
      </c>
      <c r="BZ24" s="14">
        <f>BY24*VLOOKUP('Données projet'!$B$12,Paramètres!$A$1:$I$89,3,0)*VLOOKUP('Données projet'!$B$12,Paramètres!$A$1:$I$89,5,0)</f>
        <v>65.257919999999999</v>
      </c>
      <c r="CA24" s="14">
        <f t="shared" si="39"/>
        <v>18.491067519086762</v>
      </c>
      <c r="CB24" s="22">
        <f t="shared" si="10"/>
        <v>145.8628199290761</v>
      </c>
      <c r="CC24" s="60">
        <f t="shared" si="11"/>
        <v>439.19615326240944</v>
      </c>
      <c r="CD24" s="60">
        <f ca="1">AVERAGE(OFFSET($CC$3,0,0,'Données projet'!$E$12+1,1))-AVERAGE(OFFSET($H$3,0,0,'Données projet'!$E$12+1,1))</f>
        <v>154.88061446835457</v>
      </c>
      <c r="CE24" s="60">
        <f t="shared" si="40"/>
        <v>201.47826692201693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7.6</v>
      </c>
      <c r="CT24" s="13">
        <f>IF('Données projet'!$A$140&gt;35,CT23+CS24-DB23,IF(A24&lt;'Données projet'!$A$140,$CQ$205^A24,IF(A24='Données projet'!$A$140,'Données projet'!$B$140,CT23+CS24-DB23)))</f>
        <v>78.599999999999994</v>
      </c>
      <c r="CU24" s="18">
        <f>CT24*VLOOKUP('Données projet'!$B$13,Paramètres!$A$1:$I$89,3,0)*VLOOKUP('Données projet'!$B$13,Paramètres!$A$1:$I$89,5,0)</f>
        <v>76.021920000000009</v>
      </c>
      <c r="CV24" s="14">
        <f t="shared" si="41"/>
        <v>21.161654450476842</v>
      </c>
      <c r="CW24" s="22">
        <f t="shared" si="13"/>
        <v>169.26139216791384</v>
      </c>
      <c r="CX24" s="60">
        <f t="shared" si="14"/>
        <v>462.59472550124713</v>
      </c>
      <c r="CY24" s="60">
        <f ca="1">AVERAGE(OFFSET($CX$3,0,0,'Données projet'!$E$13+1,1))-AVERAGE(OFFSET($H$3,0,0,'Données projet'!$E$13+1,1))</f>
        <v>293.44206058086951</v>
      </c>
      <c r="CZ24" s="60">
        <f t="shared" si="42"/>
        <v>182.15909509186827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7.6</v>
      </c>
      <c r="DO24" s="13">
        <f>IF('Données projet'!$A$166&gt;35,DO23+DN24-DW23,IF(A24&lt;'Données projet'!$A$166,$DL$205^A24,IF(A24='Données projet'!$A$166,'Données projet'!$B$166,DO23+DN24-DW23)))</f>
        <v>78.599999999999994</v>
      </c>
      <c r="DP24" s="18">
        <f>DO24*VLOOKUP('Données projet'!$B$14,Paramètres!$A$1:$I$89,3,0)*VLOOKUP('Données projet'!$B$14,Paramètres!$A$1:$I$89,5,0)</f>
        <v>84.605039999999988</v>
      </c>
      <c r="DQ24" s="14">
        <f t="shared" si="43"/>
        <v>23.25944663536718</v>
      </c>
      <c r="DR24" s="22">
        <f t="shared" si="16"/>
        <v>187.86398088993113</v>
      </c>
      <c r="DS24" s="60">
        <f t="shared" si="17"/>
        <v>481.19731422326447</v>
      </c>
      <c r="DT24" s="60">
        <f ca="1">AVERAGE(OFFSET($DS$3,0,0,'Données projet'!$E$14+1,1))-AVERAGE(OFFSET($H$3,0,0,'Données projet'!$E$14+1,1))</f>
        <v>338.92444234934266</v>
      </c>
      <c r="DU24" s="60">
        <f t="shared" si="44"/>
        <v>208.91548891910895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8.8000000000000007</v>
      </c>
      <c r="EJ24" s="13">
        <f>IF('Données projet'!$A$192&gt;35,EJ23+EI24-ER23,IF(A24&lt;'Données projet'!$A$192,$EG$205^A24,IF(A24='Données projet'!$A$192,'Données projet'!$B$192,EJ23+EI24-ER23)))</f>
        <v>40.799999999999997</v>
      </c>
      <c r="EK24" s="18">
        <f>EJ24*VLOOKUP('Données projet'!$B$15,Paramètres!$A$1:$I$89,3,0)*VLOOKUP('Données projet'!$B$15,Paramètres!$A$1:$I$89,5,0)</f>
        <v>33.096959999999996</v>
      </c>
      <c r="EL24" s="14">
        <f t="shared" si="45"/>
        <v>10.149317402083243</v>
      </c>
      <c r="EM24" s="22">
        <f t="shared" si="19"/>
        <v>75.320599808628302</v>
      </c>
      <c r="EN24" s="60">
        <f t="shared" si="20"/>
        <v>368.6539331419616</v>
      </c>
      <c r="EO24" s="60">
        <f ca="1">AVERAGE(OFFSET($EN$3,0,0,'Données projet'!$E$15+1,1))-AVERAGE(OFFSET($H$3,0,0,'Données projet'!$E$15+1,1))</f>
        <v>346.10839312896536</v>
      </c>
      <c r="EP24" s="60">
        <f t="shared" si="46"/>
        <v>196.24927250256087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5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8">
        <f t="shared" si="1"/>
        <v>338.51204866333012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projet'!$B$9,Paramètres!$A$1:$I$89,3,0)*VLOOKUP('Données projet'!$B$9,Paramètres!$A$1:$I$89,5,0)</f>
        <v>79.079520000000002</v>
      </c>
      <c r="P25" s="14">
        <f t="shared" si="33"/>
        <v>21.911970621402002</v>
      </c>
      <c r="Q25" s="22">
        <f t="shared" si="2"/>
        <v>175.89351283227515</v>
      </c>
      <c r="R25" s="60">
        <f t="shared" si="0"/>
        <v>469.22684616560844</v>
      </c>
      <c r="S25" s="60">
        <f ca="1">AVERAGE(OFFSET($R$3,0,0,'Données projet'!$E$9+1,1))-AVERAGE(OFFSET($H$3,0,0,'Données projet'!$E$9+1,1))</f>
        <v>327.62615088747526</v>
      </c>
      <c r="T25" s="60">
        <f t="shared" si="34"/>
        <v>180.48047802041276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87.4</v>
      </c>
      <c r="AJ25" s="14">
        <f>AI25*VLOOKUP('Données projet'!$B$10,Paramètres!$A$1:$I$89,3,0)*VLOOKUP('Données projet'!$B$10,Paramètres!$A$1:$I$89,5,0)</f>
        <v>73.625760000000014</v>
      </c>
      <c r="AK25" s="14">
        <f t="shared" si="35"/>
        <v>20.571198174996731</v>
      </c>
      <c r="AL25" s="22">
        <f t="shared" si="4"/>
        <v>164.05970215478601</v>
      </c>
      <c r="AM25" s="60">
        <f t="shared" si="5"/>
        <v>457.39303548811932</v>
      </c>
      <c r="AN25" s="60">
        <f ca="1">AVERAGE(OFFSET($AM$3,0,0,'Données projet'!$E$10+1,1))-AVERAGE(OFFSET($H$3,0,0,'Données projet'!$E$10+1,1))</f>
        <v>295.5242128298583</v>
      </c>
      <c r="AO25" s="60">
        <f t="shared" si="36"/>
        <v>164.21740841327744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8.0769230769230802</v>
      </c>
      <c r="BD25" s="13">
        <f>IF('Données projet'!$A$88&gt;35,BD24+BC25-BL24,IF(A25&lt;'Données projet'!$A$88,$BA$205^A25,IF(A25='Données projet'!$A$88,'Données projet'!$B$88,BD24+BC25-BL24)))</f>
        <v>86.666666666666671</v>
      </c>
      <c r="BE25" s="14">
        <f>BD25*VLOOKUP('Données projet'!$B$11,Paramètres!$A$1:$I$89,3,0)*VLOOKUP('Données projet'!$B$11,Paramètres!$A$1:$I$89,5,0)</f>
        <v>82.472000000000008</v>
      </c>
      <c r="BF25" s="14">
        <f t="shared" si="37"/>
        <v>22.74052630717372</v>
      </c>
      <c r="BG25" s="22">
        <f t="shared" si="7"/>
        <v>183.24514998499424</v>
      </c>
      <c r="BH25" s="60">
        <f t="shared" si="8"/>
        <v>476.57848331832759</v>
      </c>
      <c r="BI25" s="60">
        <f ca="1">AVERAGE(OFFSET($BH$3,0,0,'Données projet'!$E$11+1,1))-AVERAGE(OFFSET($H$3,0,0,'Données projet'!$E$11+1,1))</f>
        <v>276.19649531804959</v>
      </c>
      <c r="BJ25" s="60">
        <f t="shared" si="38"/>
        <v>253.14970964973463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9.6</v>
      </c>
      <c r="BY25" s="13">
        <f>IF('Données projet'!$A$114&gt;35,BY24+BX25-CG24,IF(A25&lt;'Données projet'!$A$114,$BV$205^A25,IF(A25='Données projet'!$A$114,'Données projet'!$B$114,BY24+BX25-CG24)))</f>
        <v>109.19999999999999</v>
      </c>
      <c r="BZ25" s="14">
        <f>BY25*VLOOKUP('Données projet'!$B$12,Paramètres!$A$1:$I$89,3,0)*VLOOKUP('Données projet'!$B$12,Paramètres!$A$1:$I$89,5,0)</f>
        <v>71.547839999999994</v>
      </c>
      <c r="CA25" s="14">
        <f t="shared" si="39"/>
        <v>20.05735014974319</v>
      </c>
      <c r="CB25" s="22">
        <f t="shared" si="10"/>
        <v>159.54570617746938</v>
      </c>
      <c r="CC25" s="60">
        <f t="shared" si="11"/>
        <v>452.87903951080273</v>
      </c>
      <c r="CD25" s="60">
        <f ca="1">AVERAGE(OFFSET($CC$3,0,0,'Données projet'!$E$12+1,1))-AVERAGE(OFFSET($H$3,0,0,'Données projet'!$E$12+1,1))</f>
        <v>154.88061446835457</v>
      </c>
      <c r="CE25" s="60">
        <f t="shared" si="40"/>
        <v>201.47826692201693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7.6</v>
      </c>
      <c r="CT25" s="13">
        <f>IF('Données projet'!$A$140&gt;35,CT24+CS25-DB24,IF(A25&lt;'Données projet'!$A$140,$CQ$205^A25,IF(A25='Données projet'!$A$140,'Données projet'!$B$140,CT24+CS25-DB24)))</f>
        <v>86.199999999999989</v>
      </c>
      <c r="CU25" s="18">
        <f>CT25*VLOOKUP('Données projet'!$B$13,Paramètres!$A$1:$I$89,3,0)*VLOOKUP('Données projet'!$B$13,Paramètres!$A$1:$I$89,5,0)</f>
        <v>83.37263999999999</v>
      </c>
      <c r="CV25" s="14">
        <f t="shared" si="41"/>
        <v>22.959819890777805</v>
      </c>
      <c r="CW25" s="22">
        <f t="shared" si="13"/>
        <v>185.19570097643802</v>
      </c>
      <c r="CX25" s="60">
        <f t="shared" si="14"/>
        <v>478.5290343097713</v>
      </c>
      <c r="CY25" s="60">
        <f ca="1">AVERAGE(OFFSET($CX$3,0,0,'Données projet'!$E$13+1,1))-AVERAGE(OFFSET($H$3,0,0,'Données projet'!$E$13+1,1))</f>
        <v>293.44206058086951</v>
      </c>
      <c r="CZ25" s="60">
        <f t="shared" si="42"/>
        <v>182.15909509186827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7.6</v>
      </c>
      <c r="DO25" s="13">
        <f>IF('Données projet'!$A$166&gt;35,DO24+DN25-DW24,IF(A25&lt;'Données projet'!$A$166,$DL$205^A25,IF(A25='Données projet'!$A$166,'Données projet'!$B$166,DO24+DN25-DW24)))</f>
        <v>86.199999999999989</v>
      </c>
      <c r="DP25" s="18">
        <f>DO25*VLOOKUP('Données projet'!$B$14,Paramètres!$A$1:$I$89,3,0)*VLOOKUP('Données projet'!$B$14,Paramètres!$A$1:$I$89,5,0)</f>
        <v>92.785679999999985</v>
      </c>
      <c r="DQ25" s="14">
        <f t="shared" si="43"/>
        <v>25.235867391982413</v>
      </c>
      <c r="DR25" s="22">
        <f t="shared" si="16"/>
        <v>205.554195041036</v>
      </c>
      <c r="DS25" s="60">
        <f t="shared" si="17"/>
        <v>498.88752837436931</v>
      </c>
      <c r="DT25" s="60">
        <f ca="1">AVERAGE(OFFSET($DS$3,0,0,'Données projet'!$E$14+1,1))-AVERAGE(OFFSET($H$3,0,0,'Données projet'!$E$14+1,1))</f>
        <v>338.92444234934266</v>
      </c>
      <c r="DU25" s="60">
        <f t="shared" si="44"/>
        <v>208.91548891910895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8.8000000000000007</v>
      </c>
      <c r="EJ25" s="13">
        <f>IF('Données projet'!$A$192&gt;35,EJ24+EI25-ER24,IF(A25&lt;'Données projet'!$A$192,$EG$205^A25,IF(A25='Données projet'!$A$192,'Données projet'!$B$192,EJ24+EI25-ER24)))</f>
        <v>49.599999999999994</v>
      </c>
      <c r="EK25" s="18">
        <f>EJ25*VLOOKUP('Données projet'!$B$15,Paramètres!$A$1:$I$89,3,0)*VLOOKUP('Données projet'!$B$15,Paramètres!$A$1:$I$89,5,0)</f>
        <v>40.235520000000001</v>
      </c>
      <c r="EL25" s="14">
        <f t="shared" si="45"/>
        <v>12.061050163607481</v>
      </c>
      <c r="EM25" s="22">
        <f t="shared" si="19"/>
        <v>91.083193034949701</v>
      </c>
      <c r="EN25" s="60">
        <f t="shared" si="20"/>
        <v>384.41652636828303</v>
      </c>
      <c r="EO25" s="60">
        <f ca="1">AVERAGE(OFFSET($EN$3,0,0,'Données projet'!$E$15+1,1))-AVERAGE(OFFSET($H$3,0,0,'Données projet'!$E$15+1,1))</f>
        <v>346.10839312896536</v>
      </c>
      <c r="EP25" s="60">
        <f t="shared" si="46"/>
        <v>196.24927250256087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5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8">
        <f t="shared" si="1"/>
        <v>340.5056969817893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projet'!$B$9,Paramètres!$A$1:$I$89,3,0)*VLOOKUP('Données projet'!$B$9,Paramètres!$A$1:$I$89,5,0)</f>
        <v>85.594080000000005</v>
      </c>
      <c r="P26" s="14">
        <f t="shared" si="33"/>
        <v>23.499539031833248</v>
      </c>
      <c r="Q26" s="22">
        <f t="shared" si="2"/>
        <v>190.00471981377623</v>
      </c>
      <c r="R26" s="60">
        <f t="shared" si="0"/>
        <v>483.33805314710958</v>
      </c>
      <c r="S26" s="60">
        <f ca="1">AVERAGE(OFFSET($R$3,0,0,'Données projet'!$E$9+1,1))-AVERAGE(OFFSET($H$3,0,0,'Données projet'!$E$9+1,1))</f>
        <v>327.62615088747526</v>
      </c>
      <c r="T26" s="60">
        <f t="shared" si="34"/>
        <v>180.48047802041276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94.600000000000009</v>
      </c>
      <c r="AJ26" s="14">
        <f>AI26*VLOOKUP('Données projet'!$B$10,Paramètres!$A$1:$I$89,3,0)*VLOOKUP('Données projet'!$B$10,Paramètres!$A$1:$I$89,5,0)</f>
        <v>79.691040000000015</v>
      </c>
      <c r="AK26" s="14">
        <f t="shared" si="35"/>
        <v>22.061624798490286</v>
      </c>
      <c r="AL26" s="22">
        <f t="shared" si="4"/>
        <v>177.21922452403726</v>
      </c>
      <c r="AM26" s="60">
        <f t="shared" si="5"/>
        <v>470.55255785737057</v>
      </c>
      <c r="AN26" s="60">
        <f ca="1">AVERAGE(OFFSET($AM$3,0,0,'Données projet'!$E$10+1,1))-AVERAGE(OFFSET($H$3,0,0,'Données projet'!$E$10+1,1))</f>
        <v>295.5242128298583</v>
      </c>
      <c r="AO26" s="60">
        <f t="shared" si="36"/>
        <v>164.21740841327744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8.0769230769230802</v>
      </c>
      <c r="BD26" s="13">
        <f>IF('Données projet'!$A$88&gt;35,BD25+BC26-BL25,IF(A26&lt;'Données projet'!$A$88,$BA$205^A26,IF(A26='Données projet'!$A$88,'Données projet'!$B$88,BD25+BC26-BL25)))</f>
        <v>94.743589743589752</v>
      </c>
      <c r="BE26" s="14">
        <f>BD26*VLOOKUP('Données projet'!$B$11,Paramètres!$A$1:$I$89,3,0)*VLOOKUP('Données projet'!$B$11,Paramètres!$A$1:$I$89,5,0)</f>
        <v>90.158000000000015</v>
      </c>
      <c r="BF26" s="14">
        <f t="shared" si="37"/>
        <v>24.603326898422615</v>
      </c>
      <c r="BG26" s="22">
        <f t="shared" si="7"/>
        <v>199.87597768141939</v>
      </c>
      <c r="BH26" s="60">
        <f t="shared" si="8"/>
        <v>493.2093110147527</v>
      </c>
      <c r="BI26" s="60">
        <f ca="1">AVERAGE(OFFSET($BH$3,0,0,'Données projet'!$E$11+1,1))-AVERAGE(OFFSET($H$3,0,0,'Données projet'!$E$11+1,1))</f>
        <v>276.19649531804959</v>
      </c>
      <c r="BJ26" s="60">
        <f t="shared" si="38"/>
        <v>253.14970964973463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9.6</v>
      </c>
      <c r="BY26" s="13">
        <f>IF('Données projet'!$A$114&gt;35,BY25+BX26-CG25,IF(A26&lt;'Données projet'!$A$114,$BV$205^A26,IF(A26='Données projet'!$A$114,'Données projet'!$B$114,BY25+BX26-CG25)))</f>
        <v>118.79999999999998</v>
      </c>
      <c r="BZ26" s="14">
        <f>BY26*VLOOKUP('Données projet'!$B$12,Paramètres!$A$1:$I$89,3,0)*VLOOKUP('Données projet'!$B$12,Paramètres!$A$1:$I$89,5,0)</f>
        <v>77.837759999999989</v>
      </c>
      <c r="CA26" s="14">
        <f t="shared" si="39"/>
        <v>21.607665094033621</v>
      </c>
      <c r="CB26" s="22">
        <f t="shared" si="10"/>
        <v>173.2007820387752</v>
      </c>
      <c r="CC26" s="60">
        <f t="shared" si="11"/>
        <v>466.53411537210854</v>
      </c>
      <c r="CD26" s="60">
        <f ca="1">AVERAGE(OFFSET($CC$3,0,0,'Données projet'!$E$12+1,1))-AVERAGE(OFFSET($H$3,0,0,'Données projet'!$E$12+1,1))</f>
        <v>154.88061446835457</v>
      </c>
      <c r="CE26" s="60">
        <f t="shared" si="40"/>
        <v>201.47826692201693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7.6</v>
      </c>
      <c r="CT26" s="13">
        <f>IF('Données projet'!$A$140&gt;35,CT25+CS26-DB25,IF(A26&lt;'Données projet'!$A$140,$CQ$205^A26,IF(A26='Données projet'!$A$140,'Données projet'!$B$140,CT25+CS26-DB25)))</f>
        <v>93.799999999999983</v>
      </c>
      <c r="CU26" s="18">
        <f>CT26*VLOOKUP('Données projet'!$B$13,Paramètres!$A$1:$I$89,3,0)*VLOOKUP('Données projet'!$B$13,Paramètres!$A$1:$I$89,5,0)</f>
        <v>90.723359999999985</v>
      </c>
      <c r="CV26" s="14">
        <f t="shared" si="41"/>
        <v>24.739600644240252</v>
      </c>
      <c r="CW26" s="22">
        <f t="shared" si="13"/>
        <v>201.09798978871842</v>
      </c>
      <c r="CX26" s="60">
        <f t="shared" si="14"/>
        <v>494.43132312205171</v>
      </c>
      <c r="CY26" s="60">
        <f ca="1">AVERAGE(OFFSET($CX$3,0,0,'Données projet'!$E$13+1,1))-AVERAGE(OFFSET($H$3,0,0,'Données projet'!$E$13+1,1))</f>
        <v>293.44206058086951</v>
      </c>
      <c r="CZ26" s="60">
        <f t="shared" si="42"/>
        <v>182.15909509186827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7.6</v>
      </c>
      <c r="DO26" s="13">
        <f>IF('Données projet'!$A$166&gt;35,DO25+DN26-DW25,IF(A26&lt;'Données projet'!$A$166,$DL$205^A26,IF(A26='Données projet'!$A$166,'Données projet'!$B$166,DO25+DN26-DW25)))</f>
        <v>93.799999999999983</v>
      </c>
      <c r="DP26" s="18">
        <f>DO26*VLOOKUP('Données projet'!$B$14,Paramètres!$A$1:$I$89,3,0)*VLOOKUP('Données projet'!$B$14,Paramètres!$A$1:$I$89,5,0)</f>
        <v>100.96631999999997</v>
      </c>
      <c r="DQ26" s="14">
        <f t="shared" si="43"/>
        <v>27.192080955278762</v>
      </c>
      <c r="DR26" s="22">
        <f t="shared" si="16"/>
        <v>223.20921499711042</v>
      </c>
      <c r="DS26" s="60">
        <f t="shared" si="17"/>
        <v>516.54254833044376</v>
      </c>
      <c r="DT26" s="60">
        <f ca="1">AVERAGE(OFFSET($DS$3,0,0,'Données projet'!$E$14+1,1))-AVERAGE(OFFSET($H$3,0,0,'Données projet'!$E$14+1,1))</f>
        <v>338.92444234934266</v>
      </c>
      <c r="DU26" s="60">
        <f t="shared" si="44"/>
        <v>208.91548891910895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8.8000000000000007</v>
      </c>
      <c r="EJ26" s="13">
        <f>IF('Données projet'!$A$192&gt;35,EJ25+EI26-ER25,IF(A26&lt;'Données projet'!$A$192,$EG$205^A26,IF(A26='Données projet'!$A$192,'Données projet'!$B$192,EJ25+EI26-ER25)))</f>
        <v>58.399999999999991</v>
      </c>
      <c r="EK26" s="18">
        <f>EJ26*VLOOKUP('Données projet'!$B$15,Paramètres!$A$1:$I$89,3,0)*VLOOKUP('Données projet'!$B$15,Paramètres!$A$1:$I$89,5,0)</f>
        <v>47.374079999999992</v>
      </c>
      <c r="EL26" s="14">
        <f t="shared" si="45"/>
        <v>13.933489867702086</v>
      </c>
      <c r="EM26" s="22">
        <f t="shared" si="19"/>
        <v>106.77735085291447</v>
      </c>
      <c r="EN26" s="60">
        <f t="shared" si="20"/>
        <v>400.11068418624779</v>
      </c>
      <c r="EO26" s="60">
        <f ca="1">AVERAGE(OFFSET($EN$3,0,0,'Données projet'!$E$15+1,1))-AVERAGE(OFFSET($H$3,0,0,'Données projet'!$E$15+1,1))</f>
        <v>346.10839312896536</v>
      </c>
      <c r="EP26" s="60">
        <f t="shared" si="46"/>
        <v>196.24927250256087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5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8">
        <f t="shared" si="1"/>
        <v>342.49709836529308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projet'!$B$9,Paramètres!$A$1:$I$89,3,0)*VLOOKUP('Données projet'!$B$9,Paramètres!$A$1:$I$89,5,0)</f>
        <v>92.108640000000008</v>
      </c>
      <c r="P27" s="14">
        <f t="shared" si="33"/>
        <v>25.073090701604293</v>
      </c>
      <c r="Q27" s="22">
        <f t="shared" si="2"/>
        <v>204.09151430529414</v>
      </c>
      <c r="R27" s="60">
        <f t="shared" si="0"/>
        <v>497.42484763862745</v>
      </c>
      <c r="S27" s="60">
        <f ca="1">AVERAGE(OFFSET($R$3,0,0,'Données projet'!$E$9+1,1))-AVERAGE(OFFSET($H$3,0,0,'Données projet'!$E$9+1,1))</f>
        <v>327.62615088747526</v>
      </c>
      <c r="T27" s="60">
        <f t="shared" si="34"/>
        <v>180.48047802041276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101.80000000000001</v>
      </c>
      <c r="AJ27" s="14">
        <f>AI27*VLOOKUP('Données projet'!$B$10,Paramètres!$A$1:$I$89,3,0)*VLOOKUP('Données projet'!$B$10,Paramètres!$A$1:$I$89,5,0)</f>
        <v>85.756320000000017</v>
      </c>
      <c r="AK27" s="14">
        <f t="shared" si="35"/>
        <v>23.538892352228263</v>
      </c>
      <c r="AL27" s="22">
        <f t="shared" si="4"/>
        <v>190.35582818013089</v>
      </c>
      <c r="AM27" s="60">
        <f t="shared" si="5"/>
        <v>483.68916151346423</v>
      </c>
      <c r="AN27" s="60">
        <f ca="1">AVERAGE(OFFSET($AM$3,0,0,'Données projet'!$E$10+1,1))-AVERAGE(OFFSET($H$3,0,0,'Données projet'!$E$10+1,1))</f>
        <v>295.5242128298583</v>
      </c>
      <c r="AO27" s="60">
        <f t="shared" si="36"/>
        <v>164.21740841327744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8.0769230769230802</v>
      </c>
      <c r="BD27" s="13">
        <f>IF('Données projet'!$A$88&gt;35,BD26+BC27-BL26,IF(A27&lt;'Données projet'!$A$88,$BA$205^A27,IF(A27='Données projet'!$A$88,'Données projet'!$B$88,BD26+BC27-BL26)))</f>
        <v>102.82051282051283</v>
      </c>
      <c r="BE27" s="14">
        <f>BD27*VLOOKUP('Données projet'!$B$11,Paramètres!$A$1:$I$89,3,0)*VLOOKUP('Données projet'!$B$11,Paramètres!$A$1:$I$89,5,0)</f>
        <v>97.844000000000008</v>
      </c>
      <c r="BF27" s="14">
        <f t="shared" si="37"/>
        <v>26.447710540122245</v>
      </c>
      <c r="BG27" s="22">
        <f t="shared" si="7"/>
        <v>216.47472919071291</v>
      </c>
      <c r="BH27" s="60">
        <f t="shared" si="8"/>
        <v>509.80806252404625</v>
      </c>
      <c r="BI27" s="60">
        <f ca="1">AVERAGE(OFFSET($BH$3,0,0,'Données projet'!$E$11+1,1))-AVERAGE(OFFSET($H$3,0,0,'Données projet'!$E$11+1,1))</f>
        <v>276.19649531804959</v>
      </c>
      <c r="BJ27" s="60">
        <f t="shared" si="38"/>
        <v>253.14970964973463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9.6</v>
      </c>
      <c r="BY27" s="13">
        <f>IF('Données projet'!$A$114&gt;35,BY26+BX27-CG26,IF(A27&lt;'Données projet'!$A$114,$BV$205^A27,IF(A27='Données projet'!$A$114,'Données projet'!$B$114,BY26+BX27-CG26)))</f>
        <v>128.39999999999998</v>
      </c>
      <c r="BZ27" s="14">
        <f>BY27*VLOOKUP('Données projet'!$B$12,Paramètres!$A$1:$I$89,3,0)*VLOOKUP('Données projet'!$B$12,Paramètres!$A$1:$I$89,5,0)</f>
        <v>84.127679999999984</v>
      </c>
      <c r="CA27" s="14">
        <f t="shared" si="39"/>
        <v>23.143449366413215</v>
      </c>
      <c r="CB27" s="22">
        <f t="shared" si="10"/>
        <v>186.83055031316962</v>
      </c>
      <c r="CC27" s="60">
        <f t="shared" si="11"/>
        <v>480.16388364650294</v>
      </c>
      <c r="CD27" s="60">
        <f ca="1">AVERAGE(OFFSET($CC$3,0,0,'Données projet'!$E$12+1,1))-AVERAGE(OFFSET($H$3,0,0,'Données projet'!$E$12+1,1))</f>
        <v>154.88061446835457</v>
      </c>
      <c r="CE27" s="60">
        <f t="shared" si="40"/>
        <v>201.47826692201693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7.6</v>
      </c>
      <c r="CT27" s="13">
        <f>IF('Données projet'!$A$140&gt;35,CT26+CS27-DB26,IF(A27&lt;'Données projet'!$A$140,$CQ$205^A27,IF(A27='Données projet'!$A$140,'Données projet'!$B$140,CT26+CS27-DB26)))</f>
        <v>101.39999999999998</v>
      </c>
      <c r="CU27" s="18">
        <f>CT27*VLOOKUP('Données projet'!$B$13,Paramètres!$A$1:$I$89,3,0)*VLOOKUP('Données projet'!$B$13,Paramètres!$A$1:$I$89,5,0)</f>
        <v>98.074079999999981</v>
      </c>
      <c r="CV27" s="14">
        <f t="shared" si="41"/>
        <v>26.502655653208432</v>
      </c>
      <c r="CW27" s="22">
        <f t="shared" si="13"/>
        <v>216.971147929338</v>
      </c>
      <c r="CX27" s="60">
        <f t="shared" si="14"/>
        <v>510.30448126267129</v>
      </c>
      <c r="CY27" s="60">
        <f ca="1">AVERAGE(OFFSET($CX$3,0,0,'Données projet'!$E$13+1,1))-AVERAGE(OFFSET($H$3,0,0,'Données projet'!$E$13+1,1))</f>
        <v>293.44206058086951</v>
      </c>
      <c r="CZ27" s="60">
        <f t="shared" si="42"/>
        <v>182.15909509186827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7.6</v>
      </c>
      <c r="DO27" s="13">
        <f>IF('Données projet'!$A$166&gt;35,DO26+DN27-DW26,IF(A27&lt;'Données projet'!$A$166,$DL$205^A27,IF(A27='Données projet'!$A$166,'Données projet'!$B$166,DO26+DN27-DW26)))</f>
        <v>101.39999999999998</v>
      </c>
      <c r="DP27" s="18">
        <f>DO27*VLOOKUP('Données projet'!$B$14,Paramètres!$A$1:$I$89,3,0)*VLOOKUP('Données projet'!$B$14,Paramètres!$A$1:$I$89,5,0)</f>
        <v>109.14695999999998</v>
      </c>
      <c r="DQ27" s="14">
        <f t="shared" si="43"/>
        <v>29.129910721485377</v>
      </c>
      <c r="DR27" s="22">
        <f t="shared" si="16"/>
        <v>240.83221650658697</v>
      </c>
      <c r="DS27" s="60">
        <f t="shared" si="17"/>
        <v>534.16554983992023</v>
      </c>
      <c r="DT27" s="60">
        <f ca="1">AVERAGE(OFFSET($DS$3,0,0,'Données projet'!$E$14+1,1))-AVERAGE(OFFSET($H$3,0,0,'Données projet'!$E$14+1,1))</f>
        <v>338.92444234934266</v>
      </c>
      <c r="DU27" s="60">
        <f t="shared" si="44"/>
        <v>208.91548891910895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8.8000000000000007</v>
      </c>
      <c r="EJ27" s="13">
        <f>IF('Données projet'!$A$192&gt;35,EJ26+EI27-ER26,IF(A27&lt;'Données projet'!$A$192,$EG$205^A27,IF(A27='Données projet'!$A$192,'Données projet'!$B$192,EJ26+EI27-ER26)))</f>
        <v>67.199999999999989</v>
      </c>
      <c r="EK27" s="18">
        <f>EJ27*VLOOKUP('Données projet'!$B$15,Paramètres!$A$1:$I$89,3,0)*VLOOKUP('Données projet'!$B$15,Paramètres!$A$1:$I$89,5,0)</f>
        <v>54.512639999999998</v>
      </c>
      <c r="EL27" s="14">
        <f t="shared" si="45"/>
        <v>15.773243364716285</v>
      </c>
      <c r="EM27" s="22">
        <f t="shared" si="19"/>
        <v>122.41458019354752</v>
      </c>
      <c r="EN27" s="60">
        <f t="shared" si="20"/>
        <v>415.74791352688084</v>
      </c>
      <c r="EO27" s="60">
        <f ca="1">AVERAGE(OFFSET($EN$3,0,0,'Données projet'!$E$15+1,1))-AVERAGE(OFFSET($H$3,0,0,'Données projet'!$E$15+1,1))</f>
        <v>346.10839312896536</v>
      </c>
      <c r="EP27" s="60">
        <f t="shared" si="46"/>
        <v>196.24927250256087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5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8">
        <f t="shared" si="1"/>
        <v>344.4863571422834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projet'!$B$9,Paramètres!$A$1:$I$89,3,0)*VLOOKUP('Données projet'!$B$9,Paramètres!$A$1:$I$89,5,0)</f>
        <v>98.623200000000011</v>
      </c>
      <c r="P28" s="14">
        <f t="shared" si="33"/>
        <v>26.633729748944933</v>
      </c>
      <c r="Q28" s="22">
        <f t="shared" si="2"/>
        <v>218.15581931274576</v>
      </c>
      <c r="R28" s="60">
        <f t="shared" si="0"/>
        <v>511.48915264607911</v>
      </c>
      <c r="S28" s="60">
        <f ca="1">AVERAGE(OFFSET($R$3,0,0,'Données projet'!$E$9+1,1))-AVERAGE(OFFSET($H$3,0,0,'Données projet'!$E$9+1,1))</f>
        <v>327.62615088747526</v>
      </c>
      <c r="T28" s="60">
        <f t="shared" si="34"/>
        <v>180.48047802041276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109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109.00000000000001</v>
      </c>
      <c r="AJ28" s="14">
        <f>AI28*VLOOKUP('Données projet'!$B$10,Paramètres!$A$1:$I$89,3,0)*VLOOKUP('Données projet'!$B$10,Paramètres!$A$1:$I$89,5,0)</f>
        <v>91.821600000000018</v>
      </c>
      <c r="AK28" s="14">
        <f t="shared" si="35"/>
        <v>25.004037394505982</v>
      </c>
      <c r="AL28" s="22">
        <f t="shared" si="4"/>
        <v>203.47131846209797</v>
      </c>
      <c r="AM28" s="60">
        <f t="shared" si="5"/>
        <v>496.80465179543125</v>
      </c>
      <c r="AN28" s="60">
        <f ca="1">AVERAGE(OFFSET($AM$3,0,0,'Données projet'!$E$10+1,1))-AVERAGE(OFFSET($H$3,0,0,'Données projet'!$E$10+1,1))</f>
        <v>295.5242128298583</v>
      </c>
      <c r="AO28" s="60">
        <f t="shared" si="36"/>
        <v>164.21740841327744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34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110.8974358974359</v>
      </c>
      <c r="BB28" s="13">
        <f>VLOOKUP(A28,'Données projet'!$A$87:$I$107,9,0)</f>
        <v>8.0769230769230802</v>
      </c>
      <c r="BC28" s="13">
        <f t="array" ref="BC28">INDEX(BB:BB,MIN(IF(ISNUMBER(BB28:BB224),ROW(BB28:BB224),"")))</f>
        <v>8.0769230769230802</v>
      </c>
      <c r="BD28" s="13">
        <f>IF('Données projet'!$A$88&gt;35,BD27+BC28-BL27,IF(A28&lt;'Données projet'!$A$88,$BA$205^A28,IF(A28='Données projet'!$A$88,'Données projet'!$B$88,BD27+BC28-BL27)))</f>
        <v>110.89743589743591</v>
      </c>
      <c r="BE28" s="14">
        <f>BD28*VLOOKUP('Données projet'!$B$11,Paramètres!$A$1:$I$89,3,0)*VLOOKUP('Données projet'!$B$11,Paramètres!$A$1:$I$89,5,0)</f>
        <v>105.53</v>
      </c>
      <c r="BF28" s="14">
        <f t="shared" si="37"/>
        <v>28.275288433064166</v>
      </c>
      <c r="BG28" s="22">
        <f t="shared" si="7"/>
        <v>233.04421068758674</v>
      </c>
      <c r="BH28" s="60">
        <f t="shared" si="8"/>
        <v>526.37754402092003</v>
      </c>
      <c r="BI28" s="60">
        <f ca="1">AVERAGE(OFFSET($BH$3,0,0,'Données projet'!$E$11+1,1))-AVERAGE(OFFSET($H$3,0,0,'Données projet'!$E$11+1,1))</f>
        <v>276.19649531804959</v>
      </c>
      <c r="BJ28" s="60">
        <f t="shared" si="38"/>
        <v>253.14970964973463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138</v>
      </c>
      <c r="BW28" s="13">
        <f>VLOOKUP(A28,'Données projet'!$A$113:$I$133,9,0)</f>
        <v>9.6</v>
      </c>
      <c r="BX28" s="13">
        <f t="array" ref="BX28">INDEX(BW:BW,MIN(IF(ISNUMBER(BW28:BW224),ROW(BW28:BW224),"")))</f>
        <v>9.6</v>
      </c>
      <c r="BY28" s="13">
        <f>IF('Données projet'!$A$114&gt;35,BY27+BX28-CG27,IF(A28&lt;'Données projet'!$A$114,$BV$205^A28,IF(A28='Données projet'!$A$114,'Données projet'!$B$114,BY27+BX28-CG27)))</f>
        <v>137.99999999999997</v>
      </c>
      <c r="BZ28" s="14">
        <f>BY28*VLOOKUP('Données projet'!$B$12,Paramètres!$A$1:$I$89,3,0)*VLOOKUP('Données projet'!$B$12,Paramètres!$A$1:$I$89,5,0)</f>
        <v>90.417599999999979</v>
      </c>
      <c r="CA28" s="14">
        <f t="shared" si="39"/>
        <v>24.665912907068826</v>
      </c>
      <c r="CB28" s="22">
        <f t="shared" si="10"/>
        <v>200.43711831314485</v>
      </c>
      <c r="CC28" s="60">
        <f t="shared" si="11"/>
        <v>493.77045164647814</v>
      </c>
      <c r="CD28" s="60">
        <f ca="1">AVERAGE(OFFSET($CC$3,0,0,'Données projet'!$E$12+1,1))-AVERAGE(OFFSET($H$3,0,0,'Données projet'!$E$12+1,1))</f>
        <v>154.88061446835457</v>
      </c>
      <c r="CE28" s="60">
        <f t="shared" si="40"/>
        <v>201.47826692201693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109</v>
      </c>
      <c r="CR28" s="13">
        <f>VLOOKUP(A28,'Données projet'!$A$139:$I$159,9,0)</f>
        <v>7.6</v>
      </c>
      <c r="CS28" s="13">
        <f t="array" ref="CS28">INDEX(CR:CR,MIN(IF(ISNUMBER(CR28:CR224),ROW(CR28:CR224),"")))</f>
        <v>7.6</v>
      </c>
      <c r="CT28" s="13">
        <f>IF('Données projet'!$A$140&gt;35,CT27+CS28-DB27,IF(A28&lt;'Données projet'!$A$140,$CQ$205^A28,IF(A28='Données projet'!$A$140,'Données projet'!$B$140,CT27+CS28-DB27)))</f>
        <v>108.99999999999997</v>
      </c>
      <c r="CU28" s="18">
        <f>CT28*VLOOKUP('Données projet'!$B$13,Paramètres!$A$1:$I$89,3,0)*VLOOKUP('Données projet'!$B$13,Paramètres!$A$1:$I$89,5,0)</f>
        <v>105.42479999999998</v>
      </c>
      <c r="CV28" s="14">
        <f t="shared" si="41"/>
        <v>28.250381069605584</v>
      </c>
      <c r="CW28" s="22">
        <f t="shared" si="13"/>
        <v>232.81760702956299</v>
      </c>
      <c r="CX28" s="60">
        <f t="shared" si="14"/>
        <v>526.15094036289634</v>
      </c>
      <c r="CY28" s="60">
        <f ca="1">AVERAGE(OFFSET($CX$3,0,0,'Données projet'!$E$13+1,1))-AVERAGE(OFFSET($H$3,0,0,'Données projet'!$E$13+1,1))</f>
        <v>293.44206058086951</v>
      </c>
      <c r="CZ28" s="60">
        <f t="shared" si="42"/>
        <v>182.15909509186827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36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>
        <f>VLOOKUP(A28,'Données projet'!$A$165:$I$185,2,0)</f>
        <v>109</v>
      </c>
      <c r="DM28" s="13">
        <f>VLOOKUP(A28,'Données projet'!$A$165:$I$185,9,0)</f>
        <v>7.6</v>
      </c>
      <c r="DN28" s="13">
        <f t="array" ref="DN28">INDEX(DM:DM,MIN(IF(ISNUMBER(DM28:DM224),ROW(DM28:DM224),"")))</f>
        <v>7.6</v>
      </c>
      <c r="DO28" s="13">
        <f>IF('Données projet'!$A$166&gt;35,DO27+DN28-DW27,IF(A28&lt;'Données projet'!$A$166,$DL$205^A28,IF(A28='Données projet'!$A$166,'Données projet'!$B$166,DO27+DN28-DW27)))</f>
        <v>108.99999999999997</v>
      </c>
      <c r="DP28" s="18">
        <f>DO28*VLOOKUP('Données projet'!$B$14,Paramètres!$A$1:$I$89,3,0)*VLOOKUP('Données projet'!$B$14,Paramètres!$A$1:$I$89,5,0)</f>
        <v>117.32759999999998</v>
      </c>
      <c r="DQ28" s="14">
        <f t="shared" si="43"/>
        <v>31.050891245531712</v>
      </c>
      <c r="DR28" s="22">
        <f t="shared" si="16"/>
        <v>258.42587225263429</v>
      </c>
      <c r="DS28" s="60">
        <f t="shared" si="17"/>
        <v>551.75920558596761</v>
      </c>
      <c r="DT28" s="60">
        <f ca="1">AVERAGE(OFFSET($DS$3,0,0,'Données projet'!$E$14+1,1))-AVERAGE(OFFSET($H$3,0,0,'Données projet'!$E$14+1,1))</f>
        <v>338.92444234934266</v>
      </c>
      <c r="DU28" s="60">
        <f t="shared" si="44"/>
        <v>208.91548891910895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36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>
        <f>VLOOKUP(A28,'Données projet'!$A$191:$I$211,2,0)</f>
        <v>76</v>
      </c>
      <c r="EH28" s="13">
        <f>VLOOKUP(A28,'Données projet'!$A$191:$I$211,9,0)</f>
        <v>8.8000000000000007</v>
      </c>
      <c r="EI28" s="13">
        <f t="array" ref="EI28">INDEX(EH:EH,MIN(IF(ISNUMBER(EH28:EH224),ROW(EH28:EH224),"")))</f>
        <v>8.8000000000000007</v>
      </c>
      <c r="EJ28" s="13">
        <f>IF('Données projet'!$A$192&gt;35,EJ27+EI28-ER27,IF(A28&lt;'Données projet'!$A$192,$EG$205^A28,IF(A28='Données projet'!$A$192,'Données projet'!$B$192,EJ27+EI28-ER27)))</f>
        <v>75.999999999999986</v>
      </c>
      <c r="EK28" s="18">
        <f>EJ28*VLOOKUP('Données projet'!$B$15,Paramètres!$A$1:$I$89,3,0)*VLOOKUP('Données projet'!$B$15,Paramètres!$A$1:$I$89,5,0)</f>
        <v>61.651199999999996</v>
      </c>
      <c r="EL28" s="14">
        <f t="shared" si="45"/>
        <v>17.585082273674896</v>
      </c>
      <c r="EM28" s="22">
        <f t="shared" si="19"/>
        <v>138.00319162665042</v>
      </c>
      <c r="EN28" s="60">
        <f t="shared" si="20"/>
        <v>431.33652495998376</v>
      </c>
      <c r="EO28" s="60">
        <f ca="1">AVERAGE(OFFSET($EN$3,0,0,'Données projet'!$E$15+1,1))-AVERAGE(OFFSET($H$3,0,0,'Données projet'!$E$15+1,1))</f>
        <v>346.10839312896536</v>
      </c>
      <c r="EP28" s="60">
        <f t="shared" si="46"/>
        <v>196.24927250256087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5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8">
        <f t="shared" si="1"/>
        <v>346.47356882250091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0">
        <f t="shared" si="0"/>
        <v>462.94678562222634</v>
      </c>
      <c r="S29" s="60">
        <f ca="1">AVERAGE(OFFSET($R$3,0,0,'Données projet'!$E$9+1,1))-AVERAGE(OFFSET($H$3,0,0,'Données projet'!$E$9+1,1))</f>
        <v>327.62615088747526</v>
      </c>
      <c r="T29" s="60">
        <f t="shared" si="34"/>
        <v>180.48047802041276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70.930080000000018</v>
      </c>
      <c r="AK29" s="14">
        <f t="shared" si="35"/>
        <v>19.904251483253464</v>
      </c>
      <c r="AL29" s="22">
        <f t="shared" si="4"/>
        <v>158.20312733333313</v>
      </c>
      <c r="AM29" s="60">
        <f t="shared" si="5"/>
        <v>451.53646066666647</v>
      </c>
      <c r="AN29" s="60">
        <f ca="1">AVERAGE(OFFSET($AM$3,0,0,'Données projet'!$E$10+1,1))-AVERAGE(OFFSET($H$3,0,0,'Données projet'!$E$10+1,1))</f>
        <v>295.5242128298583</v>
      </c>
      <c r="AO29" s="60">
        <f t="shared" si="36"/>
        <v>164.21740841327744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7.9487179487179471</v>
      </c>
      <c r="BD29" s="13">
        <f>IF('Données projet'!$A$88&gt;35,BD28+BC29-BL28,IF(A29&lt;'Données projet'!$A$88,$BA$205^A29,IF(A29='Données projet'!$A$88,'Données projet'!$B$88,BD28+BC29-BL28)))</f>
        <v>118.84615384615385</v>
      </c>
      <c r="BE29" s="14">
        <f>BD29*VLOOKUP('Données projet'!$B$11,Paramètres!$A$1:$I$89,3,0)*VLOOKUP('Données projet'!$B$11,Paramètres!$A$1:$I$89,5,0)</f>
        <v>113.09400000000001</v>
      </c>
      <c r="BF29" s="14">
        <f t="shared" si="37"/>
        <v>30.058774082813706</v>
      </c>
      <c r="BG29" s="22">
        <f t="shared" si="7"/>
        <v>249.32441486090056</v>
      </c>
      <c r="BH29" s="60">
        <f t="shared" si="8"/>
        <v>542.65774819423382</v>
      </c>
      <c r="BI29" s="60">
        <f ca="1">AVERAGE(OFFSET($BH$3,0,0,'Données projet'!$E$11+1,1))-AVERAGE(OFFSET($H$3,0,0,'Données projet'!$E$11+1,1))</f>
        <v>276.19649531804959</v>
      </c>
      <c r="BJ29" s="60">
        <f t="shared" si="38"/>
        <v>253.14970964973463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8.8000000000000007</v>
      </c>
      <c r="BY29" s="13">
        <f>IF('Données projet'!$A$114&gt;35,BY28+BX29-CG28,IF(A29&lt;'Données projet'!$A$114,$BV$205^A29,IF(A29='Données projet'!$A$114,'Données projet'!$B$114,BY28+BX29-CG28)))</f>
        <v>146.79999999999998</v>
      </c>
      <c r="BZ29" s="14">
        <f>BY29*VLOOKUP('Données projet'!$B$12,Paramètres!$A$1:$I$89,3,0)*VLOOKUP('Données projet'!$B$12,Paramètres!$A$1:$I$89,5,0)</f>
        <v>96.183359999999993</v>
      </c>
      <c r="CA29" s="14">
        <f t="shared" si="39"/>
        <v>26.050686689664918</v>
      </c>
      <c r="CB29" s="22">
        <f t="shared" si="10"/>
        <v>212.89096465116634</v>
      </c>
      <c r="CC29" s="60">
        <f t="shared" si="11"/>
        <v>506.22429798449969</v>
      </c>
      <c r="CD29" s="60">
        <f ca="1">AVERAGE(OFFSET($CC$3,0,0,'Données projet'!$E$12+1,1))-AVERAGE(OFFSET($H$3,0,0,'Données projet'!$E$12+1,1))</f>
        <v>154.88061446835457</v>
      </c>
      <c r="CE29" s="60">
        <f t="shared" si="40"/>
        <v>201.47826692201693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8.1999999999999993</v>
      </c>
      <c r="CT29" s="13">
        <f>IF('Données projet'!$A$140&gt;35,CT28+CS29-DB28,IF(A29&lt;'Données projet'!$A$140,$CQ$205^A29,IF(A29='Données projet'!$A$140,'Données projet'!$B$140,CT28+CS29-DB28)))</f>
        <v>81.199999999999974</v>
      </c>
      <c r="CU29" s="18">
        <f>CT29*VLOOKUP('Données projet'!$B$13,Paramètres!$A$1:$I$89,3,0)*VLOOKUP('Données projet'!$B$13,Paramètres!$A$1:$I$89,5,0)</f>
        <v>78.536639999999977</v>
      </c>
      <c r="CV29" s="14">
        <f t="shared" si="41"/>
        <v>21.779001471873372</v>
      </c>
      <c r="CW29" s="22">
        <f t="shared" si="13"/>
        <v>174.7164088968461</v>
      </c>
      <c r="CX29" s="60">
        <f t="shared" si="14"/>
        <v>468.04974223017939</v>
      </c>
      <c r="CY29" s="60">
        <f ca="1">AVERAGE(OFFSET($CX$3,0,0,'Données projet'!$E$13+1,1))-AVERAGE(OFFSET($H$3,0,0,'Données projet'!$E$13+1,1))</f>
        <v>293.44206058086951</v>
      </c>
      <c r="CZ29" s="60">
        <f t="shared" si="42"/>
        <v>182.15909509186827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8.1999999999999993</v>
      </c>
      <c r="DO29" s="13">
        <f>IF('Données projet'!$A$166&gt;35,DO28+DN29-DW28,IF(A29&lt;'Données projet'!$A$166,$DL$205^A29,IF(A29='Données projet'!$A$166,'Données projet'!$B$166,DO28+DN29-DW28)))</f>
        <v>81.199999999999974</v>
      </c>
      <c r="DP29" s="18">
        <f>DO29*VLOOKUP('Données projet'!$B$14,Paramètres!$A$1:$I$89,3,0)*VLOOKUP('Données projet'!$B$14,Paramètres!$A$1:$I$89,5,0)</f>
        <v>87.403679999999966</v>
      </c>
      <c r="DQ29" s="14">
        <f t="shared" si="43"/>
        <v>23.937992357455155</v>
      </c>
      <c r="DR29" s="22">
        <f t="shared" si="16"/>
        <v>193.92007935590104</v>
      </c>
      <c r="DS29" s="60">
        <f t="shared" si="17"/>
        <v>487.25341268923432</v>
      </c>
      <c r="DT29" s="60">
        <f ca="1">AVERAGE(OFFSET($DS$3,0,0,'Données projet'!$E$14+1,1))-AVERAGE(OFFSET($H$3,0,0,'Données projet'!$E$14+1,1))</f>
        <v>338.92444234934266</v>
      </c>
      <c r="DU29" s="60">
        <f t="shared" si="44"/>
        <v>208.91548891910895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13.6</v>
      </c>
      <c r="EJ29" s="13">
        <f>IF('Données projet'!$A$192&gt;35,EJ28+EI29-ER28,IF(A29&lt;'Données projet'!$A$192,$EG$205^A29,IF(A29='Données projet'!$A$192,'Données projet'!$B$192,EJ28+EI29-ER28)))</f>
        <v>89.59999999999998</v>
      </c>
      <c r="EK29" s="18">
        <f>EJ29*VLOOKUP('Données projet'!$B$15,Paramètres!$A$1:$I$89,3,0)*VLOOKUP('Données projet'!$B$15,Paramètres!$A$1:$I$89,5,0)</f>
        <v>72.683519999999987</v>
      </c>
      <c r="EL29" s="14">
        <f t="shared" si="45"/>
        <v>20.338404088189364</v>
      </c>
      <c r="EM29" s="22">
        <f t="shared" si="19"/>
        <v>162.01318445359644</v>
      </c>
      <c r="EN29" s="60">
        <f t="shared" si="20"/>
        <v>455.34651778692978</v>
      </c>
      <c r="EO29" s="60">
        <f ca="1">AVERAGE(OFFSET($EN$3,0,0,'Données projet'!$E$15+1,1))-AVERAGE(OFFSET($H$3,0,0,'Données projet'!$E$15+1,1))</f>
        <v>346.10839312896536</v>
      </c>
      <c r="EP29" s="60">
        <f t="shared" si="46"/>
        <v>196.24927250256087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5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8">
        <f t="shared" si="1"/>
        <v>348.45882115271871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0">
        <f t="shared" si="0"/>
        <v>480.9879370704989</v>
      </c>
      <c r="S30" s="60">
        <f ca="1">AVERAGE(OFFSET($R$3,0,0,'Données projet'!$E$9+1,1))-AVERAGE(OFFSET($H$3,0,0,'Données projet'!$E$9+1,1))</f>
        <v>327.62615088747526</v>
      </c>
      <c r="T30" s="60">
        <f t="shared" si="34"/>
        <v>180.48047802041276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78.680160000000029</v>
      </c>
      <c r="AK30" s="14">
        <f t="shared" si="35"/>
        <v>21.814164609384523</v>
      </c>
      <c r="AL30" s="22">
        <f t="shared" si="4"/>
        <v>175.02761536134474</v>
      </c>
      <c r="AM30" s="60">
        <f t="shared" si="5"/>
        <v>468.36094869467809</v>
      </c>
      <c r="AN30" s="60">
        <f ca="1">AVERAGE(OFFSET($AM$3,0,0,'Données projet'!$E$10+1,1))-AVERAGE(OFFSET($H$3,0,0,'Données projet'!$E$10+1,1))</f>
        <v>295.5242128298583</v>
      </c>
      <c r="AO30" s="60">
        <f t="shared" si="36"/>
        <v>164.21740841327744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7.9487179487179471</v>
      </c>
      <c r="BD30" s="13">
        <f>IF('Données projet'!$A$88&gt;35,BD29+BC30-BL29,IF(A30&lt;'Données projet'!$A$88,$BA$205^A30,IF(A30='Données projet'!$A$88,'Données projet'!$B$88,BD29+BC30-BL29)))</f>
        <v>126.7948717948718</v>
      </c>
      <c r="BE30" s="14">
        <f>BD30*VLOOKUP('Données projet'!$B$11,Paramètres!$A$1:$I$89,3,0)*VLOOKUP('Données projet'!$B$11,Paramètres!$A$1:$I$89,5,0)</f>
        <v>120.658</v>
      </c>
      <c r="BF30" s="14">
        <f t="shared" si="37"/>
        <v>31.828418112039433</v>
      </c>
      <c r="BG30" s="22">
        <f t="shared" si="7"/>
        <v>265.58051154513532</v>
      </c>
      <c r="BH30" s="60">
        <f t="shared" si="8"/>
        <v>558.91384487846858</v>
      </c>
      <c r="BI30" s="60">
        <f ca="1">AVERAGE(OFFSET($BH$3,0,0,'Données projet'!$E$11+1,1))-AVERAGE(OFFSET($H$3,0,0,'Données projet'!$E$11+1,1))</f>
        <v>276.19649531804959</v>
      </c>
      <c r="BJ30" s="60">
        <f t="shared" si="38"/>
        <v>253.14970964973463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8.8000000000000007</v>
      </c>
      <c r="BY30" s="13">
        <f>IF('Données projet'!$A$114&gt;35,BY29+BX30-CG29,IF(A30&lt;'Données projet'!$A$114,$BV$205^A30,IF(A30='Données projet'!$A$114,'Données projet'!$B$114,BY29+BX30-CG29)))</f>
        <v>155.6</v>
      </c>
      <c r="BZ30" s="14">
        <f>BY30*VLOOKUP('Données projet'!$B$12,Paramètres!$A$1:$I$89,3,0)*VLOOKUP('Données projet'!$B$12,Paramètres!$A$1:$I$89,5,0)</f>
        <v>101.94911999999999</v>
      </c>
      <c r="CA30" s="14">
        <f t="shared" si="39"/>
        <v>27.425825538347155</v>
      </c>
      <c r="CB30" s="22">
        <f t="shared" si="10"/>
        <v>225.32803014595461</v>
      </c>
      <c r="CC30" s="60">
        <f t="shared" si="11"/>
        <v>518.66136347928796</v>
      </c>
      <c r="CD30" s="60">
        <f ca="1">AVERAGE(OFFSET($CC$3,0,0,'Données projet'!$E$12+1,1))-AVERAGE(OFFSET($H$3,0,0,'Données projet'!$E$12+1,1))</f>
        <v>154.88061446835457</v>
      </c>
      <c r="CE30" s="60">
        <f t="shared" si="40"/>
        <v>201.47826692201693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8.1999999999999993</v>
      </c>
      <c r="CT30" s="13">
        <f>IF('Données projet'!$A$140&gt;35,CT29+CS30-DB29,IF(A30&lt;'Données projet'!$A$140,$CQ$205^A30,IF(A30='Données projet'!$A$140,'Données projet'!$B$140,CT29+CS30-DB29)))</f>
        <v>89.399999999999977</v>
      </c>
      <c r="CU30" s="18">
        <f>CT30*VLOOKUP('Données projet'!$B$13,Paramètres!$A$1:$I$89,3,0)*VLOOKUP('Données projet'!$B$13,Paramètres!$A$1:$I$89,5,0)</f>
        <v>86.467679999999973</v>
      </c>
      <c r="CV30" s="14">
        <f t="shared" si="41"/>
        <v>23.711339478562756</v>
      </c>
      <c r="CW30" s="22">
        <f t="shared" si="13"/>
        <v>191.89512559183012</v>
      </c>
      <c r="CX30" s="60">
        <f t="shared" si="14"/>
        <v>485.22845892516341</v>
      </c>
      <c r="CY30" s="60">
        <f ca="1">AVERAGE(OFFSET($CX$3,0,0,'Données projet'!$E$13+1,1))-AVERAGE(OFFSET($H$3,0,0,'Données projet'!$E$13+1,1))</f>
        <v>293.44206058086951</v>
      </c>
      <c r="CZ30" s="60">
        <f t="shared" si="42"/>
        <v>182.15909509186827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8.1999999999999993</v>
      </c>
      <c r="DO30" s="13">
        <f>IF('Données projet'!$A$166&gt;35,DO29+DN30-DW29,IF(A30&lt;'Données projet'!$A$166,$DL$205^A30,IF(A30='Données projet'!$A$166,'Données projet'!$B$166,DO29+DN30-DW29)))</f>
        <v>89.399999999999977</v>
      </c>
      <c r="DP30" s="18">
        <f>DO30*VLOOKUP('Données projet'!$B$14,Paramètres!$A$1:$I$89,3,0)*VLOOKUP('Données projet'!$B$14,Paramètres!$A$1:$I$89,5,0)</f>
        <v>96.23015999999997</v>
      </c>
      <c r="DQ30" s="14">
        <f t="shared" si="43"/>
        <v>26.061886443962717</v>
      </c>
      <c r="DR30" s="22">
        <f t="shared" si="16"/>
        <v>212.9919808899017</v>
      </c>
      <c r="DS30" s="60">
        <f t="shared" si="17"/>
        <v>506.32531422323501</v>
      </c>
      <c r="DT30" s="60">
        <f ca="1">AVERAGE(OFFSET($DS$3,0,0,'Données projet'!$E$14+1,1))-AVERAGE(OFFSET($H$3,0,0,'Données projet'!$E$14+1,1))</f>
        <v>338.92444234934266</v>
      </c>
      <c r="DU30" s="60">
        <f t="shared" si="44"/>
        <v>208.91548891910895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13.6</v>
      </c>
      <c r="EJ30" s="13">
        <f>IF('Données projet'!$A$192&gt;35,EJ29+EI30-ER29,IF(A30&lt;'Données projet'!$A$192,$EG$205^A30,IF(A30='Données projet'!$A$192,'Données projet'!$B$192,EJ29+EI30-ER29)))</f>
        <v>103.19999999999997</v>
      </c>
      <c r="EK30" s="18">
        <f>EJ30*VLOOKUP('Données projet'!$B$15,Paramètres!$A$1:$I$89,3,0)*VLOOKUP('Données projet'!$B$15,Paramètres!$A$1:$I$89,5,0)</f>
        <v>83.715839999999986</v>
      </c>
      <c r="EL30" s="14">
        <f t="shared" si="45"/>
        <v>23.043311726295538</v>
      </c>
      <c r="EM30" s="22">
        <f t="shared" si="19"/>
        <v>185.93885592329801</v>
      </c>
      <c r="EN30" s="60">
        <f t="shared" si="20"/>
        <v>479.27218925663135</v>
      </c>
      <c r="EO30" s="60">
        <f ca="1">AVERAGE(OFFSET($EN$3,0,0,'Données projet'!$E$15+1,1))-AVERAGE(OFFSET($H$3,0,0,'Données projet'!$E$15+1,1))</f>
        <v>346.10839312896536</v>
      </c>
      <c r="EP30" s="60">
        <f t="shared" si="46"/>
        <v>196.24927250256087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5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8">
        <f t="shared" si="1"/>
        <v>350.44219501167436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0">
        <f t="shared" si="0"/>
        <v>498.9886264212779</v>
      </c>
      <c r="S31" s="60">
        <f ca="1">AVERAGE(OFFSET($R$3,0,0,'Données projet'!$E$9+1,1))-AVERAGE(OFFSET($H$3,0,0,'Données projet'!$E$9+1,1))</f>
        <v>327.62615088747526</v>
      </c>
      <c r="T31" s="60">
        <f t="shared" si="34"/>
        <v>180.48047802041276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86.430240000000026</v>
      </c>
      <c r="AK31" s="14">
        <f t="shared" si="35"/>
        <v>23.702267442352529</v>
      </c>
      <c r="AL31" s="22">
        <f t="shared" si="4"/>
        <v>191.81411712876402</v>
      </c>
      <c r="AM31" s="60">
        <f t="shared" si="5"/>
        <v>485.14745046209737</v>
      </c>
      <c r="AN31" s="60">
        <f ca="1">AVERAGE(OFFSET($AM$3,0,0,'Données projet'!$E$10+1,1))-AVERAGE(OFFSET($H$3,0,0,'Données projet'!$E$10+1,1))</f>
        <v>295.5242128298583</v>
      </c>
      <c r="AO31" s="60">
        <f t="shared" si="36"/>
        <v>164.21740841327744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7.9487179487179471</v>
      </c>
      <c r="BD31" s="13">
        <f>IF('Données projet'!$A$88&gt;35,BD30+BC31-BL30,IF(A31&lt;'Données projet'!$A$88,$BA$205^A31,IF(A31='Données projet'!$A$88,'Données projet'!$B$88,BD30+BC31-BL30)))</f>
        <v>134.74358974358975</v>
      </c>
      <c r="BE31" s="14">
        <f>BD31*VLOOKUP('Données projet'!$B$11,Paramètres!$A$1:$I$89,3,0)*VLOOKUP('Données projet'!$B$11,Paramètres!$A$1:$I$89,5,0)</f>
        <v>128.22200000000001</v>
      </c>
      <c r="BF31" s="14">
        <f t="shared" si="37"/>
        <v>33.585187028861384</v>
      </c>
      <c r="BG31" s="22">
        <f t="shared" si="7"/>
        <v>281.81418407526689</v>
      </c>
      <c r="BH31" s="60">
        <f t="shared" si="8"/>
        <v>575.14751740860015</v>
      </c>
      <c r="BI31" s="60">
        <f ca="1">AVERAGE(OFFSET($BH$3,0,0,'Données projet'!$E$11+1,1))-AVERAGE(OFFSET($H$3,0,0,'Données projet'!$E$11+1,1))</f>
        <v>276.19649531804959</v>
      </c>
      <c r="BJ31" s="60">
        <f t="shared" si="38"/>
        <v>253.14970964973463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8.8000000000000007</v>
      </c>
      <c r="BY31" s="13">
        <f>IF('Données projet'!$A$114&gt;35,BY30+BX31-CG30,IF(A31&lt;'Données projet'!$A$114,$BV$205^A31,IF(A31='Données projet'!$A$114,'Données projet'!$B$114,BY30+BX31-CG30)))</f>
        <v>164.4</v>
      </c>
      <c r="BZ31" s="14">
        <f>BY31*VLOOKUP('Données projet'!$B$12,Paramètres!$A$1:$I$89,3,0)*VLOOKUP('Données projet'!$B$12,Paramètres!$A$1:$I$89,5,0)</f>
        <v>107.71488000000001</v>
      </c>
      <c r="CA31" s="14">
        <f t="shared" si="39"/>
        <v>28.791936453559611</v>
      </c>
      <c r="CB31" s="22">
        <f t="shared" si="10"/>
        <v>237.74937198994965</v>
      </c>
      <c r="CC31" s="60">
        <f t="shared" si="11"/>
        <v>531.08270532328299</v>
      </c>
      <c r="CD31" s="60">
        <f ca="1">AVERAGE(OFFSET($CC$3,0,0,'Données projet'!$E$12+1,1))-AVERAGE(OFFSET($H$3,0,0,'Données projet'!$E$12+1,1))</f>
        <v>154.88061446835457</v>
      </c>
      <c r="CE31" s="60">
        <f t="shared" si="40"/>
        <v>201.47826692201693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8.1999999999999993</v>
      </c>
      <c r="CT31" s="13">
        <f>IF('Données projet'!$A$140&gt;35,CT30+CS31-DB30,IF(A31&lt;'Données projet'!$A$140,$CQ$205^A31,IF(A31='Données projet'!$A$140,'Données projet'!$B$140,CT30+CS31-DB30)))</f>
        <v>97.59999999999998</v>
      </c>
      <c r="CU31" s="18">
        <f>CT31*VLOOKUP('Données projet'!$B$13,Paramètres!$A$1:$I$89,3,0)*VLOOKUP('Données projet'!$B$13,Paramètres!$A$1:$I$89,5,0)</f>
        <v>94.398719999999983</v>
      </c>
      <c r="CV31" s="14">
        <f t="shared" si="41"/>
        <v>25.623126206559476</v>
      </c>
      <c r="CW31" s="22">
        <f t="shared" si="13"/>
        <v>209.03804880975773</v>
      </c>
      <c r="CX31" s="60">
        <f t="shared" si="14"/>
        <v>502.37138214309107</v>
      </c>
      <c r="CY31" s="60">
        <f ca="1">AVERAGE(OFFSET($CX$3,0,0,'Données projet'!$E$13+1,1))-AVERAGE(OFFSET($H$3,0,0,'Données projet'!$E$13+1,1))</f>
        <v>293.44206058086951</v>
      </c>
      <c r="CZ31" s="60">
        <f t="shared" si="42"/>
        <v>182.15909509186827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8.1999999999999993</v>
      </c>
      <c r="DO31" s="13">
        <f>IF('Données projet'!$A$166&gt;35,DO30+DN31-DW30,IF(A31&lt;'Données projet'!$A$166,$DL$205^A31,IF(A31='Données projet'!$A$166,'Données projet'!$B$166,DO30+DN31-DW30)))</f>
        <v>97.59999999999998</v>
      </c>
      <c r="DP31" s="18">
        <f>DO31*VLOOKUP('Données projet'!$B$14,Paramètres!$A$1:$I$89,3,0)*VLOOKUP('Données projet'!$B$14,Paramètres!$A$1:$I$89,5,0)</f>
        <v>105.05663999999997</v>
      </c>
      <c r="DQ31" s="14">
        <f t="shared" si="43"/>
        <v>28.163191967219685</v>
      </c>
      <c r="DR31" s="22">
        <f t="shared" si="16"/>
        <v>232.02454067624089</v>
      </c>
      <c r="DS31" s="60">
        <f t="shared" si="17"/>
        <v>525.35787400957418</v>
      </c>
      <c r="DT31" s="60">
        <f ca="1">AVERAGE(OFFSET($DS$3,0,0,'Données projet'!$E$14+1,1))-AVERAGE(OFFSET($H$3,0,0,'Données projet'!$E$14+1,1))</f>
        <v>338.92444234934266</v>
      </c>
      <c r="DU31" s="60">
        <f t="shared" si="44"/>
        <v>208.91548891910895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13.6</v>
      </c>
      <c r="EJ31" s="13">
        <f>IF('Données projet'!$A$192&gt;35,EJ30+EI31-ER30,IF(A31&lt;'Données projet'!$A$192,$EG$205^A31,IF(A31='Données projet'!$A$192,'Données projet'!$B$192,EJ30+EI31-ER30)))</f>
        <v>116.79999999999997</v>
      </c>
      <c r="EK31" s="18">
        <f>EJ31*VLOOKUP('Données projet'!$B$15,Paramètres!$A$1:$I$89,3,0)*VLOOKUP('Données projet'!$B$15,Paramètres!$A$1:$I$89,5,0)</f>
        <v>94.74815999999997</v>
      </c>
      <c r="EL31" s="14">
        <f t="shared" si="45"/>
        <v>25.706917884550087</v>
      </c>
      <c r="EM31" s="22">
        <f t="shared" si="19"/>
        <v>209.79259398225804</v>
      </c>
      <c r="EN31" s="60">
        <f t="shared" si="20"/>
        <v>503.12592731559135</v>
      </c>
      <c r="EO31" s="60">
        <f ca="1">AVERAGE(OFFSET($EN$3,0,0,'Données projet'!$E$15+1,1))-AVERAGE(OFFSET($H$3,0,0,'Données projet'!$E$15+1,1))</f>
        <v>346.10839312896536</v>
      </c>
      <c r="EP31" s="60">
        <f t="shared" si="46"/>
        <v>196.24927250256087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5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8">
        <f t="shared" si="1"/>
        <v>352.42376517356132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0">
        <f t="shared" si="0"/>
        <v>516.95289444408968</v>
      </c>
      <c r="S32" s="60">
        <f ca="1">AVERAGE(OFFSET($R$3,0,0,'Données projet'!$E$9+1,1))-AVERAGE(OFFSET($H$3,0,0,'Données projet'!$E$9+1,1))</f>
        <v>327.62615088747526</v>
      </c>
      <c r="T32" s="60">
        <f t="shared" si="34"/>
        <v>180.48047802041276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94.180320000000037</v>
      </c>
      <c r="AK32" s="14">
        <f t="shared" si="35"/>
        <v>25.570738079029208</v>
      </c>
      <c r="AL32" s="22">
        <f t="shared" si="4"/>
        <v>208.56642615430928</v>
      </c>
      <c r="AM32" s="60">
        <f t="shared" si="5"/>
        <v>501.8997594876426</v>
      </c>
      <c r="AN32" s="60">
        <f ca="1">AVERAGE(OFFSET($AM$3,0,0,'Données projet'!$E$10+1,1))-AVERAGE(OFFSET($H$3,0,0,'Données projet'!$E$10+1,1))</f>
        <v>295.5242128298583</v>
      </c>
      <c r="AO32" s="60">
        <f t="shared" si="36"/>
        <v>164.21740841327744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7.9487179487179471</v>
      </c>
      <c r="BD32" s="13">
        <f>IF('Données projet'!$A$88&gt;35,BD31+BC32-BL31,IF(A32&lt;'Données projet'!$A$88,$BA$205^A32,IF(A32='Données projet'!$A$88,'Données projet'!$B$88,BD31+BC32-BL31)))</f>
        <v>142.69230769230771</v>
      </c>
      <c r="BE32" s="14">
        <f>BD32*VLOOKUP('Données projet'!$B$11,Paramètres!$A$1:$I$89,3,0)*VLOOKUP('Données projet'!$B$11,Paramètres!$A$1:$I$89,5,0)</f>
        <v>135.78600000000003</v>
      </c>
      <c r="BF32" s="14">
        <f t="shared" si="37"/>
        <v>35.329926868166567</v>
      </c>
      <c r="BG32" s="22">
        <f t="shared" si="7"/>
        <v>298.02690596205679</v>
      </c>
      <c r="BH32" s="60">
        <f t="shared" si="8"/>
        <v>591.3602392953901</v>
      </c>
      <c r="BI32" s="60">
        <f ca="1">AVERAGE(OFFSET($BH$3,0,0,'Données projet'!$E$11+1,1))-AVERAGE(OFFSET($H$3,0,0,'Données projet'!$E$11+1,1))</f>
        <v>276.19649531804959</v>
      </c>
      <c r="BJ32" s="60">
        <f t="shared" si="38"/>
        <v>253.14970964973463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8.8000000000000007</v>
      </c>
      <c r="BY32" s="13">
        <f>IF('Données projet'!$A$114&gt;35,BY31+BX32-CG31,IF(A32&lt;'Données projet'!$A$114,$BV$205^A32,IF(A32='Données projet'!$A$114,'Données projet'!$B$114,BY31+BX32-CG31)))</f>
        <v>173.20000000000002</v>
      </c>
      <c r="BZ32" s="14">
        <f>BY32*VLOOKUP('Données projet'!$B$12,Paramètres!$A$1:$I$89,3,0)*VLOOKUP('Données projet'!$B$12,Paramètres!$A$1:$I$89,5,0)</f>
        <v>113.48064000000001</v>
      </c>
      <c r="CA32" s="14">
        <f t="shared" si="39"/>
        <v>30.149557782596045</v>
      </c>
      <c r="CB32" s="22">
        <f t="shared" si="10"/>
        <v>250.15592780468808</v>
      </c>
      <c r="CC32" s="60">
        <f t="shared" si="11"/>
        <v>543.48926113802145</v>
      </c>
      <c r="CD32" s="60">
        <f ca="1">AVERAGE(OFFSET($CC$3,0,0,'Données projet'!$E$12+1,1))-AVERAGE(OFFSET($H$3,0,0,'Données projet'!$E$12+1,1))</f>
        <v>154.88061446835457</v>
      </c>
      <c r="CE32" s="60">
        <f t="shared" si="40"/>
        <v>201.47826692201693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8.1999999999999993</v>
      </c>
      <c r="CT32" s="13">
        <f>IF('Données projet'!$A$140&gt;35,CT31+CS32-DB31,IF(A32&lt;'Données projet'!$A$140,$CQ$205^A32,IF(A32='Données projet'!$A$140,'Données projet'!$B$140,CT31+CS32-DB31)))</f>
        <v>105.79999999999998</v>
      </c>
      <c r="CU32" s="18">
        <f>CT32*VLOOKUP('Données projet'!$B$13,Paramètres!$A$1:$I$89,3,0)*VLOOKUP('Données projet'!$B$13,Paramètres!$A$1:$I$89,5,0)</f>
        <v>102.32975999999999</v>
      </c>
      <c r="CV32" s="14">
        <f t="shared" si="41"/>
        <v>27.516284606416839</v>
      </c>
      <c r="CW32" s="22">
        <f t="shared" si="13"/>
        <v>226.14852768950928</v>
      </c>
      <c r="CX32" s="60">
        <f t="shared" si="14"/>
        <v>519.48186102284262</v>
      </c>
      <c r="CY32" s="60">
        <f ca="1">AVERAGE(OFFSET($CX$3,0,0,'Données projet'!$E$13+1,1))-AVERAGE(OFFSET($H$3,0,0,'Données projet'!$E$13+1,1))</f>
        <v>293.44206058086951</v>
      </c>
      <c r="CZ32" s="60">
        <f t="shared" si="42"/>
        <v>182.15909509186827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8.1999999999999993</v>
      </c>
      <c r="DO32" s="13">
        <f>IF('Données projet'!$A$166&gt;35,DO31+DN32-DW31,IF(A32&lt;'Données projet'!$A$166,$DL$205^A32,IF(A32='Données projet'!$A$166,'Données projet'!$B$166,DO31+DN32-DW31)))</f>
        <v>105.79999999999998</v>
      </c>
      <c r="DP32" s="18">
        <f>DO32*VLOOKUP('Données projet'!$B$14,Paramètres!$A$1:$I$89,3,0)*VLOOKUP('Données projet'!$B$14,Paramètres!$A$1:$I$89,5,0)</f>
        <v>113.88311999999998</v>
      </c>
      <c r="DQ32" s="14">
        <f t="shared" si="43"/>
        <v>30.244022503264436</v>
      </c>
      <c r="DR32" s="22">
        <f t="shared" si="16"/>
        <v>251.02143985985217</v>
      </c>
      <c r="DS32" s="60">
        <f t="shared" si="17"/>
        <v>544.35477319318545</v>
      </c>
      <c r="DT32" s="60">
        <f ca="1">AVERAGE(OFFSET($DS$3,0,0,'Données projet'!$E$14+1,1))-AVERAGE(OFFSET($H$3,0,0,'Données projet'!$E$14+1,1))</f>
        <v>338.92444234934266</v>
      </c>
      <c r="DU32" s="60">
        <f t="shared" si="44"/>
        <v>208.91548891910895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13.6</v>
      </c>
      <c r="EJ32" s="13">
        <f>IF('Données projet'!$A$192&gt;35,EJ31+EI32-ER31,IF(A32&lt;'Données projet'!$A$192,$EG$205^A32,IF(A32='Données projet'!$A$192,'Données projet'!$B$192,EJ31+EI32-ER31)))</f>
        <v>130.39999999999998</v>
      </c>
      <c r="EK32" s="18">
        <f>EJ32*VLOOKUP('Données projet'!$B$15,Paramètres!$A$1:$I$89,3,0)*VLOOKUP('Données projet'!$B$15,Paramètres!$A$1:$I$89,5,0)</f>
        <v>105.78048</v>
      </c>
      <c r="EL32" s="14">
        <f t="shared" si="45"/>
        <v>28.334580954973664</v>
      </c>
      <c r="EM32" s="22">
        <f t="shared" si="19"/>
        <v>233.5837311632458</v>
      </c>
      <c r="EN32" s="60">
        <f t="shared" si="20"/>
        <v>526.91706449657909</v>
      </c>
      <c r="EO32" s="60">
        <f ca="1">AVERAGE(OFFSET($EN$3,0,0,'Données projet'!$E$15+1,1))-AVERAGE(OFFSET($H$3,0,0,'Données projet'!$E$15+1,1))</f>
        <v>346.10839312896536</v>
      </c>
      <c r="EP32" s="60">
        <f t="shared" si="46"/>
        <v>196.24927250256087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5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8">
        <f t="shared" si="1"/>
        <v>354.40360096325321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0">
        <f t="shared" si="0"/>
        <v>534.88407898366597</v>
      </c>
      <c r="S33" s="60">
        <f ca="1">AVERAGE(OFFSET($R$3,0,0,'Données projet'!$E$9+1,1))-AVERAGE(OFFSET($H$3,0,0,'Données projet'!$E$9+1,1))</f>
        <v>327.62615088747526</v>
      </c>
      <c r="T33" s="60">
        <f t="shared" si="34"/>
        <v>180.48047802041276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101.93040000000003</v>
      </c>
      <c r="AK33" s="14">
        <f t="shared" si="35"/>
        <v>27.421375718582158</v>
      </c>
      <c r="AL33" s="22">
        <f t="shared" si="4"/>
        <v>225.28767604319731</v>
      </c>
      <c r="AM33" s="60">
        <f t="shared" si="5"/>
        <v>518.62100937653065</v>
      </c>
      <c r="AN33" s="60">
        <f ca="1">AVERAGE(OFFSET($AM$3,0,0,'Données projet'!$E$10+1,1))-AVERAGE(OFFSET($H$3,0,0,'Données projet'!$E$10+1,1))</f>
        <v>295.5242128298583</v>
      </c>
      <c r="AO33" s="60">
        <f t="shared" si="36"/>
        <v>164.21740841327744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150.64102564102564</v>
      </c>
      <c r="BB33" s="13">
        <f>VLOOKUP(A33,'Données projet'!$A$87:$I$107,9,0)</f>
        <v>7.9487179487179471</v>
      </c>
      <c r="BC33" s="13">
        <f t="array" ref="BC33">INDEX(BB:BB,MIN(IF(ISNUMBER(BB33:BB229),ROW(BB33:BB229),"")))</f>
        <v>7.9487179487179471</v>
      </c>
      <c r="BD33" s="13">
        <f>IF('Données projet'!$A$88&gt;35,BD32+BC33-BL32,IF(A33&lt;'Données projet'!$A$88,$BA$205^A33,IF(A33='Données projet'!$A$88,'Données projet'!$B$88,BD32+BC33-BL32)))</f>
        <v>150.64102564102566</v>
      </c>
      <c r="BE33" s="14">
        <f>BD33*VLOOKUP('Données projet'!$B$11,Paramètres!$A$1:$I$89,3,0)*VLOOKUP('Données projet'!$B$11,Paramètres!$A$1:$I$89,5,0)</f>
        <v>143.35000000000002</v>
      </c>
      <c r="BF33" s="14">
        <f t="shared" si="37"/>
        <v>37.063384084012192</v>
      </c>
      <c r="BG33" s="22">
        <f t="shared" si="7"/>
        <v>314.21997727965459</v>
      </c>
      <c r="BH33" s="60">
        <f t="shared" si="8"/>
        <v>607.55331061298784</v>
      </c>
      <c r="BI33" s="60">
        <f ca="1">AVERAGE(OFFSET($BH$3,0,0,'Données projet'!$E$11+1,1))-AVERAGE(OFFSET($H$3,0,0,'Données projet'!$E$11+1,1))</f>
        <v>276.19649531804959</v>
      </c>
      <c r="BJ33" s="60">
        <f t="shared" si="38"/>
        <v>253.14970964973463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33.974358974358971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182</v>
      </c>
      <c r="BW33" s="13">
        <f>VLOOKUP(A33,'Données projet'!$A$113:$I$133,9,0)</f>
        <v>8.8000000000000007</v>
      </c>
      <c r="BX33" s="13">
        <f t="array" ref="BX33">INDEX(BW:BW,MIN(IF(ISNUMBER(BW33:BW229),ROW(BW33:BW229),"")))</f>
        <v>8.8000000000000007</v>
      </c>
      <c r="BY33" s="13">
        <f>IF('Données projet'!$A$114&gt;35,BY32+BX33-CG32,IF(A33&lt;'Données projet'!$A$114,$BV$205^A33,IF(A33='Données projet'!$A$114,'Données projet'!$B$114,BY32+BX33-CG32)))</f>
        <v>182.00000000000003</v>
      </c>
      <c r="BZ33" s="14">
        <f>BY33*VLOOKUP('Données projet'!$B$12,Paramètres!$A$1:$I$89,3,0)*VLOOKUP('Données projet'!$B$12,Paramètres!$A$1:$I$89,5,0)</f>
        <v>119.24640000000002</v>
      </c>
      <c r="CA33" s="14">
        <f t="shared" si="39"/>
        <v>31.499170077667042</v>
      </c>
      <c r="CB33" s="22">
        <f t="shared" si="10"/>
        <v>262.54853455193677</v>
      </c>
      <c r="CC33" s="60">
        <f t="shared" si="11"/>
        <v>555.88186788527014</v>
      </c>
      <c r="CD33" s="60">
        <f ca="1">AVERAGE(OFFSET($CC$3,0,0,'Données projet'!$E$12+1,1))-AVERAGE(OFFSET($H$3,0,0,'Données projet'!$E$12+1,1))</f>
        <v>154.88061446835457</v>
      </c>
      <c r="CE33" s="60">
        <f t="shared" si="40"/>
        <v>201.47826692201693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44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8.6000000000000007E-2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2.7299756208139598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2.7299756208139598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114</v>
      </c>
      <c r="CR33" s="13">
        <f>VLOOKUP(A33,'Données projet'!$A$139:$I$159,9,0)</f>
        <v>8.1999999999999993</v>
      </c>
      <c r="CS33" s="13">
        <f t="array" ref="CS33">INDEX(CR:CR,MIN(IF(ISNUMBER(CR33:CR229),ROW(CR33:CR229),"")))</f>
        <v>8.1999999999999993</v>
      </c>
      <c r="CT33" s="13">
        <f>IF('Données projet'!$A$140&gt;35,CT32+CS33-DB32,IF(A33&lt;'Données projet'!$A$140,$CQ$205^A33,IF(A33='Données projet'!$A$140,'Données projet'!$B$140,CT32+CS33-DB32)))</f>
        <v>113.99999999999999</v>
      </c>
      <c r="CU33" s="18">
        <f>CT33*VLOOKUP('Données projet'!$B$13,Paramètres!$A$1:$I$89,3,0)*VLOOKUP('Données projet'!$B$13,Paramètres!$A$1:$I$89,5,0)</f>
        <v>110.26079999999999</v>
      </c>
      <c r="CV33" s="14">
        <f t="shared" si="41"/>
        <v>29.392422615380774</v>
      </c>
      <c r="CW33" s="22">
        <f t="shared" si="13"/>
        <v>243.22936272178819</v>
      </c>
      <c r="CX33" s="60">
        <f t="shared" si="14"/>
        <v>536.56269605512148</v>
      </c>
      <c r="CY33" s="60">
        <f ca="1">AVERAGE(OFFSET($CX$3,0,0,'Données projet'!$E$13+1,1))-AVERAGE(OFFSET($H$3,0,0,'Données projet'!$E$13+1,1))</f>
        <v>293.44206058086951</v>
      </c>
      <c r="CZ33" s="60">
        <f t="shared" si="42"/>
        <v>182.15909509186827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114</v>
      </c>
      <c r="DM33" s="13">
        <f>VLOOKUP(A33,'Données projet'!$A$165:$I$185,9,0)</f>
        <v>8.1999999999999993</v>
      </c>
      <c r="DN33" s="13">
        <f t="array" ref="DN33">INDEX(DM:DM,MIN(IF(ISNUMBER(DM33:DM229),ROW(DM33:DM229),"")))</f>
        <v>8.1999999999999993</v>
      </c>
      <c r="DO33" s="13">
        <f>IF('Données projet'!$A$166&gt;35,DO32+DN33-DW32,IF(A33&lt;'Données projet'!$A$166,$DL$205^A33,IF(A33='Données projet'!$A$166,'Données projet'!$B$166,DO32+DN33-DW32)))</f>
        <v>113.99999999999999</v>
      </c>
      <c r="DP33" s="18">
        <f>DO33*VLOOKUP('Données projet'!$B$14,Paramètres!$A$1:$I$89,3,0)*VLOOKUP('Données projet'!$B$14,Paramètres!$A$1:$I$89,5,0)</f>
        <v>122.70959999999998</v>
      </c>
      <c r="DQ33" s="14">
        <f t="shared" si="43"/>
        <v>32.306145387002253</v>
      </c>
      <c r="DR33" s="22">
        <f t="shared" si="16"/>
        <v>269.98575654902885</v>
      </c>
      <c r="DS33" s="60">
        <f t="shared" si="17"/>
        <v>563.31908988236216</v>
      </c>
      <c r="DT33" s="60">
        <f ca="1">AVERAGE(OFFSET($DS$3,0,0,'Données projet'!$E$14+1,1))-AVERAGE(OFFSET($H$3,0,0,'Données projet'!$E$14+1,1))</f>
        <v>338.92444234934266</v>
      </c>
      <c r="DU33" s="60">
        <f t="shared" si="44"/>
        <v>208.91548891910895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144</v>
      </c>
      <c r="EH33" s="13">
        <f>VLOOKUP(A33,'Données projet'!$A$191:$I$211,9,0)</f>
        <v>13.6</v>
      </c>
      <c r="EI33" s="13">
        <f t="array" ref="EI33">INDEX(EH:EH,MIN(IF(ISNUMBER(EH33:EH229),ROW(EH33:EH229),"")))</f>
        <v>13.6</v>
      </c>
      <c r="EJ33" s="13">
        <f>IF('Données projet'!$A$192&gt;35,EJ32+EI33-ER32,IF(A33&lt;'Données projet'!$A$192,$EG$205^A33,IF(A33='Données projet'!$A$192,'Données projet'!$B$192,EJ32+EI33-ER32)))</f>
        <v>143.99999999999997</v>
      </c>
      <c r="EK33" s="18">
        <f>EJ33*VLOOKUP('Données projet'!$B$15,Paramètres!$A$1:$I$89,3,0)*VLOOKUP('Données projet'!$B$15,Paramètres!$A$1:$I$89,5,0)</f>
        <v>116.81279999999998</v>
      </c>
      <c r="EL33" s="14">
        <f t="shared" si="45"/>
        <v>30.930476631089483</v>
      </c>
      <c r="EM33" s="22">
        <f t="shared" si="19"/>
        <v>257.31954013248077</v>
      </c>
      <c r="EN33" s="60">
        <f t="shared" si="20"/>
        <v>550.65287346581408</v>
      </c>
      <c r="EO33" s="60">
        <f ca="1">AVERAGE(OFFSET($EN$3,0,0,'Données projet'!$E$15+1,1))-AVERAGE(OFFSET($H$3,0,0,'Données projet'!$E$15+1,1))</f>
        <v>346.10839312896536</v>
      </c>
      <c r="EP33" s="60">
        <f t="shared" si="46"/>
        <v>196.24927250256087</v>
      </c>
      <c r="EQ33" s="16">
        <f>IF(ISNA(VLOOKUP(A33,'Données projet'!$A$191:$I$211,3,0)),0,VLOOKUP(A33,'Données projet'!$A$191:$I$211,3,0))</f>
        <v>1</v>
      </c>
      <c r="ER33" s="16">
        <f>IF(ISNA(VLOOKUP(A33,'Données projet'!$A$191:$I$211,4,0)),0,VLOOKUP(A33,'Données projet'!$A$191:$I$211,4,0))</f>
        <v>35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5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8">
        <f t="shared" si="1"/>
        <v>356.38176682171019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projet'!$B$9,Paramètres!$A$1:$I$89,3,0)*VLOOKUP('Données projet'!$B$9,Paramètres!$A$1:$I$89,5,0)</f>
        <v>119.25264000000003</v>
      </c>
      <c r="P34" s="14">
        <f t="shared" si="33"/>
        <v>31.500626518374375</v>
      </c>
      <c r="Q34" s="22">
        <f t="shared" si="2"/>
        <v>262.56193918616879</v>
      </c>
      <c r="R34" s="60">
        <f t="shared" si="0"/>
        <v>555.8952725195021</v>
      </c>
      <c r="S34" s="60">
        <f ca="1">AVERAGE(OFFSET($R$3,0,0,'Données projet'!$E$9+1,1))-AVERAGE(OFFSET($H$3,0,0,'Données projet'!$E$9+1,1))</f>
        <v>327.62615088747526</v>
      </c>
      <c r="T34" s="60">
        <f t="shared" si="34"/>
        <v>180.48047802041276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131.80000000000004</v>
      </c>
      <c r="AJ34" s="14">
        <f>AI34*VLOOKUP('Données projet'!$B$10,Paramètres!$A$1:$I$89,3,0)*VLOOKUP('Données projet'!$B$10,Paramètres!$A$1:$I$89,5,0)</f>
        <v>111.02832000000005</v>
      </c>
      <c r="AK34" s="14">
        <f t="shared" si="35"/>
        <v>29.573133422929669</v>
      </c>
      <c r="AL34" s="22">
        <f t="shared" si="4"/>
        <v>244.88086471160261</v>
      </c>
      <c r="AM34" s="60">
        <f t="shared" si="5"/>
        <v>538.21419804493598</v>
      </c>
      <c r="AN34" s="60">
        <f ca="1">AVERAGE(OFFSET($AM$3,0,0,'Données projet'!$E$10+1,1))-AVERAGE(OFFSET($H$3,0,0,'Données projet'!$E$10+1,1))</f>
        <v>295.5242128298583</v>
      </c>
      <c r="AO34" s="60">
        <f t="shared" si="36"/>
        <v>164.21740841327744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7.5641025641025639</v>
      </c>
      <c r="BD34" s="13">
        <f>IF('Données projet'!$A$88&gt;35,BD33+BC34-BL33,IF(A34&lt;'Données projet'!$A$88,$BA$205^A34,IF(A34='Données projet'!$A$88,'Données projet'!$B$88,BD33+BC34-BL33)))</f>
        <v>124.23076923076925</v>
      </c>
      <c r="BE34" s="14">
        <f>BD34*VLOOKUP('Données projet'!$B$11,Paramètres!$A$1:$I$89,3,0)*VLOOKUP('Données projet'!$B$11,Paramètres!$A$1:$I$89,5,0)</f>
        <v>118.21800000000002</v>
      </c>
      <c r="BF34" s="14">
        <f t="shared" si="37"/>
        <v>31.259015847254158</v>
      </c>
      <c r="BG34" s="22">
        <f t="shared" si="7"/>
        <v>260.33913593396761</v>
      </c>
      <c r="BH34" s="60">
        <f t="shared" si="8"/>
        <v>553.67246926730093</v>
      </c>
      <c r="BI34" s="60">
        <f ca="1">AVERAGE(OFFSET($BH$3,0,0,'Données projet'!$E$11+1,1))-AVERAGE(OFFSET($H$3,0,0,'Données projet'!$E$11+1,1))</f>
        <v>276.19649531804959</v>
      </c>
      <c r="BJ34" s="60">
        <f t="shared" si="38"/>
        <v>253.14970964973463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8.6</v>
      </c>
      <c r="BY34" s="13">
        <f>IF('Données projet'!$A$114&gt;35,BY33+BX34-CG33,IF(A34&lt;'Données projet'!$A$114,$BV$205^A34,IF(A34='Données projet'!$A$114,'Données projet'!$B$114,BY33+BX34-CG33)))</f>
        <v>146.60000000000002</v>
      </c>
      <c r="BZ34" s="14">
        <f>BY34*VLOOKUP('Données projet'!$B$12,Paramètres!$A$1:$I$89,3,0)*VLOOKUP('Données projet'!$B$12,Paramètres!$A$1:$I$89,5,0)</f>
        <v>96.052320000000023</v>
      </c>
      <c r="CA34" s="14">
        <f t="shared" si="39"/>
        <v>26.019324001860248</v>
      </c>
      <c r="CB34" s="22">
        <f t="shared" si="10"/>
        <v>212.60811330323997</v>
      </c>
      <c r="CC34" s="60">
        <f t="shared" si="11"/>
        <v>505.94144663657329</v>
      </c>
      <c r="CD34" s="60">
        <f ca="1">AVERAGE(OFFSET($CC$3,0,0,'Données projet'!$E$12+1,1))-AVERAGE(OFFSET($H$3,0,0,'Données projet'!$E$12+1,1))</f>
        <v>154.88061446835457</v>
      </c>
      <c r="CE34" s="60">
        <f t="shared" si="40"/>
        <v>201.47826692201693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2.6553242938996235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2.6553242938996235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8.6</v>
      </c>
      <c r="CT34" s="13">
        <f>IF('Données projet'!$A$140&gt;35,CT33+CS34-DB33,IF(A34&lt;'Données projet'!$A$140,$CQ$205^A34,IF(A34='Données projet'!$A$140,'Données projet'!$B$140,CT33+CS34-DB33)))</f>
        <v>122.59999999999998</v>
      </c>
      <c r="CU34" s="18">
        <f>CT34*VLOOKUP('Données projet'!$B$13,Paramètres!$A$1:$I$89,3,0)*VLOOKUP('Données projet'!$B$13,Paramètres!$A$1:$I$89,5,0)</f>
        <v>118.57871999999998</v>
      </c>
      <c r="CV34" s="14">
        <f t="shared" si="41"/>
        <v>31.343279557590108</v>
      </c>
      <c r="CW34" s="22">
        <f t="shared" si="13"/>
        <v>261.11414922946938</v>
      </c>
      <c r="CX34" s="60">
        <f t="shared" si="14"/>
        <v>554.44748256280263</v>
      </c>
      <c r="CY34" s="60">
        <f ca="1">AVERAGE(OFFSET($CX$3,0,0,'Données projet'!$E$13+1,1))-AVERAGE(OFFSET($H$3,0,0,'Données projet'!$E$13+1,1))</f>
        <v>293.44206058086951</v>
      </c>
      <c r="CZ34" s="60">
        <f t="shared" si="42"/>
        <v>182.15909509186827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8.6</v>
      </c>
      <c r="DO34" s="13">
        <f>IF('Données projet'!$A$166&gt;35,DO33+DN34-DW33,IF(A34&lt;'Données projet'!$A$166,$DL$205^A34,IF(A34='Données projet'!$A$166,'Données projet'!$B$166,DO33+DN34-DW33)))</f>
        <v>122.59999999999998</v>
      </c>
      <c r="DP34" s="18">
        <f>DO34*VLOOKUP('Données projet'!$B$14,Paramètres!$A$1:$I$89,3,0)*VLOOKUP('Données projet'!$B$14,Paramètres!$A$1:$I$89,5,0)</f>
        <v>131.96663999999998</v>
      </c>
      <c r="DQ34" s="14">
        <f t="shared" si="43"/>
        <v>34.450394223819067</v>
      </c>
      <c r="DR34" s="22">
        <f t="shared" si="16"/>
        <v>289.84300127315151</v>
      </c>
      <c r="DS34" s="60">
        <f t="shared" si="17"/>
        <v>583.17633460648483</v>
      </c>
      <c r="DT34" s="60">
        <f ca="1">AVERAGE(OFFSET($DS$3,0,0,'Données projet'!$E$14+1,1))-AVERAGE(OFFSET($H$3,0,0,'Données projet'!$E$14+1,1))</f>
        <v>338.92444234934266</v>
      </c>
      <c r="DU34" s="60">
        <f t="shared" si="44"/>
        <v>208.91548891910895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6</v>
      </c>
      <c r="EJ34" s="13">
        <f>IF('Données projet'!$A$192&gt;35,EJ33+EI34-ER33,IF(A34&lt;'Données projet'!$A$192,$EG$205^A34,IF(A34='Données projet'!$A$192,'Données projet'!$B$192,EJ33+EI34-ER33)))</f>
        <v>114.99999999999997</v>
      </c>
      <c r="EK34" s="18">
        <f>EJ34*VLOOKUP('Données projet'!$B$15,Paramètres!$A$1:$I$89,3,0)*VLOOKUP('Données projet'!$B$15,Paramètres!$A$1:$I$89,5,0)</f>
        <v>93.287999999999982</v>
      </c>
      <c r="EL34" s="14">
        <f t="shared" si="45"/>
        <v>25.356547829040977</v>
      </c>
      <c r="EM34" s="22">
        <f t="shared" si="19"/>
        <v>206.63925413557965</v>
      </c>
      <c r="EN34" s="60">
        <f t="shared" si="20"/>
        <v>499.97258746891293</v>
      </c>
      <c r="EO34" s="60">
        <f ca="1">AVERAGE(OFFSET($EN$3,0,0,'Données projet'!$E$15+1,1))-AVERAGE(OFFSET($H$3,0,0,'Données projet'!$E$15+1,1))</f>
        <v>346.10839312896536</v>
      </c>
      <c r="EP34" s="60">
        <f t="shared" si="46"/>
        <v>196.24927250256087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5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8">
        <f t="shared" si="1"/>
        <v>358.35832279638072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projet'!$B$9,Paramètres!$A$1:$I$89,3,0)*VLOOKUP('Données projet'!$B$9,Paramètres!$A$1:$I$89,5,0)</f>
        <v>129.02448000000004</v>
      </c>
      <c r="P35" s="14">
        <f t="shared" si="33"/>
        <v>33.770846580616279</v>
      </c>
      <c r="Q35" s="22">
        <f t="shared" ref="Q35:Q66" si="53">(O35+P35)*0.475*44/12</f>
        <v>283.53519379457339</v>
      </c>
      <c r="R35" s="60">
        <f t="shared" si="0"/>
        <v>576.86852712790665</v>
      </c>
      <c r="S35" s="60">
        <f ca="1">AVERAGE(OFFSET($R$3,0,0,'Données projet'!$E$9+1,1))-AVERAGE(OFFSET($H$3,0,0,'Données projet'!$E$9+1,1))</f>
        <v>327.62615088747526</v>
      </c>
      <c r="T35" s="60">
        <f t="shared" si="34"/>
        <v>180.48047802041276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142.60000000000005</v>
      </c>
      <c r="AJ35" s="14">
        <f>AI35*VLOOKUP('Données projet'!$B$10,Paramètres!$A$1:$I$89,3,0)*VLOOKUP('Données projet'!$B$10,Paramètres!$A$1:$I$89,5,0)</f>
        <v>120.12624000000005</v>
      </c>
      <c r="AK35" s="14">
        <f t="shared" si="35"/>
        <v>31.704440899018444</v>
      </c>
      <c r="AL35" s="22">
        <f t="shared" si="4"/>
        <v>264.43843589912387</v>
      </c>
      <c r="AM35" s="60">
        <f t="shared" si="5"/>
        <v>557.77176923245725</v>
      </c>
      <c r="AN35" s="60">
        <f ca="1">AVERAGE(OFFSET($AM$3,0,0,'Données projet'!$E$10+1,1))-AVERAGE(OFFSET($H$3,0,0,'Données projet'!$E$10+1,1))</f>
        <v>295.5242128298583</v>
      </c>
      <c r="AO35" s="60">
        <f t="shared" si="36"/>
        <v>164.21740841327744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7.5641025641025639</v>
      </c>
      <c r="BD35" s="13">
        <f>IF('Données projet'!$A$88&gt;35,BD34+BC35-BL34,IF(A35&lt;'Données projet'!$A$88,$BA$205^A35,IF(A35='Données projet'!$A$88,'Données projet'!$B$88,BD34+BC35-BL34)))</f>
        <v>131.79487179487182</v>
      </c>
      <c r="BE35" s="14">
        <f>BD35*VLOOKUP('Données projet'!$B$11,Paramètres!$A$1:$I$89,3,0)*VLOOKUP('Données projet'!$B$11,Paramètres!$A$1:$I$89,5,0)</f>
        <v>125.41600000000003</v>
      </c>
      <c r="BF35" s="14">
        <f t="shared" si="37"/>
        <v>32.93492868341815</v>
      </c>
      <c r="BG35" s="22">
        <f t="shared" si="7"/>
        <v>275.79453412362</v>
      </c>
      <c r="BH35" s="60">
        <f t="shared" si="8"/>
        <v>569.12786745695325</v>
      </c>
      <c r="BI35" s="60">
        <f ca="1">AVERAGE(OFFSET($BH$3,0,0,'Données projet'!$E$11+1,1))-AVERAGE(OFFSET($H$3,0,0,'Données projet'!$E$11+1,1))</f>
        <v>276.19649531804959</v>
      </c>
      <c r="BJ35" s="60">
        <f t="shared" si="38"/>
        <v>253.14970964973463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8.6</v>
      </c>
      <c r="BY35" s="13">
        <f>IF('Données projet'!$A$114&gt;35,BY34+BX35-CG34,IF(A35&lt;'Données projet'!$A$114,$BV$205^A35,IF(A35='Données projet'!$A$114,'Données projet'!$B$114,BY34+BX35-CG34)))</f>
        <v>155.20000000000002</v>
      </c>
      <c r="BZ35" s="14">
        <f>BY35*VLOOKUP('Données projet'!$B$12,Paramètres!$A$1:$I$89,3,0)*VLOOKUP('Données projet'!$B$12,Paramètres!$A$1:$I$89,5,0)</f>
        <v>101.68704000000002</v>
      </c>
      <c r="CA35" s="14">
        <f t="shared" si="39"/>
        <v>27.363519398004541</v>
      </c>
      <c r="CB35" s="22">
        <f t="shared" si="10"/>
        <v>224.76305761819128</v>
      </c>
      <c r="CC35" s="60">
        <f t="shared" si="11"/>
        <v>518.09639095152465</v>
      </c>
      <c r="CD35" s="60">
        <f ca="1">AVERAGE(OFFSET($CC$3,0,0,'Données projet'!$E$12+1,1))-AVERAGE(OFFSET($H$3,0,0,'Données projet'!$E$12+1,1))</f>
        <v>154.88061446835457</v>
      </c>
      <c r="CE35" s="60">
        <f t="shared" si="40"/>
        <v>201.47826692201693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2.5827143114455025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2.5827143114455025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8.6</v>
      </c>
      <c r="CT35" s="13">
        <f>IF('Données projet'!$A$140&gt;35,CT34+CS35-DB34,IF(A35&lt;'Données projet'!$A$140,$CQ$205^A35,IF(A35='Données projet'!$A$140,'Données projet'!$B$140,CT34+CS35-DB34)))</f>
        <v>131.19999999999999</v>
      </c>
      <c r="CU35" s="18">
        <f>CT35*VLOOKUP('Données projet'!$B$13,Paramètres!$A$1:$I$89,3,0)*VLOOKUP('Données projet'!$B$13,Paramètres!$A$1:$I$89,5,0)</f>
        <v>126.89663999999999</v>
      </c>
      <c r="CV35" s="14">
        <f t="shared" si="41"/>
        <v>33.278258692340138</v>
      </c>
      <c r="CW35" s="22">
        <f t="shared" si="13"/>
        <v>278.971281889159</v>
      </c>
      <c r="CX35" s="60">
        <f t="shared" si="14"/>
        <v>572.30461522249232</v>
      </c>
      <c r="CY35" s="60">
        <f ca="1">AVERAGE(OFFSET($CX$3,0,0,'Données projet'!$E$13+1,1))-AVERAGE(OFFSET($H$3,0,0,'Données projet'!$E$13+1,1))</f>
        <v>293.44206058086951</v>
      </c>
      <c r="CZ35" s="60">
        <f t="shared" si="42"/>
        <v>182.15909509186827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8.6</v>
      </c>
      <c r="DO35" s="13">
        <f>IF('Données projet'!$A$166&gt;35,DO34+DN35-DW34,IF(A35&lt;'Données projet'!$A$166,$DL$205^A35,IF(A35='Données projet'!$A$166,'Données projet'!$B$166,DO34+DN35-DW34)))</f>
        <v>131.19999999999999</v>
      </c>
      <c r="DP35" s="18">
        <f>DO35*VLOOKUP('Données projet'!$B$14,Paramètres!$A$1:$I$89,3,0)*VLOOKUP('Données projet'!$B$14,Paramètres!$A$1:$I$89,5,0)</f>
        <v>141.22368</v>
      </c>
      <c r="DQ35" s="14">
        <f t="shared" si="43"/>
        <v>36.577191258077065</v>
      </c>
      <c r="DR35" s="22">
        <f t="shared" si="16"/>
        <v>309.66985077448419</v>
      </c>
      <c r="DS35" s="60">
        <f t="shared" si="17"/>
        <v>603.00318410781756</v>
      </c>
      <c r="DT35" s="60">
        <f ca="1">AVERAGE(OFFSET($DS$3,0,0,'Données projet'!$E$14+1,1))-AVERAGE(OFFSET($H$3,0,0,'Données projet'!$E$14+1,1))</f>
        <v>338.92444234934266</v>
      </c>
      <c r="DU35" s="60">
        <f t="shared" si="44"/>
        <v>208.91548891910895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6</v>
      </c>
      <c r="EJ35" s="13">
        <f>IF('Données projet'!$A$192&gt;35,EJ34+EI35-ER34,IF(A35&lt;'Données projet'!$A$192,$EG$205^A35,IF(A35='Données projet'!$A$192,'Données projet'!$B$192,EJ34+EI35-ER34)))</f>
        <v>120.99999999999997</v>
      </c>
      <c r="EK35" s="18">
        <f>EJ35*VLOOKUP('Données projet'!$B$15,Paramètres!$A$1:$I$89,3,0)*VLOOKUP('Données projet'!$B$15,Paramètres!$A$1:$I$89,5,0)</f>
        <v>98.155199999999979</v>
      </c>
      <c r="EL35" s="14">
        <f t="shared" si="45"/>
        <v>26.522024238465775</v>
      </c>
      <c r="EM35" s="22">
        <f t="shared" si="19"/>
        <v>217.14616554866117</v>
      </c>
      <c r="EN35" s="60">
        <f t="shared" si="20"/>
        <v>510.47949888199446</v>
      </c>
      <c r="EO35" s="60">
        <f ca="1">AVERAGE(OFFSET($EN$3,0,0,'Données projet'!$E$15+1,1))-AVERAGE(OFFSET($H$3,0,0,'Données projet'!$E$15+1,1))</f>
        <v>346.10839312896536</v>
      </c>
      <c r="EP35" s="60">
        <f t="shared" si="46"/>
        <v>196.24927250256087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5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8">
        <f t="shared" si="1"/>
        <v>360.33332496858065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projet'!$B$9,Paramètres!$A$1:$I$89,3,0)*VLOOKUP('Données projet'!$B$9,Paramètres!$A$1:$I$89,5,0)</f>
        <v>138.79632000000007</v>
      </c>
      <c r="P36" s="14">
        <f t="shared" si="33"/>
        <v>36.021120886354588</v>
      </c>
      <c r="Q36" s="22">
        <f t="shared" si="53"/>
        <v>304.47370954373434</v>
      </c>
      <c r="R36" s="60">
        <f t="shared" si="0"/>
        <v>597.80704287706772</v>
      </c>
      <c r="S36" s="60">
        <f ca="1">AVERAGE(OFFSET($R$3,0,0,'Données projet'!$E$9+1,1))-AVERAGE(OFFSET($H$3,0,0,'Données projet'!$E$9+1,1))</f>
        <v>327.62615088747526</v>
      </c>
      <c r="T36" s="60">
        <f t="shared" si="34"/>
        <v>180.48047802041276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153.40000000000006</v>
      </c>
      <c r="AJ36" s="14">
        <f>AI36*VLOOKUP('Données projet'!$B$10,Paramètres!$A$1:$I$89,3,0)*VLOOKUP('Données projet'!$B$10,Paramètres!$A$1:$I$89,5,0)</f>
        <v>129.22416000000007</v>
      </c>
      <c r="AK36" s="14">
        <f t="shared" si="35"/>
        <v>33.81702308029579</v>
      </c>
      <c r="AL36" s="22">
        <f t="shared" si="4"/>
        <v>283.96339386484857</v>
      </c>
      <c r="AM36" s="60">
        <f t="shared" si="5"/>
        <v>577.29672719818188</v>
      </c>
      <c r="AN36" s="60">
        <f ca="1">AVERAGE(OFFSET($AM$3,0,0,'Données projet'!$E$10+1,1))-AVERAGE(OFFSET($H$3,0,0,'Données projet'!$E$10+1,1))</f>
        <v>295.5242128298583</v>
      </c>
      <c r="AO36" s="60">
        <f t="shared" si="36"/>
        <v>164.21740841327744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7.5641025641025639</v>
      </c>
      <c r="BD36" s="13">
        <f>IF('Données projet'!$A$88&gt;35,BD35+BC36-BL35,IF(A36&lt;'Données projet'!$A$88,$BA$205^A36,IF(A36='Données projet'!$A$88,'Données projet'!$B$88,BD35+BC36-BL35)))</f>
        <v>139.35897435897439</v>
      </c>
      <c r="BE36" s="14">
        <f>BD36*VLOOKUP('Données projet'!$B$11,Paramètres!$A$1:$I$89,3,0)*VLOOKUP('Données projet'!$B$11,Paramètres!$A$1:$I$89,5,0)</f>
        <v>132.61400000000003</v>
      </c>
      <c r="BF36" s="14">
        <f t="shared" si="37"/>
        <v>34.599676353608892</v>
      </c>
      <c r="BG36" s="22">
        <f t="shared" si="7"/>
        <v>291.23048631586886</v>
      </c>
      <c r="BH36" s="60">
        <f t="shared" si="8"/>
        <v>584.56381964920217</v>
      </c>
      <c r="BI36" s="60">
        <f ca="1">AVERAGE(OFFSET($BH$3,0,0,'Données projet'!$E$11+1,1))-AVERAGE(OFFSET($H$3,0,0,'Données projet'!$E$11+1,1))</f>
        <v>276.19649531804959</v>
      </c>
      <c r="BJ36" s="60">
        <f t="shared" si="38"/>
        <v>253.14970964973463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8.6</v>
      </c>
      <c r="BY36" s="13">
        <f>IF('Données projet'!$A$114&gt;35,BY35+BX36-CG35,IF(A36&lt;'Données projet'!$A$114,$BV$205^A36,IF(A36='Données projet'!$A$114,'Données projet'!$B$114,BY35+BX36-CG35)))</f>
        <v>163.80000000000001</v>
      </c>
      <c r="BZ36" s="14">
        <f>BY36*VLOOKUP('Données projet'!$B$12,Paramètres!$A$1:$I$89,3,0)*VLOOKUP('Données projet'!$B$12,Paramètres!$A$1:$I$89,5,0)</f>
        <v>107.32176000000001</v>
      </c>
      <c r="CA36" s="14">
        <f t="shared" si="39"/>
        <v>28.699067963776873</v>
      </c>
      <c r="CB36" s="22">
        <f t="shared" si="10"/>
        <v>236.90294203691141</v>
      </c>
      <c r="CC36" s="60">
        <f t="shared" si="11"/>
        <v>530.2362753702447</v>
      </c>
      <c r="CD36" s="60">
        <f ca="1">AVERAGE(OFFSET($CC$3,0,0,'Données projet'!$E$12+1,1))-AVERAGE(OFFSET($H$3,0,0,'Données projet'!$E$12+1,1))</f>
        <v>154.88061446835457</v>
      </c>
      <c r="CE36" s="60">
        <f t="shared" si="40"/>
        <v>201.47826692201693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2.5120898527799822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2.5120898527799822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8.6</v>
      </c>
      <c r="CT36" s="13">
        <f>IF('Données projet'!$A$140&gt;35,CT35+CS36-DB35,IF(A36&lt;'Données projet'!$A$140,$CQ$205^A36,IF(A36='Données projet'!$A$140,'Données projet'!$B$140,CT35+CS36-DB35)))</f>
        <v>139.79999999999998</v>
      </c>
      <c r="CU36" s="18">
        <f>CT36*VLOOKUP('Données projet'!$B$13,Paramètres!$A$1:$I$89,3,0)*VLOOKUP('Données projet'!$B$13,Paramètres!$A$1:$I$89,5,0)</f>
        <v>135.21455999999998</v>
      </c>
      <c r="CV36" s="14">
        <f t="shared" si="41"/>
        <v>35.198519229111291</v>
      </c>
      <c r="CW36" s="22">
        <f t="shared" si="13"/>
        <v>296.80277965736883</v>
      </c>
      <c r="CX36" s="60">
        <f t="shared" si="14"/>
        <v>590.13611299070214</v>
      </c>
      <c r="CY36" s="60">
        <f ca="1">AVERAGE(OFFSET($CX$3,0,0,'Données projet'!$E$13+1,1))-AVERAGE(OFFSET($H$3,0,0,'Données projet'!$E$13+1,1))</f>
        <v>293.44206058086951</v>
      </c>
      <c r="CZ36" s="60">
        <f t="shared" si="42"/>
        <v>182.15909509186827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8.6</v>
      </c>
      <c r="DO36" s="13">
        <f>IF('Données projet'!$A$166&gt;35,DO35+DN36-DW35,IF(A36&lt;'Données projet'!$A$166,$DL$205^A36,IF(A36='Données projet'!$A$166,'Données projet'!$B$166,DO35+DN36-DW35)))</f>
        <v>139.79999999999998</v>
      </c>
      <c r="DP36" s="18">
        <f>DO36*VLOOKUP('Données projet'!$B$14,Paramètres!$A$1:$I$89,3,0)*VLOOKUP('Données projet'!$B$14,Paramètres!$A$1:$I$89,5,0)</f>
        <v>150.48071999999996</v>
      </c>
      <c r="DQ36" s="14">
        <f t="shared" si="43"/>
        <v>38.68781061374014</v>
      </c>
      <c r="DR36" s="22">
        <f t="shared" si="16"/>
        <v>329.46852415226402</v>
      </c>
      <c r="DS36" s="60">
        <f t="shared" si="17"/>
        <v>622.80185748559734</v>
      </c>
      <c r="DT36" s="60">
        <f ca="1">AVERAGE(OFFSET($DS$3,0,0,'Données projet'!$E$14+1,1))-AVERAGE(OFFSET($H$3,0,0,'Données projet'!$E$14+1,1))</f>
        <v>338.92444234934266</v>
      </c>
      <c r="DU36" s="60">
        <f t="shared" si="44"/>
        <v>208.91548891910895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6</v>
      </c>
      <c r="EJ36" s="13">
        <f>IF('Données projet'!$A$192&gt;35,EJ35+EI36-ER35,IF(A36&lt;'Données projet'!$A$192,$EG$205^A36,IF(A36='Données projet'!$A$192,'Données projet'!$B$192,EJ35+EI36-ER35)))</f>
        <v>126.99999999999997</v>
      </c>
      <c r="EK36" s="18">
        <f>EJ36*VLOOKUP('Données projet'!$B$15,Paramètres!$A$1:$I$89,3,0)*VLOOKUP('Données projet'!$B$15,Paramètres!$A$1:$I$89,5,0)</f>
        <v>103.02239999999999</v>
      </c>
      <c r="EL36" s="14">
        <f t="shared" si="45"/>
        <v>27.680790106744631</v>
      </c>
      <c r="EM36" s="22">
        <f t="shared" si="19"/>
        <v>227.64138943591354</v>
      </c>
      <c r="EN36" s="60">
        <f t="shared" si="20"/>
        <v>520.97472276924691</v>
      </c>
      <c r="EO36" s="60">
        <f ca="1">AVERAGE(OFFSET($EN$3,0,0,'Données projet'!$E$15+1,1))-AVERAGE(OFFSET($H$3,0,0,'Données projet'!$E$15+1,1))</f>
        <v>346.10839312896536</v>
      </c>
      <c r="EP36" s="60">
        <f t="shared" si="46"/>
        <v>196.24927250256087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5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8">
        <f t="shared" si="1"/>
        <v>362.30682582761347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projet'!$B$9,Paramètres!$A$1:$I$89,3,0)*VLOOKUP('Données projet'!$B$9,Paramètres!$A$1:$I$89,5,0)</f>
        <v>148.56816000000006</v>
      </c>
      <c r="P37" s="14">
        <f t="shared" si="33"/>
        <v>38.253013425360628</v>
      </c>
      <c r="Q37" s="22">
        <f t="shared" si="53"/>
        <v>325.38021038250321</v>
      </c>
      <c r="R37" s="60">
        <f t="shared" si="0"/>
        <v>618.71354371583652</v>
      </c>
      <c r="S37" s="60">
        <f ca="1">AVERAGE(OFFSET($R$3,0,0,'Données projet'!$E$9+1,1))-AVERAGE(OFFSET($H$3,0,0,'Données projet'!$E$9+1,1))</f>
        <v>327.62615088747526</v>
      </c>
      <c r="T37" s="60">
        <f t="shared" si="34"/>
        <v>180.48047802041276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164.20000000000007</v>
      </c>
      <c r="AJ37" s="14">
        <f>AI37*VLOOKUP('Données projet'!$B$10,Paramètres!$A$1:$I$89,3,0)*VLOOKUP('Données projet'!$B$10,Paramètres!$A$1:$I$89,5,0)</f>
        <v>138.32208000000008</v>
      </c>
      <c r="AK37" s="14">
        <f t="shared" si="35"/>
        <v>35.912348257500334</v>
      </c>
      <c r="AL37" s="22">
        <f t="shared" si="4"/>
        <v>303.45829588181323</v>
      </c>
      <c r="AM37" s="60">
        <f t="shared" si="5"/>
        <v>596.79162921514649</v>
      </c>
      <c r="AN37" s="60">
        <f ca="1">AVERAGE(OFFSET($AM$3,0,0,'Données projet'!$E$10+1,1))-AVERAGE(OFFSET($H$3,0,0,'Données projet'!$E$10+1,1))</f>
        <v>295.5242128298583</v>
      </c>
      <c r="AO37" s="60">
        <f t="shared" si="36"/>
        <v>164.21740841327744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7.5641025641025639</v>
      </c>
      <c r="BD37" s="13">
        <f>IF('Données projet'!$A$88&gt;35,BD36+BC37-BL36,IF(A37&lt;'Données projet'!$A$88,$BA$205^A37,IF(A37='Données projet'!$A$88,'Données projet'!$B$88,BD36+BC37-BL36)))</f>
        <v>146.92307692307696</v>
      </c>
      <c r="BE37" s="14">
        <f>BD37*VLOOKUP('Données projet'!$B$11,Paramètres!$A$1:$I$89,3,0)*VLOOKUP('Données projet'!$B$11,Paramètres!$A$1:$I$89,5,0)</f>
        <v>139.81200000000004</v>
      </c>
      <c r="BF37" s="14">
        <f t="shared" si="37"/>
        <v>36.253933967346235</v>
      </c>
      <c r="BG37" s="22">
        <f t="shared" si="7"/>
        <v>306.64816832646142</v>
      </c>
      <c r="BH37" s="60">
        <f t="shared" si="8"/>
        <v>599.98150165979473</v>
      </c>
      <c r="BI37" s="60">
        <f ca="1">AVERAGE(OFFSET($BH$3,0,0,'Données projet'!$E$11+1,1))-AVERAGE(OFFSET($H$3,0,0,'Données projet'!$E$11+1,1))</f>
        <v>276.19649531804959</v>
      </c>
      <c r="BJ37" s="60">
        <f t="shared" si="38"/>
        <v>253.14970964973463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8.6</v>
      </c>
      <c r="BY37" s="13">
        <f>IF('Données projet'!$A$114&gt;35,BY36+BX37-CG36,IF(A37&lt;'Données projet'!$A$114,$BV$205^A37,IF(A37='Données projet'!$A$114,'Données projet'!$B$114,BY36+BX37-CG36)))</f>
        <v>172.4</v>
      </c>
      <c r="BZ37" s="14">
        <f>BY37*VLOOKUP('Données projet'!$B$12,Paramètres!$A$1:$I$89,3,0)*VLOOKUP('Données projet'!$B$12,Paramètres!$A$1:$I$89,5,0)</f>
        <v>112.95648</v>
      </c>
      <c r="CA37" s="14">
        <f t="shared" si="39"/>
        <v>30.026475458997034</v>
      </c>
      <c r="CB37" s="22">
        <f t="shared" si="10"/>
        <v>249.0286474244198</v>
      </c>
      <c r="CC37" s="60">
        <f t="shared" si="11"/>
        <v>542.36198075775314</v>
      </c>
      <c r="CD37" s="60">
        <f ca="1">AVERAGE(OFFSET($CC$3,0,0,'Données projet'!$E$12+1,1))-AVERAGE(OFFSET($H$3,0,0,'Données projet'!$E$12+1,1))</f>
        <v>154.88061446835457</v>
      </c>
      <c r="CE37" s="60">
        <f t="shared" si="40"/>
        <v>201.47826692201693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2.4433966236506497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2.4433966236506497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8.6</v>
      </c>
      <c r="CT37" s="13">
        <f>IF('Données projet'!$A$140&gt;35,CT36+CS37-DB36,IF(A37&lt;'Données projet'!$A$140,$CQ$205^A37,IF(A37='Données projet'!$A$140,'Données projet'!$B$140,CT36+CS37-DB36)))</f>
        <v>148.39999999999998</v>
      </c>
      <c r="CU37" s="18">
        <f>CT37*VLOOKUP('Données projet'!$B$13,Paramètres!$A$1:$I$89,3,0)*VLOOKUP('Données projet'!$B$13,Paramètres!$A$1:$I$89,5,0)</f>
        <v>143.53247999999996</v>
      </c>
      <c r="CV37" s="14">
        <f t="shared" si="41"/>
        <v>37.105069696880726</v>
      </c>
      <c r="CW37" s="22">
        <f t="shared" si="13"/>
        <v>314.61039905540048</v>
      </c>
      <c r="CX37" s="60">
        <f t="shared" si="14"/>
        <v>607.94373238873379</v>
      </c>
      <c r="CY37" s="60">
        <f ca="1">AVERAGE(OFFSET($CX$3,0,0,'Données projet'!$E$13+1,1))-AVERAGE(OFFSET($H$3,0,0,'Données projet'!$E$13+1,1))</f>
        <v>293.44206058086951</v>
      </c>
      <c r="CZ37" s="60">
        <f t="shared" si="42"/>
        <v>182.15909509186827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8.6</v>
      </c>
      <c r="DO37" s="13">
        <f>IF('Données projet'!$A$166&gt;35,DO36+DN37-DW36,IF(A37&lt;'Données projet'!$A$166,$DL$205^A37,IF(A37='Données projet'!$A$166,'Données projet'!$B$166,DO36+DN37-DW36)))</f>
        <v>148.39999999999998</v>
      </c>
      <c r="DP37" s="18">
        <f>DO37*VLOOKUP('Données projet'!$B$14,Paramètres!$A$1:$I$89,3,0)*VLOOKUP('Données projet'!$B$14,Paramètres!$A$1:$I$89,5,0)</f>
        <v>159.73775999999995</v>
      </c>
      <c r="DQ37" s="14">
        <f t="shared" si="43"/>
        <v>40.783360797044331</v>
      </c>
      <c r="DR37" s="22">
        <f t="shared" si="16"/>
        <v>349.24095205485213</v>
      </c>
      <c r="DS37" s="60">
        <f t="shared" si="17"/>
        <v>642.57428538818544</v>
      </c>
      <c r="DT37" s="60">
        <f ca="1">AVERAGE(OFFSET($DS$3,0,0,'Données projet'!$E$14+1,1))-AVERAGE(OFFSET($H$3,0,0,'Données projet'!$E$14+1,1))</f>
        <v>338.92444234934266</v>
      </c>
      <c r="DU37" s="60">
        <f t="shared" si="44"/>
        <v>208.91548891910895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6</v>
      </c>
      <c r="EJ37" s="13">
        <f>IF('Données projet'!$A$192&gt;35,EJ36+EI37-ER36,IF(A37&lt;'Données projet'!$A$192,$EG$205^A37,IF(A37='Données projet'!$A$192,'Données projet'!$B$192,EJ36+EI37-ER36)))</f>
        <v>132.99999999999997</v>
      </c>
      <c r="EK37" s="18">
        <f>EJ37*VLOOKUP('Données projet'!$B$15,Paramètres!$A$1:$I$89,3,0)*VLOOKUP('Données projet'!$B$15,Paramètres!$A$1:$I$89,5,0)</f>
        <v>107.88959999999997</v>
      </c>
      <c r="EL37" s="14">
        <f t="shared" si="45"/>
        <v>28.833198667365593</v>
      </c>
      <c r="EM37" s="22">
        <f t="shared" si="19"/>
        <v>238.12554101232834</v>
      </c>
      <c r="EN37" s="60">
        <f t="shared" si="20"/>
        <v>531.45887434566168</v>
      </c>
      <c r="EO37" s="60">
        <f ca="1">AVERAGE(OFFSET($EN$3,0,0,'Données projet'!$E$15+1,1))-AVERAGE(OFFSET($H$3,0,0,'Données projet'!$E$15+1,1))</f>
        <v>346.10839312896536</v>
      </c>
      <c r="EP37" s="60">
        <f t="shared" si="46"/>
        <v>196.24927250256087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5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8">
        <f t="shared" si="1"/>
        <v>364.27887459963966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projet'!$B$9,Paramètres!$A$1:$I$89,3,0)*VLOOKUP('Données projet'!$B$9,Paramètres!$A$1:$I$89,5,0)</f>
        <v>158.34000000000006</v>
      </c>
      <c r="P38" s="14">
        <f t="shared" si="33"/>
        <v>40.467870812652819</v>
      </c>
      <c r="Q38" s="22">
        <f t="shared" si="53"/>
        <v>346.25704166537042</v>
      </c>
      <c r="R38" s="60">
        <f t="shared" si="0"/>
        <v>639.59037499870374</v>
      </c>
      <c r="S38" s="60">
        <f ca="1">AVERAGE(OFFSET($R$3,0,0,'Données projet'!$E$9+1,1))-AVERAGE(OFFSET($H$3,0,0,'Données projet'!$E$9+1,1))</f>
        <v>327.62615088747526</v>
      </c>
      <c r="T38" s="60">
        <f t="shared" si="34"/>
        <v>180.48047802041276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175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175.00000000000009</v>
      </c>
      <c r="AJ38" s="14">
        <f>AI38*VLOOKUP('Données projet'!$B$10,Paramètres!$A$1:$I$89,3,0)*VLOOKUP('Données projet'!$B$10,Paramètres!$A$1:$I$89,5,0)</f>
        <v>147.4200000000001</v>
      </c>
      <c r="AK38" s="14">
        <f t="shared" si="35"/>
        <v>37.991680647570327</v>
      </c>
      <c r="AL38" s="22">
        <f t="shared" si="4"/>
        <v>322.92534379451848</v>
      </c>
      <c r="AM38" s="60">
        <f t="shared" si="5"/>
        <v>616.2586771278518</v>
      </c>
      <c r="AN38" s="60">
        <f ca="1">AVERAGE(OFFSET($AM$3,0,0,'Données projet'!$E$10+1,1))-AVERAGE(OFFSET($H$3,0,0,'Données projet'!$E$10+1,1))</f>
        <v>295.5242128298583</v>
      </c>
      <c r="AO38" s="60">
        <f t="shared" si="36"/>
        <v>164.21740841327744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56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154.48717948717947</v>
      </c>
      <c r="BB38" s="13">
        <f>VLOOKUP(A38,'Données projet'!$A$87:$I$107,9,0)</f>
        <v>7.5641025641025639</v>
      </c>
      <c r="BC38" s="13">
        <f t="array" ref="BC38">INDEX(BB:BB,MIN(IF(ISNUMBER(BB38:BB234),ROW(BB38:BB234),"")))</f>
        <v>7.5641025641025639</v>
      </c>
      <c r="BD38" s="13">
        <f>IF('Données projet'!$A$88&gt;35,BD37+BC38-BL37,IF(A38&lt;'Données projet'!$A$88,$BA$205^A38,IF(A38='Données projet'!$A$88,'Données projet'!$B$88,BD37+BC38-BL37)))</f>
        <v>154.48717948717953</v>
      </c>
      <c r="BE38" s="14">
        <f>BD38*VLOOKUP('Données projet'!$B$11,Paramètres!$A$1:$I$89,3,0)*VLOOKUP('Données projet'!$B$11,Paramètres!$A$1:$I$89,5,0)</f>
        <v>147.01000000000005</v>
      </c>
      <c r="BF38" s="14">
        <f t="shared" si="37"/>
        <v>37.898303193905868</v>
      </c>
      <c r="BG38" s="22">
        <f t="shared" si="7"/>
        <v>322.04862806271944</v>
      </c>
      <c r="BH38" s="60">
        <f t="shared" si="8"/>
        <v>615.3819613960527</v>
      </c>
      <c r="BI38" s="60">
        <f ca="1">AVERAGE(OFFSET($BH$3,0,0,'Données projet'!$E$11+1,1))-AVERAGE(OFFSET($H$3,0,0,'Données projet'!$E$11+1,1))</f>
        <v>276.19649531804959</v>
      </c>
      <c r="BJ38" s="60">
        <f t="shared" si="38"/>
        <v>253.14970964973463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181</v>
      </c>
      <c r="BW38" s="13">
        <f>VLOOKUP(A38,'Données projet'!$A$113:$I$133,9,0)</f>
        <v>8.6</v>
      </c>
      <c r="BX38" s="13">
        <f t="array" ref="BX38">INDEX(BW:BW,MIN(IF(ISNUMBER(BW38:BW234),ROW(BW38:BW234),"")))</f>
        <v>8.6</v>
      </c>
      <c r="BY38" s="13">
        <f>IF('Données projet'!$A$114&gt;35,BY37+BX38-CG37,IF(A38&lt;'Données projet'!$A$114,$BV$205^A38,IF(A38='Données projet'!$A$114,'Données projet'!$B$114,BY37+BX38-CG37)))</f>
        <v>181</v>
      </c>
      <c r="BZ38" s="14">
        <f>BY38*VLOOKUP('Données projet'!$B$12,Paramètres!$A$1:$I$89,3,0)*VLOOKUP('Données projet'!$B$12,Paramètres!$A$1:$I$89,5,0)</f>
        <v>118.5912</v>
      </c>
      <c r="CA38" s="14">
        <f t="shared" si="39"/>
        <v>31.346194334434067</v>
      </c>
      <c r="CB38" s="22">
        <f t="shared" si="10"/>
        <v>261.14096179913935</v>
      </c>
      <c r="CC38" s="60">
        <f t="shared" si="11"/>
        <v>554.47429513247266</v>
      </c>
      <c r="CD38" s="60">
        <f ca="1">AVERAGE(OFFSET($CC$3,0,0,'Données projet'!$E$12+1,1))-AVERAGE(OFFSET($H$3,0,0,'Données projet'!$E$12+1,1))</f>
        <v>154.88061446835457</v>
      </c>
      <c r="CE38" s="60">
        <f t="shared" si="40"/>
        <v>201.47826692201693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2.3765818144842785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2.3765818144842785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157</v>
      </c>
      <c r="CR38" s="13">
        <f>VLOOKUP(A38,'Données projet'!$A$139:$I$159,9,0)</f>
        <v>8.6</v>
      </c>
      <c r="CS38" s="13">
        <f t="array" ref="CS38">INDEX(CR:CR,MIN(IF(ISNUMBER(CR38:CR234),ROW(CR38:CR234),"")))</f>
        <v>8.6</v>
      </c>
      <c r="CT38" s="13">
        <f>IF('Données projet'!$A$140&gt;35,CT37+CS38-DB37,IF(A38&lt;'Données projet'!$A$140,$CQ$205^A38,IF(A38='Données projet'!$A$140,'Données projet'!$B$140,CT37+CS38-DB37)))</f>
        <v>156.99999999999997</v>
      </c>
      <c r="CU38" s="18">
        <f>CT38*VLOOKUP('Données projet'!$B$13,Paramètres!$A$1:$I$89,3,0)*VLOOKUP('Données projet'!$B$13,Paramètres!$A$1:$I$89,5,0)</f>
        <v>151.85039999999998</v>
      </c>
      <c r="CV38" s="14">
        <f t="shared" si="41"/>
        <v>38.998795130362446</v>
      </c>
      <c r="CW38" s="22">
        <f t="shared" si="13"/>
        <v>332.39568151871453</v>
      </c>
      <c r="CX38" s="60">
        <f t="shared" si="14"/>
        <v>625.72901485204784</v>
      </c>
      <c r="CY38" s="60">
        <f ca="1">AVERAGE(OFFSET($CX$3,0,0,'Données projet'!$E$13+1,1))-AVERAGE(OFFSET($H$3,0,0,'Données projet'!$E$13+1,1))</f>
        <v>293.44206058086951</v>
      </c>
      <c r="CZ38" s="60">
        <f t="shared" si="42"/>
        <v>182.15909509186827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44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157</v>
      </c>
      <c r="DM38" s="13">
        <f>VLOOKUP(A38,'Données projet'!$A$165:$I$185,9,0)</f>
        <v>8.6</v>
      </c>
      <c r="DN38" s="13">
        <f t="array" ref="DN38">INDEX(DM:DM,MIN(IF(ISNUMBER(DM38:DM234),ROW(DM38:DM234),"")))</f>
        <v>8.6</v>
      </c>
      <c r="DO38" s="13">
        <f>IF('Données projet'!$A$166&gt;35,DO37+DN38-DW37,IF(A38&lt;'Données projet'!$A$166,$DL$205^A38,IF(A38='Données projet'!$A$166,'Données projet'!$B$166,DO37+DN38-DW37)))</f>
        <v>156.99999999999997</v>
      </c>
      <c r="DP38" s="18">
        <f>DO38*VLOOKUP('Données projet'!$B$14,Paramètres!$A$1:$I$89,3,0)*VLOOKUP('Données projet'!$B$14,Paramètres!$A$1:$I$89,5,0)</f>
        <v>168.99479999999997</v>
      </c>
      <c r="DQ38" s="14">
        <f t="shared" si="43"/>
        <v>42.864814577758281</v>
      </c>
      <c r="DR38" s="22">
        <f t="shared" si="16"/>
        <v>368.98882872292893</v>
      </c>
      <c r="DS38" s="60">
        <f t="shared" si="17"/>
        <v>662.32216205626219</v>
      </c>
      <c r="DT38" s="60">
        <f ca="1">AVERAGE(OFFSET($DS$3,0,0,'Données projet'!$E$14+1,1))-AVERAGE(OFFSET($H$3,0,0,'Données projet'!$E$14+1,1))</f>
        <v>338.92444234934266</v>
      </c>
      <c r="DU38" s="60">
        <f t="shared" si="44"/>
        <v>208.91548891910895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44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139</v>
      </c>
      <c r="EH38" s="13">
        <f>VLOOKUP(A38,'Données projet'!$A$191:$I$211,9,0)</f>
        <v>6</v>
      </c>
      <c r="EI38" s="13">
        <f t="array" ref="EI38">INDEX(EH:EH,MIN(IF(ISNUMBER(EH38:EH234),ROW(EH38:EH234),"")))</f>
        <v>6</v>
      </c>
      <c r="EJ38" s="13">
        <f>IF('Données projet'!$A$192&gt;35,EJ37+EI38-ER37,IF(A38&lt;'Données projet'!$A$192,$EG$205^A38,IF(A38='Données projet'!$A$192,'Données projet'!$B$192,EJ37+EI38-ER37)))</f>
        <v>138.99999999999997</v>
      </c>
      <c r="EK38" s="18">
        <f>EJ38*VLOOKUP('Données projet'!$B$15,Paramètres!$A$1:$I$89,3,0)*VLOOKUP('Données projet'!$B$15,Paramètres!$A$1:$I$89,5,0)</f>
        <v>112.75679999999998</v>
      </c>
      <c r="EL38" s="14">
        <f t="shared" si="45"/>
        <v>29.979569481474449</v>
      </c>
      <c r="EM38" s="22">
        <f t="shared" si="19"/>
        <v>248.59917684690132</v>
      </c>
      <c r="EN38" s="60">
        <f t="shared" si="20"/>
        <v>541.93251018023466</v>
      </c>
      <c r="EO38" s="60">
        <f ca="1">AVERAGE(OFFSET($EN$3,0,0,'Données projet'!$E$15+1,1))-AVERAGE(OFFSET($H$3,0,0,'Données projet'!$E$15+1,1))</f>
        <v>346.10839312896536</v>
      </c>
      <c r="EP38" s="60">
        <f t="shared" si="46"/>
        <v>196.24927250256087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5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8">
        <f t="shared" si="1"/>
        <v>366.24951753790458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projet'!$B$9,Paramètres!$A$1:$I$89,3,0)*VLOOKUP('Données projet'!$B$9,Paramètres!$A$1:$I$89,5,0)</f>
        <v>117.80496000000005</v>
      </c>
      <c r="P39" s="14">
        <f t="shared" si="33"/>
        <v>31.162493487829593</v>
      </c>
      <c r="Q39" s="22">
        <f t="shared" si="53"/>
        <v>259.45164815796994</v>
      </c>
      <c r="R39" s="60">
        <f t="shared" si="0"/>
        <v>552.78498149130326</v>
      </c>
      <c r="S39" s="60">
        <f ca="1">AVERAGE(OFFSET($R$3,0,0,'Données projet'!$E$9+1,1))-AVERAGE(OFFSET($H$3,0,0,'Données projet'!$E$9+1,1))</f>
        <v>327.62615088747526</v>
      </c>
      <c r="T39" s="60">
        <f t="shared" si="34"/>
        <v>180.48047802041276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130.20000000000007</v>
      </c>
      <c r="AJ39" s="14">
        <f>AI39*VLOOKUP('Données projet'!$B$10,Paramètres!$A$1:$I$89,3,0)*VLOOKUP('Données projet'!$B$10,Paramètres!$A$1:$I$89,5,0)</f>
        <v>109.68048000000009</v>
      </c>
      <c r="AK39" s="14">
        <f t="shared" si="35"/>
        <v>29.255690427909659</v>
      </c>
      <c r="AL39" s="22">
        <f t="shared" si="4"/>
        <v>241.98049682860949</v>
      </c>
      <c r="AM39" s="60">
        <f t="shared" si="5"/>
        <v>535.31383016194286</v>
      </c>
      <c r="AN39" s="60">
        <f ca="1">AVERAGE(OFFSET($AM$3,0,0,'Données projet'!$E$10+1,1))-AVERAGE(OFFSET($H$3,0,0,'Données projet'!$E$10+1,1))</f>
        <v>295.5242128298583</v>
      </c>
      <c r="AO39" s="60">
        <f t="shared" si="36"/>
        <v>164.21740841327744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7.1794871794871824</v>
      </c>
      <c r="BD39" s="13">
        <f>IF('Données projet'!$A$88&gt;35,BD38+BC39-BL38,IF(A39&lt;'Données projet'!$A$88,$BA$205^A39,IF(A39='Données projet'!$A$88,'Données projet'!$B$88,BD38+BC39-BL38)))</f>
        <v>161.66666666666671</v>
      </c>
      <c r="BE39" s="14">
        <f>BD39*VLOOKUP('Données projet'!$B$11,Paramètres!$A$1:$I$89,3,0)*VLOOKUP('Données projet'!$B$11,Paramètres!$A$1:$I$89,5,0)</f>
        <v>153.84200000000004</v>
      </c>
      <c r="BF39" s="14">
        <f t="shared" si="37"/>
        <v>39.450404608549789</v>
      </c>
      <c r="BG39" s="22">
        <f t="shared" si="7"/>
        <v>336.65093802655764</v>
      </c>
      <c r="BH39" s="60">
        <f t="shared" si="8"/>
        <v>629.98427135989095</v>
      </c>
      <c r="BI39" s="60">
        <f ca="1">AVERAGE(OFFSET($BH$3,0,0,'Données projet'!$E$11+1,1))-AVERAGE(OFFSET($H$3,0,0,'Données projet'!$E$11+1,1))</f>
        <v>276.19649531804959</v>
      </c>
      <c r="BJ39" s="60">
        <f t="shared" si="38"/>
        <v>253.14970964973463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7.8</v>
      </c>
      <c r="BY39" s="13">
        <f>IF('Données projet'!$A$114&gt;35,BY38+BX39-CG38,IF(A39&lt;'Données projet'!$A$114,$BV$205^A39,IF(A39='Données projet'!$A$114,'Données projet'!$B$114,BY38+BX39-CG38)))</f>
        <v>188.8</v>
      </c>
      <c r="BZ39" s="14">
        <f>BY39*VLOOKUP('Données projet'!$B$12,Paramètres!$A$1:$I$89,3,0)*VLOOKUP('Données projet'!$B$12,Paramètres!$A$1:$I$89,5,0)</f>
        <v>123.70176000000001</v>
      </c>
      <c r="CA39" s="14">
        <f t="shared" si="39"/>
        <v>32.536841470486884</v>
      </c>
      <c r="CB39" s="22">
        <f t="shared" si="10"/>
        <v>272.11556422776465</v>
      </c>
      <c r="CC39" s="60">
        <f t="shared" si="11"/>
        <v>565.44889756109797</v>
      </c>
      <c r="CD39" s="60">
        <f ca="1">AVERAGE(OFFSET($CC$3,0,0,'Données projet'!$E$12+1,1))-AVERAGE(OFFSET($H$3,0,0,'Données projet'!$E$12+1,1))</f>
        <v>154.88061446835457</v>
      </c>
      <c r="CE39" s="60">
        <f t="shared" si="40"/>
        <v>201.47826692201693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2.3115940597882001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2.3115940597882001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8.8000000000000007</v>
      </c>
      <c r="CT39" s="13">
        <f>IF('Données projet'!$A$140&gt;35,CT38+CS39-DB38,IF(A39&lt;'Données projet'!$A$140,$CQ$205^A39,IF(A39='Données projet'!$A$140,'Données projet'!$B$140,CT38+CS39-DB38)))</f>
        <v>121.79999999999998</v>
      </c>
      <c r="CU39" s="18">
        <f>CT39*VLOOKUP('Données projet'!$B$13,Paramètres!$A$1:$I$89,3,0)*VLOOKUP('Données projet'!$B$13,Paramètres!$A$1:$I$89,5,0)</f>
        <v>117.80495999999999</v>
      </c>
      <c r="CV39" s="14">
        <f t="shared" si="41"/>
        <v>31.162493487829593</v>
      </c>
      <c r="CW39" s="22">
        <f t="shared" si="13"/>
        <v>259.45164815796983</v>
      </c>
      <c r="CX39" s="60">
        <f t="shared" si="14"/>
        <v>552.78498149130314</v>
      </c>
      <c r="CY39" s="60">
        <f ca="1">AVERAGE(OFFSET($CX$3,0,0,'Données projet'!$E$13+1,1))-AVERAGE(OFFSET($H$3,0,0,'Données projet'!$E$13+1,1))</f>
        <v>293.44206058086951</v>
      </c>
      <c r="CZ39" s="60">
        <f t="shared" si="42"/>
        <v>182.15909509186827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8.8000000000000007</v>
      </c>
      <c r="DO39" s="13">
        <f>IF('Données projet'!$A$166&gt;35,DO38+DN39-DW38,IF(A39&lt;'Données projet'!$A$166,$DL$205^A39,IF(A39='Données projet'!$A$166,'Données projet'!$B$166,DO38+DN39-DW38)))</f>
        <v>121.79999999999998</v>
      </c>
      <c r="DP39" s="18">
        <f>DO39*VLOOKUP('Données projet'!$B$14,Paramètres!$A$1:$I$89,3,0)*VLOOKUP('Données projet'!$B$14,Paramètres!$A$1:$I$89,5,0)</f>
        <v>131.10551999999998</v>
      </c>
      <c r="DQ39" s="14">
        <f t="shared" si="43"/>
        <v>34.251686511628904</v>
      </c>
      <c r="DR39" s="22">
        <f t="shared" si="16"/>
        <v>287.99713467442029</v>
      </c>
      <c r="DS39" s="60">
        <f t="shared" si="17"/>
        <v>581.33046800775355</v>
      </c>
      <c r="DT39" s="60">
        <f ca="1">AVERAGE(OFFSET($DS$3,0,0,'Données projet'!$E$14+1,1))-AVERAGE(OFFSET($H$3,0,0,'Données projet'!$E$14+1,1))</f>
        <v>338.92444234934266</v>
      </c>
      <c r="DU39" s="60">
        <f t="shared" si="44"/>
        <v>208.91548891910895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10.6</v>
      </c>
      <c r="EJ39" s="13">
        <f>IF('Données projet'!$A$192&gt;35,EJ38+EI39-ER38,IF(A39&lt;'Données projet'!$A$192,$EG$205^A39,IF(A39='Données projet'!$A$192,'Données projet'!$B$192,EJ38+EI39-ER38)))</f>
        <v>149.59999999999997</v>
      </c>
      <c r="EK39" s="18">
        <f>EJ39*VLOOKUP('Données projet'!$B$15,Paramètres!$A$1:$I$89,3,0)*VLOOKUP('Données projet'!$B$15,Paramètres!$A$1:$I$89,5,0)</f>
        <v>121.35551999999998</v>
      </c>
      <c r="EL39" s="14">
        <f t="shared" si="45"/>
        <v>31.990945095046595</v>
      </c>
      <c r="EM39" s="22">
        <f t="shared" si="19"/>
        <v>267.07842670720606</v>
      </c>
      <c r="EN39" s="60">
        <f t="shared" si="20"/>
        <v>560.41176004053932</v>
      </c>
      <c r="EO39" s="60">
        <f ca="1">AVERAGE(OFFSET($EN$3,0,0,'Données projet'!$E$15+1,1))-AVERAGE(OFFSET($H$3,0,0,'Données projet'!$E$15+1,1))</f>
        <v>346.10839312896536</v>
      </c>
      <c r="EP39" s="60">
        <f t="shared" si="46"/>
        <v>196.24927250256087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5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8">
        <f t="shared" si="1"/>
        <v>368.21879817981187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projet'!$B$9,Paramètres!$A$1:$I$89,3,0)*VLOOKUP('Données projet'!$B$9,Paramètres!$A$1:$I$89,5,0)</f>
        <v>127.93872000000005</v>
      </c>
      <c r="P40" s="14">
        <f t="shared" si="33"/>
        <v>33.519615889545641</v>
      </c>
      <c r="Q40" s="22">
        <f t="shared" si="53"/>
        <v>281.20660167429202</v>
      </c>
      <c r="R40" s="60">
        <f t="shared" si="0"/>
        <v>574.53993500762533</v>
      </c>
      <c r="S40" s="60">
        <f ca="1">AVERAGE(OFFSET($R$3,0,0,'Données projet'!$E$9+1,1))-AVERAGE(OFFSET($H$3,0,0,'Données projet'!$E$9+1,1))</f>
        <v>327.62615088747526</v>
      </c>
      <c r="T40" s="60">
        <f t="shared" si="34"/>
        <v>180.48047802041276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141.40000000000006</v>
      </c>
      <c r="AJ40" s="14">
        <f>AI40*VLOOKUP('Données projet'!$B$10,Paramètres!$A$1:$I$89,3,0)*VLOOKUP('Données projet'!$B$10,Paramètres!$A$1:$I$89,5,0)</f>
        <v>119.11536000000007</v>
      </c>
      <c r="AK40" s="14">
        <f t="shared" si="35"/>
        <v>31.468582772748093</v>
      </c>
      <c r="AL40" s="22">
        <f t="shared" si="4"/>
        <v>262.26703366253639</v>
      </c>
      <c r="AM40" s="60">
        <f t="shared" si="5"/>
        <v>555.60036699586976</v>
      </c>
      <c r="AN40" s="60">
        <f ca="1">AVERAGE(OFFSET($AM$3,0,0,'Données projet'!$E$10+1,1))-AVERAGE(OFFSET($H$3,0,0,'Données projet'!$E$10+1,1))</f>
        <v>295.5242128298583</v>
      </c>
      <c r="AO40" s="60">
        <f t="shared" si="36"/>
        <v>164.21740841327744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7.1794871794871824</v>
      </c>
      <c r="BD40" s="13">
        <f>IF('Données projet'!$A$88&gt;35,BD39+BC40-BL39,IF(A40&lt;'Données projet'!$A$88,$BA$205^A40,IF(A40='Données projet'!$A$88,'Données projet'!$B$88,BD39+BC40-BL39)))</f>
        <v>168.8461538461539</v>
      </c>
      <c r="BE40" s="14">
        <f>BD40*VLOOKUP('Données projet'!$B$11,Paramètres!$A$1:$I$89,3,0)*VLOOKUP('Données projet'!$B$11,Paramètres!$A$1:$I$89,5,0)</f>
        <v>160.67400000000004</v>
      </c>
      <c r="BF40" s="14">
        <f t="shared" si="37"/>
        <v>40.994500775354958</v>
      </c>
      <c r="BG40" s="22">
        <f t="shared" si="7"/>
        <v>351.23930551707662</v>
      </c>
      <c r="BH40" s="60">
        <f t="shared" si="8"/>
        <v>644.57263885040993</v>
      </c>
      <c r="BI40" s="60">
        <f ca="1">AVERAGE(OFFSET($BH$3,0,0,'Données projet'!$E$11+1,1))-AVERAGE(OFFSET($H$3,0,0,'Données projet'!$E$11+1,1))</f>
        <v>276.19649531804959</v>
      </c>
      <c r="BJ40" s="60">
        <f t="shared" si="38"/>
        <v>253.14970964973463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7.8</v>
      </c>
      <c r="BY40" s="13">
        <f>IF('Données projet'!$A$114&gt;35,BY39+BX40-CG39,IF(A40&lt;'Données projet'!$A$114,$BV$205^A40,IF(A40='Données projet'!$A$114,'Données projet'!$B$114,BY39+BX40-CG39)))</f>
        <v>196.60000000000002</v>
      </c>
      <c r="BZ40" s="14">
        <f>BY40*VLOOKUP('Données projet'!$B$12,Paramètres!$A$1:$I$89,3,0)*VLOOKUP('Données projet'!$B$12,Paramètres!$A$1:$I$89,5,0)</f>
        <v>128.81232</v>
      </c>
      <c r="CA40" s="14">
        <f t="shared" si="39"/>
        <v>33.721774934127183</v>
      </c>
      <c r="CB40" s="22">
        <f t="shared" si="10"/>
        <v>283.08021534360483</v>
      </c>
      <c r="CC40" s="60">
        <f t="shared" si="11"/>
        <v>576.41354867693815</v>
      </c>
      <c r="CD40" s="60">
        <f ca="1">AVERAGE(OFFSET($CC$3,0,0,'Données projet'!$E$12+1,1))-AVERAGE(OFFSET($H$3,0,0,'Données projet'!$E$12+1,1))</f>
        <v>154.88061446835457</v>
      </c>
      <c r="CE40" s="60">
        <f t="shared" si="40"/>
        <v>201.47826692201693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2.2483833986618436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2.2483833986618436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8.8000000000000007</v>
      </c>
      <c r="CT40" s="13">
        <f>IF('Données projet'!$A$140&gt;35,CT39+CS40-DB39,IF(A40&lt;'Données projet'!$A$140,$CQ$205^A40,IF(A40='Données projet'!$A$140,'Données projet'!$B$140,CT39+CS40-DB39)))</f>
        <v>130.6</v>
      </c>
      <c r="CU40" s="18">
        <f>CT40*VLOOKUP('Données projet'!$B$13,Paramètres!$A$1:$I$89,3,0)*VLOOKUP('Données projet'!$B$13,Paramètres!$A$1:$I$89,5,0)</f>
        <v>126.31631999999999</v>
      </c>
      <c r="CV40" s="14">
        <f t="shared" si="41"/>
        <v>33.143750266872139</v>
      </c>
      <c r="CW40" s="22">
        <f t="shared" si="13"/>
        <v>277.72628904813564</v>
      </c>
      <c r="CX40" s="60">
        <f t="shared" si="14"/>
        <v>571.0596223814689</v>
      </c>
      <c r="CY40" s="60">
        <f ca="1">AVERAGE(OFFSET($CX$3,0,0,'Données projet'!$E$13+1,1))-AVERAGE(OFFSET($H$3,0,0,'Données projet'!$E$13+1,1))</f>
        <v>293.44206058086951</v>
      </c>
      <c r="CZ40" s="60">
        <f t="shared" si="42"/>
        <v>182.15909509186827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8.8000000000000007</v>
      </c>
      <c r="DO40" s="13">
        <f>IF('Données projet'!$A$166&gt;35,DO39+DN40-DW39,IF(A40&lt;'Données projet'!$A$166,$DL$205^A40,IF(A40='Données projet'!$A$166,'Données projet'!$B$166,DO39+DN40-DW39)))</f>
        <v>130.6</v>
      </c>
      <c r="DP40" s="18">
        <f>DO40*VLOOKUP('Données projet'!$B$14,Paramètres!$A$1:$I$89,3,0)*VLOOKUP('Données projet'!$B$14,Paramètres!$A$1:$I$89,5,0)</f>
        <v>140.57783999999998</v>
      </c>
      <c r="DQ40" s="14">
        <f t="shared" si="43"/>
        <v>36.429348774801383</v>
      </c>
      <c r="DR40" s="22">
        <f t="shared" si="16"/>
        <v>308.28752044944571</v>
      </c>
      <c r="DS40" s="60">
        <f t="shared" si="17"/>
        <v>601.62085378277902</v>
      </c>
      <c r="DT40" s="60">
        <f ca="1">AVERAGE(OFFSET($DS$3,0,0,'Données projet'!$E$14+1,1))-AVERAGE(OFFSET($H$3,0,0,'Données projet'!$E$14+1,1))</f>
        <v>338.92444234934266</v>
      </c>
      <c r="DU40" s="60">
        <f t="shared" si="44"/>
        <v>208.91548891910895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10.6</v>
      </c>
      <c r="EJ40" s="13">
        <f>IF('Données projet'!$A$192&gt;35,EJ39+EI40-ER39,IF(A40&lt;'Données projet'!$A$192,$EG$205^A40,IF(A40='Données projet'!$A$192,'Données projet'!$B$192,EJ39+EI40-ER39)))</f>
        <v>160.19999999999996</v>
      </c>
      <c r="EK40" s="18">
        <f>EJ40*VLOOKUP('Données projet'!$B$15,Paramètres!$A$1:$I$89,3,0)*VLOOKUP('Données projet'!$B$15,Paramètres!$A$1:$I$89,5,0)</f>
        <v>129.95424</v>
      </c>
      <c r="EL40" s="14">
        <f t="shared" si="45"/>
        <v>33.985785323249111</v>
      </c>
      <c r="EM40" s="22">
        <f t="shared" si="19"/>
        <v>285.52887743799221</v>
      </c>
      <c r="EN40" s="60">
        <f t="shared" si="20"/>
        <v>578.86221077132552</v>
      </c>
      <c r="EO40" s="60">
        <f ca="1">AVERAGE(OFFSET($EN$3,0,0,'Données projet'!$E$15+1,1))-AVERAGE(OFFSET($H$3,0,0,'Données projet'!$E$15+1,1))</f>
        <v>346.10839312896536</v>
      </c>
      <c r="EP40" s="60">
        <f t="shared" si="46"/>
        <v>196.24927250256087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5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8">
        <f t="shared" si="1"/>
        <v>370.18675757542417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projet'!$B$9,Paramètres!$A$1:$I$89,3,0)*VLOOKUP('Données projet'!$B$9,Paramètres!$A$1:$I$89,5,0)</f>
        <v>138.07248000000004</v>
      </c>
      <c r="P41" s="14">
        <f t="shared" si="33"/>
        <v>35.85508207677799</v>
      </c>
      <c r="Q41" s="22">
        <f t="shared" si="53"/>
        <v>302.92383728372175</v>
      </c>
      <c r="R41" s="60">
        <f t="shared" si="0"/>
        <v>596.25717061705507</v>
      </c>
      <c r="S41" s="60">
        <f ca="1">AVERAGE(OFFSET($R$3,0,0,'Données projet'!$E$9+1,1))-AVERAGE(OFFSET($H$3,0,0,'Données projet'!$E$9+1,1))</f>
        <v>327.62615088747526</v>
      </c>
      <c r="T41" s="60">
        <f t="shared" si="34"/>
        <v>180.48047802041276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152.60000000000005</v>
      </c>
      <c r="AJ41" s="14">
        <f>AI41*VLOOKUP('Données projet'!$B$10,Paramètres!$A$1:$I$89,3,0)*VLOOKUP('Données projet'!$B$10,Paramètres!$A$1:$I$89,5,0)</f>
        <v>128.55024000000006</v>
      </c>
      <c r="AK41" s="14">
        <f t="shared" si="35"/>
        <v>33.661144026076698</v>
      </c>
      <c r="AL41" s="22">
        <f t="shared" si="4"/>
        <v>282.51816051208368</v>
      </c>
      <c r="AM41" s="60">
        <f t="shared" si="5"/>
        <v>575.85149384541705</v>
      </c>
      <c r="AN41" s="60">
        <f ca="1">AVERAGE(OFFSET($AM$3,0,0,'Données projet'!$E$10+1,1))-AVERAGE(OFFSET($H$3,0,0,'Données projet'!$E$10+1,1))</f>
        <v>295.5242128298583</v>
      </c>
      <c r="AO41" s="60">
        <f t="shared" si="36"/>
        <v>164.21740841327744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7.1794871794871824</v>
      </c>
      <c r="BD41" s="13">
        <f>IF('Données projet'!$A$88&gt;35,BD40+BC41-BL40,IF(A41&lt;'Données projet'!$A$88,$BA$205^A41,IF(A41='Données projet'!$A$88,'Données projet'!$B$88,BD40+BC41-BL40)))</f>
        <v>176.02564102564108</v>
      </c>
      <c r="BE41" s="14">
        <f>BD41*VLOOKUP('Données projet'!$B$11,Paramètres!$A$1:$I$89,3,0)*VLOOKUP('Données projet'!$B$11,Paramètres!$A$1:$I$89,5,0)</f>
        <v>167.50600000000006</v>
      </c>
      <c r="BF41" s="14">
        <f t="shared" si="37"/>
        <v>42.530971000275791</v>
      </c>
      <c r="BG41" s="22">
        <f t="shared" si="7"/>
        <v>365.81439115881381</v>
      </c>
      <c r="BH41" s="60">
        <f t="shared" si="8"/>
        <v>659.14772449214706</v>
      </c>
      <c r="BI41" s="60">
        <f ca="1">AVERAGE(OFFSET($BH$3,0,0,'Données projet'!$E$11+1,1))-AVERAGE(OFFSET($H$3,0,0,'Données projet'!$E$11+1,1))</f>
        <v>276.19649531804959</v>
      </c>
      <c r="BJ41" s="60">
        <f t="shared" si="38"/>
        <v>253.14970964973463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7.8</v>
      </c>
      <c r="BY41" s="13">
        <f>IF('Données projet'!$A$114&gt;35,BY40+BX41-CG40,IF(A41&lt;'Données projet'!$A$114,$BV$205^A41,IF(A41='Données projet'!$A$114,'Données projet'!$B$114,BY40+BX41-CG40)))</f>
        <v>204.40000000000003</v>
      </c>
      <c r="BZ41" s="14">
        <f>BY41*VLOOKUP('Données projet'!$B$12,Paramètres!$A$1:$I$89,3,0)*VLOOKUP('Données projet'!$B$12,Paramètres!$A$1:$I$89,5,0)</f>
        <v>133.92288000000002</v>
      </c>
      <c r="CA41" s="14">
        <f t="shared" si="39"/>
        <v>34.901247350186132</v>
      </c>
      <c r="CB41" s="22">
        <f t="shared" si="10"/>
        <v>294.03535513490755</v>
      </c>
      <c r="CC41" s="60">
        <f t="shared" si="11"/>
        <v>587.36868846824086</v>
      </c>
      <c r="CD41" s="60">
        <f ca="1">AVERAGE(OFFSET($CC$3,0,0,'Données projet'!$E$12+1,1))-AVERAGE(OFFSET($H$3,0,0,'Données projet'!$E$12+1,1))</f>
        <v>154.88061446835457</v>
      </c>
      <c r="CE41" s="60">
        <f t="shared" si="40"/>
        <v>201.47826692201693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2.1869012363880911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2.1869012363880911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8.8000000000000007</v>
      </c>
      <c r="CT41" s="13">
        <f>IF('Données projet'!$A$140&gt;35,CT40+CS41-DB40,IF(A41&lt;'Données projet'!$A$140,$CQ$205^A41,IF(A41='Données projet'!$A$140,'Données projet'!$B$140,CT40+CS41-DB40)))</f>
        <v>139.4</v>
      </c>
      <c r="CU41" s="18">
        <f>CT41*VLOOKUP('Données projet'!$B$13,Paramètres!$A$1:$I$89,3,0)*VLOOKUP('Données projet'!$B$13,Paramètres!$A$1:$I$89,5,0)</f>
        <v>134.82767999999999</v>
      </c>
      <c r="CV41" s="14">
        <f t="shared" si="41"/>
        <v>35.109516092536481</v>
      </c>
      <c r="CW41" s="22">
        <f t="shared" si="13"/>
        <v>295.97394986116763</v>
      </c>
      <c r="CX41" s="60">
        <f t="shared" si="14"/>
        <v>589.307283194501</v>
      </c>
      <c r="CY41" s="60">
        <f ca="1">AVERAGE(OFFSET($CX$3,0,0,'Données projet'!$E$13+1,1))-AVERAGE(OFFSET($H$3,0,0,'Données projet'!$E$13+1,1))</f>
        <v>293.44206058086951</v>
      </c>
      <c r="CZ41" s="60">
        <f t="shared" si="42"/>
        <v>182.15909509186827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8.8000000000000007</v>
      </c>
      <c r="DO41" s="13">
        <f>IF('Données projet'!$A$166&gt;35,DO40+DN41-DW40,IF(A41&lt;'Données projet'!$A$166,$DL$205^A41,IF(A41='Données projet'!$A$166,'Données projet'!$B$166,DO40+DN41-DW40)))</f>
        <v>139.4</v>
      </c>
      <c r="DP41" s="18">
        <f>DO41*VLOOKUP('Données projet'!$B$14,Paramètres!$A$1:$I$89,3,0)*VLOOKUP('Données projet'!$B$14,Paramètres!$A$1:$I$89,5,0)</f>
        <v>150.05016000000001</v>
      </c>
      <c r="DQ41" s="14">
        <f t="shared" si="43"/>
        <v>38.589984439024605</v>
      </c>
      <c r="DR41" s="22">
        <f t="shared" si="16"/>
        <v>328.54825156463448</v>
      </c>
      <c r="DS41" s="60">
        <f t="shared" si="17"/>
        <v>621.88158489796774</v>
      </c>
      <c r="DT41" s="60">
        <f ca="1">AVERAGE(OFFSET($DS$3,0,0,'Données projet'!$E$14+1,1))-AVERAGE(OFFSET($H$3,0,0,'Données projet'!$E$14+1,1))</f>
        <v>338.92444234934266</v>
      </c>
      <c r="DU41" s="60">
        <f t="shared" si="44"/>
        <v>208.91548891910895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10.6</v>
      </c>
      <c r="EJ41" s="13">
        <f>IF('Données projet'!$A$192&gt;35,EJ40+EI41-ER40,IF(A41&lt;'Données projet'!$A$192,$EG$205^A41,IF(A41='Données projet'!$A$192,'Données projet'!$B$192,EJ40+EI41-ER40)))</f>
        <v>170.79999999999995</v>
      </c>
      <c r="EK41" s="18">
        <f>EJ41*VLOOKUP('Données projet'!$B$15,Paramètres!$A$1:$I$89,3,0)*VLOOKUP('Données projet'!$B$15,Paramètres!$A$1:$I$89,5,0)</f>
        <v>138.55295999999996</v>
      </c>
      <c r="EL41" s="14">
        <f t="shared" si="45"/>
        <v>35.965308766301796</v>
      </c>
      <c r="EM41" s="22">
        <f t="shared" si="19"/>
        <v>303.95265143464218</v>
      </c>
      <c r="EN41" s="60">
        <f t="shared" si="20"/>
        <v>597.28598476797549</v>
      </c>
      <c r="EO41" s="60">
        <f ca="1">AVERAGE(OFFSET($EN$3,0,0,'Données projet'!$E$15+1,1))-AVERAGE(OFFSET($H$3,0,0,'Données projet'!$E$15+1,1))</f>
        <v>346.10839312896536</v>
      </c>
      <c r="EP41" s="60">
        <f t="shared" si="46"/>
        <v>196.24927250256087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5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8">
        <f t="shared" si="1"/>
        <v>372.15343449123395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projet'!$B$9,Paramètres!$A$1:$I$89,3,0)*VLOOKUP('Données projet'!$B$9,Paramètres!$A$1:$I$89,5,0)</f>
        <v>148.20624000000004</v>
      </c>
      <c r="P42" s="14">
        <f t="shared" si="33"/>
        <v>38.170662245893794</v>
      </c>
      <c r="Q42" s="22">
        <f t="shared" si="53"/>
        <v>324.60643807826506</v>
      </c>
      <c r="R42" s="60">
        <f t="shared" si="0"/>
        <v>617.93977141159837</v>
      </c>
      <c r="S42" s="60">
        <f ca="1">AVERAGE(OFFSET($R$3,0,0,'Données projet'!$E$9+1,1))-AVERAGE(OFFSET($H$3,0,0,'Données projet'!$E$9+1,1))</f>
        <v>327.62615088747526</v>
      </c>
      <c r="T42" s="60">
        <f t="shared" si="34"/>
        <v>180.48047802041276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163.80000000000004</v>
      </c>
      <c r="AJ42" s="14">
        <f>AI42*VLOOKUP('Données projet'!$B$10,Paramètres!$A$1:$I$89,3,0)*VLOOKUP('Données projet'!$B$10,Paramètres!$A$1:$I$89,5,0)</f>
        <v>137.98512000000005</v>
      </c>
      <c r="AK42" s="14">
        <f t="shared" si="35"/>
        <v>35.835036067646342</v>
      </c>
      <c r="AL42" s="22">
        <f t="shared" si="4"/>
        <v>302.73677181781744</v>
      </c>
      <c r="AM42" s="60">
        <f t="shared" si="5"/>
        <v>596.07010515115076</v>
      </c>
      <c r="AN42" s="60">
        <f ca="1">AVERAGE(OFFSET($AM$3,0,0,'Données projet'!$E$10+1,1))-AVERAGE(OFFSET($H$3,0,0,'Données projet'!$E$10+1,1))</f>
        <v>295.5242128298583</v>
      </c>
      <c r="AO42" s="60">
        <f t="shared" si="36"/>
        <v>164.21740841327744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7.1794871794871824</v>
      </c>
      <c r="BD42" s="13">
        <f>IF('Données projet'!$A$88&gt;35,BD41+BC42-BL41,IF(A42&lt;'Données projet'!$A$88,$BA$205^A42,IF(A42='Données projet'!$A$88,'Données projet'!$B$88,BD41+BC42-BL41)))</f>
        <v>183.20512820512826</v>
      </c>
      <c r="BE42" s="14">
        <f>BD42*VLOOKUP('Données projet'!$B$11,Paramètres!$A$1:$I$89,3,0)*VLOOKUP('Données projet'!$B$11,Paramètres!$A$1:$I$89,5,0)</f>
        <v>174.33800000000005</v>
      </c>
      <c r="BF42" s="14">
        <f t="shared" si="37"/>
        <v>44.060161897107399</v>
      </c>
      <c r="BG42" s="22">
        <f t="shared" si="7"/>
        <v>380.37679863746217</v>
      </c>
      <c r="BH42" s="60">
        <f t="shared" si="8"/>
        <v>673.71013197079549</v>
      </c>
      <c r="BI42" s="60">
        <f ca="1">AVERAGE(OFFSET($BH$3,0,0,'Données projet'!$E$11+1,1))-AVERAGE(OFFSET($H$3,0,0,'Données projet'!$E$11+1,1))</f>
        <v>276.19649531804959</v>
      </c>
      <c r="BJ42" s="60">
        <f t="shared" si="38"/>
        <v>253.14970964973463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7.8</v>
      </c>
      <c r="BY42" s="13">
        <f>IF('Données projet'!$A$114&gt;35,BY41+BX42-CG41,IF(A42&lt;'Données projet'!$A$114,$BV$205^A42,IF(A42='Données projet'!$A$114,'Données projet'!$B$114,BY41+BX42-CG41)))</f>
        <v>212.20000000000005</v>
      </c>
      <c r="BZ42" s="14">
        <f>BY42*VLOOKUP('Données projet'!$B$12,Paramètres!$A$1:$I$89,3,0)*VLOOKUP('Données projet'!$B$12,Paramètres!$A$1:$I$89,5,0)</f>
        <v>139.03344000000001</v>
      </c>
      <c r="CA42" s="14">
        <f t="shared" si="39"/>
        <v>36.075490970935512</v>
      </c>
      <c r="CB42" s="22">
        <f t="shared" si="10"/>
        <v>304.98138810771269</v>
      </c>
      <c r="CC42" s="60">
        <f t="shared" si="11"/>
        <v>598.314721441046</v>
      </c>
      <c r="CD42" s="60">
        <f ca="1">AVERAGE(OFFSET($CC$3,0,0,'Données projet'!$E$12+1,1))-AVERAGE(OFFSET($H$3,0,0,'Données projet'!$E$12+1,1))</f>
        <v>154.88061446835457</v>
      </c>
      <c r="CE42" s="60">
        <f t="shared" si="40"/>
        <v>201.47826692201693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2.127100307074921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2.127100307074921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8.8000000000000007</v>
      </c>
      <c r="CT42" s="13">
        <f>IF('Données projet'!$A$140&gt;35,CT41+CS42-DB41,IF(A42&lt;'Données projet'!$A$140,$CQ$205^A42,IF(A42='Données projet'!$A$140,'Données projet'!$B$140,CT41+CS42-DB41)))</f>
        <v>148.20000000000002</v>
      </c>
      <c r="CU42" s="18">
        <f>CT42*VLOOKUP('Données projet'!$B$13,Paramètres!$A$1:$I$89,3,0)*VLOOKUP('Données projet'!$B$13,Paramètres!$A$1:$I$89,5,0)</f>
        <v>143.33904000000004</v>
      </c>
      <c r="CV42" s="14">
        <f t="shared" si="41"/>
        <v>37.060880192160809</v>
      </c>
      <c r="CW42" s="22">
        <f t="shared" si="13"/>
        <v>314.19652766801346</v>
      </c>
      <c r="CX42" s="60">
        <f t="shared" si="14"/>
        <v>607.52986100134672</v>
      </c>
      <c r="CY42" s="60">
        <f ca="1">AVERAGE(OFFSET($CX$3,0,0,'Données projet'!$E$13+1,1))-AVERAGE(OFFSET($H$3,0,0,'Données projet'!$E$13+1,1))</f>
        <v>293.44206058086951</v>
      </c>
      <c r="CZ42" s="60">
        <f t="shared" si="42"/>
        <v>182.15909509186827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8.8000000000000007</v>
      </c>
      <c r="DO42" s="13">
        <f>IF('Données projet'!$A$166&gt;35,DO41+DN42-DW41,IF(A42&lt;'Données projet'!$A$166,$DL$205^A42,IF(A42='Données projet'!$A$166,'Données projet'!$B$166,DO41+DN42-DW41)))</f>
        <v>148.20000000000002</v>
      </c>
      <c r="DP42" s="18">
        <f>DO42*VLOOKUP('Données projet'!$B$14,Paramètres!$A$1:$I$89,3,0)*VLOOKUP('Données projet'!$B$14,Paramètres!$A$1:$I$89,5,0)</f>
        <v>159.52248000000003</v>
      </c>
      <c r="DQ42" s="14">
        <f t="shared" si="43"/>
        <v>40.73479070866675</v>
      </c>
      <c r="DR42" s="22">
        <f t="shared" si="16"/>
        <v>348.78141315092802</v>
      </c>
      <c r="DS42" s="60">
        <f t="shared" si="17"/>
        <v>642.11474648426133</v>
      </c>
      <c r="DT42" s="60">
        <f ca="1">AVERAGE(OFFSET($DS$3,0,0,'Données projet'!$E$14+1,1))-AVERAGE(OFFSET($H$3,0,0,'Données projet'!$E$14+1,1))</f>
        <v>338.92444234934266</v>
      </c>
      <c r="DU42" s="60">
        <f t="shared" si="44"/>
        <v>208.91548891910895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10.6</v>
      </c>
      <c r="EJ42" s="13">
        <f>IF('Données projet'!$A$192&gt;35,EJ41+EI42-ER41,IF(A42&lt;'Données projet'!$A$192,$EG$205^A42,IF(A42='Données projet'!$A$192,'Données projet'!$B$192,EJ41+EI42-ER41)))</f>
        <v>181.39999999999995</v>
      </c>
      <c r="EK42" s="18">
        <f>EJ42*VLOOKUP('Données projet'!$B$15,Paramètres!$A$1:$I$89,3,0)*VLOOKUP('Données projet'!$B$15,Paramètres!$A$1:$I$89,5,0)</f>
        <v>147.15167999999997</v>
      </c>
      <c r="EL42" s="14">
        <f t="shared" si="45"/>
        <v>37.930574221315474</v>
      </c>
      <c r="EM42" s="22">
        <f t="shared" si="19"/>
        <v>322.35159276879108</v>
      </c>
      <c r="EN42" s="60">
        <f t="shared" si="20"/>
        <v>615.68492610212434</v>
      </c>
      <c r="EO42" s="60">
        <f ca="1">AVERAGE(OFFSET($EN$3,0,0,'Données projet'!$E$15+1,1))-AVERAGE(OFFSET($H$3,0,0,'Données projet'!$E$15+1,1))</f>
        <v>346.10839312896536</v>
      </c>
      <c r="EP42" s="60">
        <f t="shared" si="46"/>
        <v>196.24927250256087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5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8">
        <f t="shared" si="1"/>
        <v>374.11886559244715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projet'!$B$9,Paramètres!$A$1:$I$89,3,0)*VLOOKUP('Données projet'!$B$9,Paramètres!$A$1:$I$89,5,0)</f>
        <v>158.34000000000003</v>
      </c>
      <c r="P43" s="14">
        <f t="shared" si="33"/>
        <v>40.467870812652819</v>
      </c>
      <c r="Q43" s="22">
        <f t="shared" si="53"/>
        <v>346.25704166537042</v>
      </c>
      <c r="R43" s="60">
        <f t="shared" si="0"/>
        <v>639.59037499870374</v>
      </c>
      <c r="S43" s="60">
        <f ca="1">AVERAGE(OFFSET($R$3,0,0,'Données projet'!$E$9+1,1))-AVERAGE(OFFSET($H$3,0,0,'Données projet'!$E$9+1,1))</f>
        <v>327.62615088747526</v>
      </c>
      <c r="T43" s="60">
        <f t="shared" si="34"/>
        <v>180.48047802041276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175.00000000000003</v>
      </c>
      <c r="AJ43" s="14">
        <f>AI43*VLOOKUP('Données projet'!$B$10,Paramètres!$A$1:$I$89,3,0)*VLOOKUP('Données projet'!$B$10,Paramètres!$A$1:$I$89,5,0)</f>
        <v>147.42000000000004</v>
      </c>
      <c r="AK43" s="14">
        <f t="shared" si="35"/>
        <v>37.991680647570327</v>
      </c>
      <c r="AL43" s="22">
        <f t="shared" si="4"/>
        <v>322.92534379451837</v>
      </c>
      <c r="AM43" s="60">
        <f t="shared" si="5"/>
        <v>616.25867712785168</v>
      </c>
      <c r="AN43" s="60">
        <f ca="1">AVERAGE(OFFSET($AM$3,0,0,'Données projet'!$E$10+1,1))-AVERAGE(OFFSET($H$3,0,0,'Données projet'!$E$10+1,1))</f>
        <v>295.5242128298583</v>
      </c>
      <c r="AO43" s="60">
        <f t="shared" si="36"/>
        <v>164.21740841327744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190.38461538461539</v>
      </c>
      <c r="BB43" s="13">
        <f>VLOOKUP(A43,'Données projet'!$A$87:$I$107,9,0)</f>
        <v>7.1794871794871824</v>
      </c>
      <c r="BC43" s="13">
        <f t="array" ref="BC43">INDEX(BB:BB,MIN(IF(ISNUMBER(BB43:BB239),ROW(BB43:BB239),"")))</f>
        <v>7.1794871794871824</v>
      </c>
      <c r="BD43" s="13">
        <f>IF('Données projet'!$A$88&gt;35,BD42+BC43-BL42,IF(A43&lt;'Données projet'!$A$88,$BA$205^A43,IF(A43='Données projet'!$A$88,'Données projet'!$B$88,BD42+BC43-BL42)))</f>
        <v>190.38461538461544</v>
      </c>
      <c r="BE43" s="14">
        <f>BD43*VLOOKUP('Données projet'!$B$11,Paramètres!$A$1:$I$89,3,0)*VLOOKUP('Données projet'!$B$11,Paramètres!$A$1:$I$89,5,0)</f>
        <v>181.17000000000004</v>
      </c>
      <c r="BF43" s="14">
        <f t="shared" si="37"/>
        <v>45.58239137517684</v>
      </c>
      <c r="BG43" s="22">
        <f t="shared" si="7"/>
        <v>394.92708164509969</v>
      </c>
      <c r="BH43" s="60">
        <f t="shared" si="8"/>
        <v>688.260414978433</v>
      </c>
      <c r="BI43" s="60">
        <f ca="1">AVERAGE(OFFSET($BH$3,0,0,'Données projet'!$E$11+1,1))-AVERAGE(OFFSET($H$3,0,0,'Données projet'!$E$11+1,1))</f>
        <v>276.19649531804959</v>
      </c>
      <c r="BJ43" s="60">
        <f t="shared" si="38"/>
        <v>253.14970964973463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37.179487179487175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220</v>
      </c>
      <c r="BW43" s="13">
        <f>VLOOKUP(A43,'Données projet'!$A$113:$I$133,9,0)</f>
        <v>7.8</v>
      </c>
      <c r="BX43" s="13">
        <f t="array" ref="BX43">INDEX(BW:BW,MIN(IF(ISNUMBER(BW43:BW239),ROW(BW43:BW239),"")))</f>
        <v>7.8</v>
      </c>
      <c r="BY43" s="13">
        <f>IF('Données projet'!$A$114&gt;35,BY42+BX43-CG42,IF(A43&lt;'Données projet'!$A$114,$BV$205^A43,IF(A43='Données projet'!$A$114,'Données projet'!$B$114,BY42+BX43-CG42)))</f>
        <v>220.00000000000006</v>
      </c>
      <c r="BZ43" s="14">
        <f>BY43*VLOOKUP('Données projet'!$B$12,Paramètres!$A$1:$I$89,3,0)*VLOOKUP('Données projet'!$B$12,Paramètres!$A$1:$I$89,5,0)</f>
        <v>144.14400000000003</v>
      </c>
      <c r="CA43" s="14">
        <f t="shared" si="39"/>
        <v>37.244720006976252</v>
      </c>
      <c r="CB43" s="22">
        <f t="shared" si="10"/>
        <v>315.9186873454837</v>
      </c>
      <c r="CC43" s="60">
        <f t="shared" si="11"/>
        <v>609.25202067881696</v>
      </c>
      <c r="CD43" s="60">
        <f ca="1">AVERAGE(OFFSET($CC$3,0,0,'Données projet'!$E$12+1,1))-AVERAGE(OFFSET($H$3,0,0,'Données projet'!$E$12+1,1))</f>
        <v>154.88061446835457</v>
      </c>
      <c r="CE43" s="60">
        <f t="shared" si="40"/>
        <v>201.47826692201693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50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2.0689346373186139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2.0689346373186139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157</v>
      </c>
      <c r="CR43" s="13">
        <f>VLOOKUP(A43,'Données projet'!$A$139:$I$159,9,0)</f>
        <v>8.8000000000000007</v>
      </c>
      <c r="CS43" s="13">
        <f t="array" ref="CS43">INDEX(CR:CR,MIN(IF(ISNUMBER(CR43:CR239),ROW(CR43:CR239),"")))</f>
        <v>8.8000000000000007</v>
      </c>
      <c r="CT43" s="13">
        <f>IF('Données projet'!$A$140&gt;35,CT42+CS43-DB42,IF(A43&lt;'Données projet'!$A$140,$CQ$205^A43,IF(A43='Données projet'!$A$140,'Données projet'!$B$140,CT42+CS43-DB42)))</f>
        <v>157.00000000000003</v>
      </c>
      <c r="CU43" s="18">
        <f>CT43*VLOOKUP('Données projet'!$B$13,Paramètres!$A$1:$I$89,3,0)*VLOOKUP('Données projet'!$B$13,Paramètres!$A$1:$I$89,5,0)</f>
        <v>151.85040000000004</v>
      </c>
      <c r="CV43" s="14">
        <f t="shared" si="41"/>
        <v>38.998795130362446</v>
      </c>
      <c r="CW43" s="22">
        <f t="shared" si="13"/>
        <v>332.39568151871464</v>
      </c>
      <c r="CX43" s="60">
        <f t="shared" si="14"/>
        <v>625.72901485204795</v>
      </c>
      <c r="CY43" s="60">
        <f ca="1">AVERAGE(OFFSET($CX$3,0,0,'Données projet'!$E$13+1,1))-AVERAGE(OFFSET($H$3,0,0,'Données projet'!$E$13+1,1))</f>
        <v>293.44206058086951</v>
      </c>
      <c r="CZ43" s="60">
        <f t="shared" si="42"/>
        <v>182.15909509186827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157</v>
      </c>
      <c r="DM43" s="13">
        <f>VLOOKUP(A43,'Données projet'!$A$165:$I$185,9,0)</f>
        <v>8.8000000000000007</v>
      </c>
      <c r="DN43" s="13">
        <f t="array" ref="DN43">INDEX(DM:DM,MIN(IF(ISNUMBER(DM43:DM239),ROW(DM43:DM239),"")))</f>
        <v>8.8000000000000007</v>
      </c>
      <c r="DO43" s="13">
        <f>IF('Données projet'!$A$166&gt;35,DO42+DN43-DW42,IF(A43&lt;'Données projet'!$A$166,$DL$205^A43,IF(A43='Données projet'!$A$166,'Données projet'!$B$166,DO42+DN43-DW42)))</f>
        <v>157.00000000000003</v>
      </c>
      <c r="DP43" s="18">
        <f>DO43*VLOOKUP('Données projet'!$B$14,Paramètres!$A$1:$I$89,3,0)*VLOOKUP('Données projet'!$B$14,Paramètres!$A$1:$I$89,5,0)</f>
        <v>168.99480000000003</v>
      </c>
      <c r="DQ43" s="14">
        <f t="shared" si="43"/>
        <v>42.864814577758281</v>
      </c>
      <c r="DR43" s="22">
        <f t="shared" si="16"/>
        <v>368.98882872292899</v>
      </c>
      <c r="DS43" s="60">
        <f t="shared" si="17"/>
        <v>662.3221620562623</v>
      </c>
      <c r="DT43" s="60">
        <f ca="1">AVERAGE(OFFSET($DS$3,0,0,'Données projet'!$E$14+1,1))-AVERAGE(OFFSET($H$3,0,0,'Données projet'!$E$14+1,1))</f>
        <v>338.92444234934266</v>
      </c>
      <c r="DU43" s="60">
        <f t="shared" si="44"/>
        <v>208.91548891910895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192</v>
      </c>
      <c r="EH43" s="13">
        <f>VLOOKUP(A43,'Données projet'!$A$191:$I$211,9,0)</f>
        <v>10.6</v>
      </c>
      <c r="EI43" s="13">
        <f t="array" ref="EI43">INDEX(EH:EH,MIN(IF(ISNUMBER(EH43:EH239),ROW(EH43:EH239),"")))</f>
        <v>10.6</v>
      </c>
      <c r="EJ43" s="13">
        <f>IF('Données projet'!$A$192&gt;35,EJ42+EI43-ER42,IF(A43&lt;'Données projet'!$A$192,$EG$205^A43,IF(A43='Données projet'!$A$192,'Données projet'!$B$192,EJ42+EI43-ER42)))</f>
        <v>191.99999999999994</v>
      </c>
      <c r="EK43" s="18">
        <f>EJ43*VLOOKUP('Données projet'!$B$15,Paramètres!$A$1:$I$89,3,0)*VLOOKUP('Données projet'!$B$15,Paramètres!$A$1:$I$89,5,0)</f>
        <v>155.75039999999996</v>
      </c>
      <c r="EL43" s="14">
        <f t="shared" si="45"/>
        <v>39.882509755133754</v>
      </c>
      <c r="EM43" s="22">
        <f t="shared" si="19"/>
        <v>340.72731782352452</v>
      </c>
      <c r="EN43" s="60">
        <f t="shared" si="20"/>
        <v>634.06065115685783</v>
      </c>
      <c r="EO43" s="60">
        <f ca="1">AVERAGE(OFFSET($EN$3,0,0,'Données projet'!$E$15+1,1))-AVERAGE(OFFSET($H$3,0,0,'Données projet'!$E$15+1,1))</f>
        <v>346.10839312896536</v>
      </c>
      <c r="EP43" s="60">
        <f t="shared" si="46"/>
        <v>196.24927250256087</v>
      </c>
      <c r="EQ43" s="16">
        <f>IF(ISNA(VLOOKUP(A43,'Données projet'!$A$191:$I$211,3,0)),0,VLOOKUP(A43,'Données projet'!$A$191:$I$211,3,0))</f>
        <v>2</v>
      </c>
      <c r="ER43" s="16">
        <f>IF(ISNA(VLOOKUP(A43,'Données projet'!$A$191:$I$211,4,0)),0,VLOOKUP(A43,'Données projet'!$A$191:$I$211,4,0))</f>
        <v>56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5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8">
        <f t="shared" si="1"/>
        <v>376.08308560652495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168.65472000000003</v>
      </c>
      <c r="P44" s="14">
        <f t="shared" si="33"/>
        <v>42.78858644059585</v>
      </c>
      <c r="Q44" s="22">
        <f t="shared" si="53"/>
        <v>368.2637587173711</v>
      </c>
      <c r="R44" s="60">
        <f t="shared" si="0"/>
        <v>661.59709205070442</v>
      </c>
      <c r="S44" s="60">
        <f ca="1">AVERAGE(OFFSET($R$3,0,0,'Données projet'!$E$9+1,1))-AVERAGE(OFFSET($H$3,0,0,'Données projet'!$E$9+1,1))</f>
        <v>327.62615088747526</v>
      </c>
      <c r="T44" s="60">
        <f t="shared" si="34"/>
        <v>180.48047802041276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186.40000000000003</v>
      </c>
      <c r="AJ44" s="14">
        <f>AI44*VLOOKUP('Données projet'!$B$10,Paramètres!$A$1:$I$89,3,0)*VLOOKUP('Données projet'!$B$10,Paramètres!$A$1:$I$89,5,0)</f>
        <v>157.02336000000003</v>
      </c>
      <c r="AK44" s="14">
        <f t="shared" si="35"/>
        <v>40.170393914171662</v>
      </c>
      <c r="AL44" s="22">
        <f t="shared" si="4"/>
        <v>343.44578806718232</v>
      </c>
      <c r="AM44" s="60">
        <f t="shared" si="5"/>
        <v>636.77912140051558</v>
      </c>
      <c r="AN44" s="60">
        <f ca="1">AVERAGE(OFFSET($AM$3,0,0,'Données projet'!$E$10+1,1))-AVERAGE(OFFSET($H$3,0,0,'Données projet'!$E$10+1,1))</f>
        <v>295.5242128298583</v>
      </c>
      <c r="AO44" s="60">
        <f t="shared" si="36"/>
        <v>164.21740841327744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6.6666666666666625</v>
      </c>
      <c r="BD44" s="13">
        <f>IF('Données projet'!$A$88&gt;35,BD43+BC44-BL43,IF(A44&lt;'Données projet'!$A$88,$BA$205^A44,IF(A44='Données projet'!$A$88,'Données projet'!$B$88,BD43+BC44-BL43)))</f>
        <v>159.87179487179492</v>
      </c>
      <c r="BE44" s="14">
        <f>BD44*VLOOKUP('Données projet'!$B$11,Paramètres!$A$1:$I$89,3,0)*VLOOKUP('Données projet'!$B$11,Paramètres!$A$1:$I$89,5,0)</f>
        <v>152.13400000000004</v>
      </c>
      <c r="BF44" s="14">
        <f t="shared" si="37"/>
        <v>39.063145346110069</v>
      </c>
      <c r="BG44" s="22">
        <f t="shared" si="7"/>
        <v>333.00169481114176</v>
      </c>
      <c r="BH44" s="60">
        <f t="shared" si="8"/>
        <v>626.33502814447502</v>
      </c>
      <c r="BI44" s="60">
        <f ca="1">AVERAGE(OFFSET($BH$3,0,0,'Données projet'!$E$11+1,1))-AVERAGE(OFFSET($H$3,0,0,'Données projet'!$E$11+1,1))</f>
        <v>276.19649531804959</v>
      </c>
      <c r="BJ44" s="60">
        <f t="shared" si="38"/>
        <v>253.14970964973463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7.4</v>
      </c>
      <c r="BY44" s="13">
        <f>IF('Données projet'!$A$114&gt;35,BY43+BX44-CG43,IF(A44&lt;'Données projet'!$A$114,$BV$205^A44,IF(A44='Données projet'!$A$114,'Données projet'!$B$114,BY43+BX44-CG43)))</f>
        <v>177.40000000000006</v>
      </c>
      <c r="BZ44" s="14">
        <f>BY44*VLOOKUP('Données projet'!$B$12,Paramètres!$A$1:$I$89,3,0)*VLOOKUP('Données projet'!$B$12,Paramètres!$A$1:$I$89,5,0)</f>
        <v>116.23248000000004</v>
      </c>
      <c r="CA44" s="14">
        <f t="shared" si="39"/>
        <v>30.794662422308217</v>
      </c>
      <c r="CB44" s="22">
        <f t="shared" si="10"/>
        <v>256.07227305218686</v>
      </c>
      <c r="CC44" s="60">
        <f t="shared" si="11"/>
        <v>549.40560638552017</v>
      </c>
      <c r="CD44" s="60">
        <f ca="1">AVERAGE(OFFSET($CC$3,0,0,'Données projet'!$E$12+1,1))-AVERAGE(OFFSET($H$3,0,0,'Données projet'!$E$12+1,1))</f>
        <v>154.88061446835457</v>
      </c>
      <c r="CE44" s="60">
        <f t="shared" si="40"/>
        <v>201.47826692201693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2.0123595108605925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2.0123595108605925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8.8000000000000007</v>
      </c>
      <c r="CT44" s="13">
        <f>IF('Données projet'!$A$140&gt;35,CT43+CS44-DB43,IF(A44&lt;'Données projet'!$A$140,$CQ$205^A44,IF(A44='Données projet'!$A$140,'Données projet'!$B$140,CT43+CS44-DB43)))</f>
        <v>165.80000000000004</v>
      </c>
      <c r="CU44" s="18">
        <f>CT44*VLOOKUP('Données projet'!$B$13,Paramètres!$A$1:$I$89,3,0)*VLOOKUP('Données projet'!$B$13,Paramètres!$A$1:$I$89,5,0)</f>
        <v>160.36176000000003</v>
      </c>
      <c r="CV44" s="14">
        <f t="shared" si="41"/>
        <v>40.924100656281027</v>
      </c>
      <c r="CW44" s="22">
        <f t="shared" si="13"/>
        <v>350.57287397635611</v>
      </c>
      <c r="CX44" s="60">
        <f t="shared" si="14"/>
        <v>643.90620730968942</v>
      </c>
      <c r="CY44" s="60">
        <f ca="1">AVERAGE(OFFSET($CX$3,0,0,'Données projet'!$E$13+1,1))-AVERAGE(OFFSET($H$3,0,0,'Données projet'!$E$13+1,1))</f>
        <v>293.44206058086951</v>
      </c>
      <c r="CZ44" s="60">
        <f t="shared" si="42"/>
        <v>182.15909509186827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8.8000000000000007</v>
      </c>
      <c r="DO44" s="13">
        <f>IF('Données projet'!$A$166&gt;35,DO43+DN44-DW43,IF(A44&lt;'Données projet'!$A$166,$DL$205^A44,IF(A44='Données projet'!$A$166,'Données projet'!$B$166,DO43+DN44-DW43)))</f>
        <v>165.80000000000004</v>
      </c>
      <c r="DP44" s="18">
        <f>DO44*VLOOKUP('Données projet'!$B$14,Paramètres!$A$1:$I$89,3,0)*VLOOKUP('Données projet'!$B$14,Paramètres!$A$1:$I$89,5,0)</f>
        <v>178.46712000000002</v>
      </c>
      <c r="DQ44" s="14">
        <f t="shared" si="43"/>
        <v>44.980979041254272</v>
      </c>
      <c r="DR44" s="22">
        <f t="shared" si="16"/>
        <v>389.17210583018459</v>
      </c>
      <c r="DS44" s="60">
        <f t="shared" si="17"/>
        <v>682.50543916351785</v>
      </c>
      <c r="DT44" s="60">
        <f ca="1">AVERAGE(OFFSET($DS$3,0,0,'Données projet'!$E$14+1,1))-AVERAGE(OFFSET($H$3,0,0,'Données projet'!$E$14+1,1))</f>
        <v>338.92444234934266</v>
      </c>
      <c r="DU44" s="60">
        <f t="shared" si="44"/>
        <v>208.91548891910895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10.8</v>
      </c>
      <c r="EJ44" s="13">
        <f>IF('Données projet'!$A$192&gt;35,EJ43+EI44-ER43,IF(A44&lt;'Données projet'!$A$192,$EG$205^A44,IF(A44='Données projet'!$A$192,'Données projet'!$B$192,EJ43+EI44-ER43)))</f>
        <v>146.79999999999995</v>
      </c>
      <c r="EK44" s="18">
        <f>EJ44*VLOOKUP('Données projet'!$B$15,Paramètres!$A$1:$I$89,3,0)*VLOOKUP('Données projet'!$B$15,Paramètres!$A$1:$I$89,5,0)</f>
        <v>119.08415999999998</v>
      </c>
      <c r="EL44" s="14">
        <f t="shared" si="45"/>
        <v>31.461299503939063</v>
      </c>
      <c r="EM44" s="22">
        <f t="shared" si="19"/>
        <v>262.20000863602718</v>
      </c>
      <c r="EN44" s="60">
        <f t="shared" si="20"/>
        <v>555.53334196936044</v>
      </c>
      <c r="EO44" s="60">
        <f ca="1">AVERAGE(OFFSET($EN$3,0,0,'Données projet'!$E$15+1,1))-AVERAGE(OFFSET($H$3,0,0,'Données projet'!$E$15+1,1))</f>
        <v>346.10839312896536</v>
      </c>
      <c r="EP44" s="60">
        <f t="shared" si="46"/>
        <v>196.24927250256087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5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8">
        <f t="shared" si="1"/>
        <v>378.04612747032132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projet'!$B$9,Paramètres!$A$1:$I$89,3,0)*VLOOKUP('Données projet'!$B$9,Paramètres!$A$1:$I$89,5,0)</f>
        <v>178.96944000000002</v>
      </c>
      <c r="P45" s="14">
        <f t="shared" si="33"/>
        <v>45.092828990632619</v>
      </c>
      <c r="Q45" s="22">
        <f t="shared" si="53"/>
        <v>390.24178515868516</v>
      </c>
      <c r="R45" s="60">
        <f t="shared" si="0"/>
        <v>683.57511849201842</v>
      </c>
      <c r="S45" s="60">
        <f ca="1">AVERAGE(OFFSET($R$3,0,0,'Données projet'!$E$9+1,1))-AVERAGE(OFFSET($H$3,0,0,'Données projet'!$E$9+1,1))</f>
        <v>327.62615088747526</v>
      </c>
      <c r="T45" s="60">
        <f t="shared" si="34"/>
        <v>180.48047802041276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197.80000000000004</v>
      </c>
      <c r="AJ45" s="14">
        <f>AI45*VLOOKUP('Données projet'!$B$10,Paramètres!$A$1:$I$89,3,0)*VLOOKUP('Données projet'!$B$10,Paramètres!$A$1:$I$89,5,0)</f>
        <v>166.62672000000003</v>
      </c>
      <c r="AK45" s="14">
        <f t="shared" si="35"/>
        <v>42.333642074689422</v>
      </c>
      <c r="AL45" s="22">
        <f t="shared" si="4"/>
        <v>363.93929728008408</v>
      </c>
      <c r="AM45" s="60">
        <f t="shared" si="5"/>
        <v>657.27263061341739</v>
      </c>
      <c r="AN45" s="60">
        <f ca="1">AVERAGE(OFFSET($AM$3,0,0,'Données projet'!$E$10+1,1))-AVERAGE(OFFSET($H$3,0,0,'Données projet'!$E$10+1,1))</f>
        <v>295.5242128298583</v>
      </c>
      <c r="AO45" s="60">
        <f t="shared" si="36"/>
        <v>164.21740841327744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6.6666666666666625</v>
      </c>
      <c r="BD45" s="13">
        <f>IF('Données projet'!$A$88&gt;35,BD44+BC45-BL44,IF(A45&lt;'Données projet'!$A$88,$BA$205^A45,IF(A45='Données projet'!$A$88,'Données projet'!$B$88,BD44+BC45-BL44)))</f>
        <v>166.53846153846158</v>
      </c>
      <c r="BE45" s="14">
        <f>BD45*VLOOKUP('Données projet'!$B$11,Paramètres!$A$1:$I$89,3,0)*VLOOKUP('Données projet'!$B$11,Paramètres!$A$1:$I$89,5,0)</f>
        <v>158.47800000000004</v>
      </c>
      <c r="BF45" s="14">
        <f t="shared" si="37"/>
        <v>40.499033326567876</v>
      </c>
      <c r="BG45" s="22">
        <f t="shared" si="7"/>
        <v>346.55166637710573</v>
      </c>
      <c r="BH45" s="60">
        <f t="shared" si="8"/>
        <v>639.88499971043905</v>
      </c>
      <c r="BI45" s="60">
        <f ca="1">AVERAGE(OFFSET($BH$3,0,0,'Données projet'!$E$11+1,1))-AVERAGE(OFFSET($H$3,0,0,'Données projet'!$E$11+1,1))</f>
        <v>276.19649531804959</v>
      </c>
      <c r="BJ45" s="60">
        <f t="shared" si="38"/>
        <v>253.14970964973463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7.4</v>
      </c>
      <c r="BY45" s="13">
        <f>IF('Données projet'!$A$114&gt;35,BY44+BX45-CG44,IF(A45&lt;'Données projet'!$A$114,$BV$205^A45,IF(A45='Données projet'!$A$114,'Données projet'!$B$114,BY44+BX45-CG44)))</f>
        <v>184.80000000000007</v>
      </c>
      <c r="BZ45" s="14">
        <f>BY45*VLOOKUP('Données projet'!$B$12,Paramètres!$A$1:$I$89,3,0)*VLOOKUP('Données projet'!$B$12,Paramètres!$A$1:$I$89,5,0)</f>
        <v>121.08096000000005</v>
      </c>
      <c r="CA45" s="14">
        <f t="shared" si="39"/>
        <v>31.92698372788707</v>
      </c>
      <c r="CB45" s="22">
        <f t="shared" si="10"/>
        <v>266.48883532607005</v>
      </c>
      <c r="CC45" s="60">
        <f t="shared" si="11"/>
        <v>559.82216865940336</v>
      </c>
      <c r="CD45" s="60">
        <f ca="1">AVERAGE(OFFSET($CC$3,0,0,'Données projet'!$E$12+1,1))-AVERAGE(OFFSET($H$3,0,0,'Données projet'!$E$12+1,1))</f>
        <v>154.88061446835457</v>
      </c>
      <c r="CE45" s="60">
        <f t="shared" si="40"/>
        <v>201.47826692201693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1.9573314342107222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1.9573314342107222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8.8000000000000007</v>
      </c>
      <c r="CT45" s="13">
        <f>IF('Données projet'!$A$140&gt;35,CT44+CS45-DB44,IF(A45&lt;'Données projet'!$A$140,$CQ$205^A45,IF(A45='Données projet'!$A$140,'Données projet'!$B$140,CT44+CS45-DB44)))</f>
        <v>174.60000000000005</v>
      </c>
      <c r="CU45" s="18">
        <f>CT45*VLOOKUP('Données projet'!$B$13,Paramètres!$A$1:$I$89,3,0)*VLOOKUP('Données projet'!$B$13,Paramètres!$A$1:$I$89,5,0)</f>
        <v>168.87312000000006</v>
      </c>
      <c r="CV45" s="14">
        <f t="shared" si="41"/>
        <v>42.837542343422633</v>
      </c>
      <c r="CW45" s="22">
        <f t="shared" si="13"/>
        <v>368.72940358146116</v>
      </c>
      <c r="CX45" s="60">
        <f t="shared" si="14"/>
        <v>662.06273691479441</v>
      </c>
      <c r="CY45" s="60">
        <f ca="1">AVERAGE(OFFSET($CX$3,0,0,'Données projet'!$E$13+1,1))-AVERAGE(OFFSET($H$3,0,0,'Données projet'!$E$13+1,1))</f>
        <v>293.44206058086951</v>
      </c>
      <c r="CZ45" s="60">
        <f t="shared" si="42"/>
        <v>182.15909509186827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8.8000000000000007</v>
      </c>
      <c r="DO45" s="13">
        <f>IF('Données projet'!$A$166&gt;35,DO44+DN45-DW44,IF(A45&lt;'Données projet'!$A$166,$DL$205^A45,IF(A45='Données projet'!$A$166,'Données projet'!$B$166,DO44+DN45-DW44)))</f>
        <v>174.60000000000005</v>
      </c>
      <c r="DP45" s="18">
        <f>DO45*VLOOKUP('Données projet'!$B$14,Paramètres!$A$1:$I$89,3,0)*VLOOKUP('Données projet'!$B$14,Paramètres!$A$1:$I$89,5,0)</f>
        <v>187.93944000000005</v>
      </c>
      <c r="DQ45" s="14">
        <f t="shared" si="43"/>
        <v>47.084103582679404</v>
      </c>
      <c r="DR45" s="22">
        <f t="shared" si="16"/>
        <v>409.33267173983336</v>
      </c>
      <c r="DS45" s="60">
        <f t="shared" si="17"/>
        <v>702.66600507316662</v>
      </c>
      <c r="DT45" s="60">
        <f ca="1">AVERAGE(OFFSET($DS$3,0,0,'Données projet'!$E$14+1,1))-AVERAGE(OFFSET($H$3,0,0,'Données projet'!$E$14+1,1))</f>
        <v>338.92444234934266</v>
      </c>
      <c r="DU45" s="60">
        <f t="shared" si="44"/>
        <v>208.91548891910895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10.8</v>
      </c>
      <c r="EJ45" s="13">
        <f>IF('Données projet'!$A$192&gt;35,EJ44+EI45-ER44,IF(A45&lt;'Données projet'!$A$192,$EG$205^A45,IF(A45='Données projet'!$A$192,'Données projet'!$B$192,EJ44+EI45-ER44)))</f>
        <v>157.59999999999997</v>
      </c>
      <c r="EK45" s="18">
        <f>EJ45*VLOOKUP('Données projet'!$B$15,Paramètres!$A$1:$I$89,3,0)*VLOOKUP('Données projet'!$B$15,Paramètres!$A$1:$I$89,5,0)</f>
        <v>127.84511999999998</v>
      </c>
      <c r="EL45" s="14">
        <f t="shared" si="45"/>
        <v>33.497946479667029</v>
      </c>
      <c r="EM45" s="22">
        <f t="shared" si="19"/>
        <v>281.00584078542005</v>
      </c>
      <c r="EN45" s="60">
        <f t="shared" si="20"/>
        <v>574.33917411875336</v>
      </c>
      <c r="EO45" s="60">
        <f ca="1">AVERAGE(OFFSET($EN$3,0,0,'Données projet'!$E$15+1,1))-AVERAGE(OFFSET($H$3,0,0,'Données projet'!$E$15+1,1))</f>
        <v>346.10839312896536</v>
      </c>
      <c r="EP45" s="60">
        <f t="shared" si="46"/>
        <v>196.24927250256087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5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8">
        <f t="shared" si="1"/>
        <v>380.00802246281268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projet'!$B$9,Paramètres!$A$1:$I$89,3,0)*VLOOKUP('Données projet'!$B$9,Paramètres!$A$1:$I$89,5,0)</f>
        <v>189.28416000000001</v>
      </c>
      <c r="P46" s="14">
        <f t="shared" si="33"/>
        <v>47.381656039514027</v>
      </c>
      <c r="Q46" s="22">
        <f t="shared" si="53"/>
        <v>412.19296293548695</v>
      </c>
      <c r="R46" s="60">
        <f t="shared" si="0"/>
        <v>705.52629626882026</v>
      </c>
      <c r="S46" s="60">
        <f ca="1">AVERAGE(OFFSET($R$3,0,0,'Données projet'!$E$9+1,1))-AVERAGE(OFFSET($H$3,0,0,'Données projet'!$E$9+1,1))</f>
        <v>327.62615088747526</v>
      </c>
      <c r="T46" s="60">
        <f t="shared" si="34"/>
        <v>180.48047802041276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209.20000000000005</v>
      </c>
      <c r="AJ46" s="14">
        <f>AI46*VLOOKUP('Données projet'!$B$10,Paramètres!$A$1:$I$89,3,0)*VLOOKUP('Données projet'!$B$10,Paramètres!$A$1:$I$89,5,0)</f>
        <v>176.23008000000004</v>
      </c>
      <c r="AK46" s="14">
        <f t="shared" si="35"/>
        <v>44.482417993768294</v>
      </c>
      <c r="AL46" s="22">
        <f t="shared" si="4"/>
        <v>384.40760067247987</v>
      </c>
      <c r="AM46" s="60">
        <f t="shared" si="5"/>
        <v>677.74093400581319</v>
      </c>
      <c r="AN46" s="60">
        <f ca="1">AVERAGE(OFFSET($AM$3,0,0,'Données projet'!$E$10+1,1))-AVERAGE(OFFSET($H$3,0,0,'Données projet'!$E$10+1,1))</f>
        <v>295.5242128298583</v>
      </c>
      <c r="AO46" s="60">
        <f t="shared" si="36"/>
        <v>164.21740841327744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6.6666666666666625</v>
      </c>
      <c r="BD46" s="13">
        <f>IF('Données projet'!$A$88&gt;35,BD45+BC46-BL45,IF(A46&lt;'Données projet'!$A$88,$BA$205^A46,IF(A46='Données projet'!$A$88,'Données projet'!$B$88,BD45+BC46-BL45)))</f>
        <v>173.20512820512823</v>
      </c>
      <c r="BE46" s="14">
        <f>BD46*VLOOKUP('Données projet'!$B$11,Paramètres!$A$1:$I$89,3,0)*VLOOKUP('Données projet'!$B$11,Paramètres!$A$1:$I$89,5,0)</f>
        <v>164.82200000000003</v>
      </c>
      <c r="BF46" s="14">
        <f t="shared" si="37"/>
        <v>41.928244346171937</v>
      </c>
      <c r="BG46" s="22">
        <f t="shared" si="7"/>
        <v>360.09000890291617</v>
      </c>
      <c r="BH46" s="60">
        <f t="shared" si="8"/>
        <v>653.42334223624948</v>
      </c>
      <c r="BI46" s="60">
        <f ca="1">AVERAGE(OFFSET($BH$3,0,0,'Données projet'!$E$11+1,1))-AVERAGE(OFFSET($H$3,0,0,'Données projet'!$E$11+1,1))</f>
        <v>276.19649531804959</v>
      </c>
      <c r="BJ46" s="60">
        <f t="shared" si="38"/>
        <v>253.14970964973463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7.4</v>
      </c>
      <c r="BY46" s="13">
        <f>IF('Données projet'!$A$114&gt;35,BY45+BX46-CG45,IF(A46&lt;'Données projet'!$A$114,$BV$205^A46,IF(A46='Données projet'!$A$114,'Données projet'!$B$114,BY45+BX46-CG45)))</f>
        <v>192.20000000000007</v>
      </c>
      <c r="BZ46" s="14">
        <f>BY46*VLOOKUP('Données projet'!$B$12,Paramètres!$A$1:$I$89,3,0)*VLOOKUP('Données projet'!$B$12,Paramètres!$A$1:$I$89,5,0)</f>
        <v>125.92944000000006</v>
      </c>
      <c r="CA46" s="14">
        <f t="shared" si="39"/>
        <v>33.054038034052077</v>
      </c>
      <c r="CB46" s="22">
        <f t="shared" si="10"/>
        <v>276.89622424264081</v>
      </c>
      <c r="CC46" s="60">
        <f t="shared" si="11"/>
        <v>570.22955757597413</v>
      </c>
      <c r="CD46" s="60">
        <f ca="1">AVERAGE(OFFSET($CC$3,0,0,'Données projet'!$E$12+1,1))-AVERAGE(OFFSET($H$3,0,0,'Données projet'!$E$12+1,1))</f>
        <v>154.88061446835457</v>
      </c>
      <c r="CE46" s="60">
        <f t="shared" si="40"/>
        <v>201.47826692201693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1.9038081032106433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1.9038081032106433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8.8000000000000007</v>
      </c>
      <c r="CT46" s="13">
        <f>IF('Données projet'!$A$140&gt;35,CT45+CS46-DB45,IF(A46&lt;'Données projet'!$A$140,$CQ$205^A46,IF(A46='Données projet'!$A$140,'Données projet'!$B$140,CT45+CS46-DB45)))</f>
        <v>183.40000000000006</v>
      </c>
      <c r="CU46" s="18">
        <f>CT46*VLOOKUP('Données projet'!$B$13,Paramètres!$A$1:$I$89,3,0)*VLOOKUP('Données projet'!$B$13,Paramètres!$A$1:$I$89,5,0)</f>
        <v>177.38448000000008</v>
      </c>
      <c r="CV46" s="14">
        <f t="shared" si="41"/>
        <v>44.739786364792621</v>
      </c>
      <c r="CW46" s="22">
        <f t="shared" si="13"/>
        <v>386.86643058534725</v>
      </c>
      <c r="CX46" s="60">
        <f t="shared" si="14"/>
        <v>680.19976391868056</v>
      </c>
      <c r="CY46" s="60">
        <f ca="1">AVERAGE(OFFSET($CX$3,0,0,'Données projet'!$E$13+1,1))-AVERAGE(OFFSET($H$3,0,0,'Données projet'!$E$13+1,1))</f>
        <v>293.44206058086951</v>
      </c>
      <c r="CZ46" s="60">
        <f t="shared" si="42"/>
        <v>182.15909509186827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8.8000000000000007</v>
      </c>
      <c r="DO46" s="13">
        <f>IF('Données projet'!$A$166&gt;35,DO45+DN46-DW45,IF(A46&lt;'Données projet'!$A$166,$DL$205^A46,IF(A46='Données projet'!$A$166,'Données projet'!$B$166,DO45+DN46-DW45)))</f>
        <v>183.40000000000006</v>
      </c>
      <c r="DP46" s="18">
        <f>DO46*VLOOKUP('Données projet'!$B$14,Paramètres!$A$1:$I$89,3,0)*VLOOKUP('Données projet'!$B$14,Paramètres!$A$1:$I$89,5,0)</f>
        <v>197.41176000000007</v>
      </c>
      <c r="DQ46" s="14">
        <f t="shared" si="43"/>
        <v>49.174920413945848</v>
      </c>
      <c r="DR46" s="22">
        <f t="shared" si="16"/>
        <v>429.47180172095574</v>
      </c>
      <c r="DS46" s="60">
        <f t="shared" si="17"/>
        <v>722.80513505428905</v>
      </c>
      <c r="DT46" s="60">
        <f ca="1">AVERAGE(OFFSET($DS$3,0,0,'Données projet'!$E$14+1,1))-AVERAGE(OFFSET($H$3,0,0,'Données projet'!$E$14+1,1))</f>
        <v>338.92444234934266</v>
      </c>
      <c r="DU46" s="60">
        <f t="shared" si="44"/>
        <v>208.91548891910895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10.8</v>
      </c>
      <c r="EJ46" s="13">
        <f>IF('Données projet'!$A$192&gt;35,EJ45+EI46-ER45,IF(A46&lt;'Données projet'!$A$192,$EG$205^A46,IF(A46='Données projet'!$A$192,'Données projet'!$B$192,EJ45+EI46-ER45)))</f>
        <v>168.39999999999998</v>
      </c>
      <c r="EK46" s="18">
        <f>EJ46*VLOOKUP('Données projet'!$B$15,Paramètres!$A$1:$I$89,3,0)*VLOOKUP('Données projet'!$B$15,Paramètres!$A$1:$I$89,5,0)</f>
        <v>136.60607999999999</v>
      </c>
      <c r="EL46" s="14">
        <f t="shared" si="45"/>
        <v>35.518399082185681</v>
      </c>
      <c r="EM46" s="22">
        <f t="shared" si="19"/>
        <v>299.78346773480672</v>
      </c>
      <c r="EN46" s="60">
        <f t="shared" si="20"/>
        <v>593.11680106814003</v>
      </c>
      <c r="EO46" s="60">
        <f ca="1">AVERAGE(OFFSET($EN$3,0,0,'Données projet'!$E$15+1,1))-AVERAGE(OFFSET($H$3,0,0,'Données projet'!$E$15+1,1))</f>
        <v>346.10839312896536</v>
      </c>
      <c r="EP46" s="60">
        <f t="shared" si="46"/>
        <v>196.24927250256087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5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8">
        <f t="shared" si="1"/>
        <v>381.96880032513235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projet'!$B$9,Paramètres!$A$1:$I$89,3,0)*VLOOKUP('Données projet'!$B$9,Paramètres!$A$1:$I$89,5,0)</f>
        <v>199.59888000000004</v>
      </c>
      <c r="P47" s="14">
        <f t="shared" si="33"/>
        <v>49.656003392529037</v>
      </c>
      <c r="Q47" s="22">
        <f t="shared" si="53"/>
        <v>434.11892190865478</v>
      </c>
      <c r="R47" s="60">
        <f t="shared" si="0"/>
        <v>727.45225524198804</v>
      </c>
      <c r="S47" s="60">
        <f ca="1">AVERAGE(OFFSET($R$3,0,0,'Données projet'!$E$9+1,1))-AVERAGE(OFFSET($H$3,0,0,'Données projet'!$E$9+1,1))</f>
        <v>327.62615088747526</v>
      </c>
      <c r="T47" s="60">
        <f t="shared" si="34"/>
        <v>180.48047802041276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220.60000000000005</v>
      </c>
      <c r="AJ47" s="14">
        <f>AI47*VLOOKUP('Données projet'!$B$10,Paramètres!$A$1:$I$89,3,0)*VLOOKUP('Données projet'!$B$10,Paramètres!$A$1:$I$89,5,0)</f>
        <v>185.83344000000005</v>
      </c>
      <c r="AK47" s="14">
        <f t="shared" si="35"/>
        <v>46.617600215670045</v>
      </c>
      <c r="AL47" s="22">
        <f t="shared" si="4"/>
        <v>404.85222837562537</v>
      </c>
      <c r="AM47" s="60">
        <f t="shared" si="5"/>
        <v>698.18556170895863</v>
      </c>
      <c r="AN47" s="60">
        <f ca="1">AVERAGE(OFFSET($AM$3,0,0,'Données projet'!$E$10+1,1))-AVERAGE(OFFSET($H$3,0,0,'Données projet'!$E$10+1,1))</f>
        <v>295.5242128298583</v>
      </c>
      <c r="AO47" s="60">
        <f t="shared" si="36"/>
        <v>164.21740841327744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6.6666666666666625</v>
      </c>
      <c r="BD47" s="13">
        <f>IF('Données projet'!$A$88&gt;35,BD46+BC47-BL46,IF(A47&lt;'Données projet'!$A$88,$BA$205^A47,IF(A47='Données projet'!$A$88,'Données projet'!$B$88,BD46+BC47-BL46)))</f>
        <v>179.87179487179489</v>
      </c>
      <c r="BE47" s="14">
        <f>BD47*VLOOKUP('Données projet'!$B$11,Paramètres!$A$1:$I$89,3,0)*VLOOKUP('Données projet'!$B$11,Paramètres!$A$1:$I$89,5,0)</f>
        <v>171.16600000000003</v>
      </c>
      <c r="BF47" s="14">
        <f t="shared" si="37"/>
        <v>43.351064817812841</v>
      </c>
      <c r="BG47" s="22">
        <f t="shared" si="7"/>
        <v>373.61722122435737</v>
      </c>
      <c r="BH47" s="60">
        <f t="shared" si="8"/>
        <v>666.95055455769068</v>
      </c>
      <c r="BI47" s="60">
        <f ca="1">AVERAGE(OFFSET($BH$3,0,0,'Données projet'!$E$11+1,1))-AVERAGE(OFFSET($H$3,0,0,'Données projet'!$E$11+1,1))</f>
        <v>276.19649531804959</v>
      </c>
      <c r="BJ47" s="60">
        <f t="shared" si="38"/>
        <v>253.14970964973463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7.4</v>
      </c>
      <c r="BY47" s="13">
        <f>IF('Données projet'!$A$114&gt;35,BY46+BX47-CG46,IF(A47&lt;'Données projet'!$A$114,$BV$205^A47,IF(A47='Données projet'!$A$114,'Données projet'!$B$114,BY46+BX47-CG46)))</f>
        <v>199.60000000000008</v>
      </c>
      <c r="BZ47" s="14">
        <f>BY47*VLOOKUP('Données projet'!$B$12,Paramètres!$A$1:$I$89,3,0)*VLOOKUP('Données projet'!$B$12,Paramètres!$A$1:$I$89,5,0)</f>
        <v>130.77792000000005</v>
      </c>
      <c r="CA47" s="14">
        <f t="shared" si="39"/>
        <v>34.176051340149542</v>
      </c>
      <c r="CB47" s="22">
        <f t="shared" si="10"/>
        <v>287.29483341742718</v>
      </c>
      <c r="CC47" s="60">
        <f t="shared" si="11"/>
        <v>580.62816675076056</v>
      </c>
      <c r="CD47" s="60">
        <f ca="1">AVERAGE(OFFSET($CC$3,0,0,'Données projet'!$E$12+1,1))-AVERAGE(OFFSET($H$3,0,0,'Données projet'!$E$12+1,1))</f>
        <v>154.88061446835457</v>
      </c>
      <c r="CE47" s="60">
        <f t="shared" si="40"/>
        <v>201.47826692201693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1.8517483705114313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1.8517483705114313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8.8000000000000007</v>
      </c>
      <c r="CT47" s="13">
        <f>IF('Données projet'!$A$140&gt;35,CT46+CS47-DB46,IF(A47&lt;'Données projet'!$A$140,$CQ$205^A47,IF(A47='Données projet'!$A$140,'Données projet'!$B$140,CT46+CS47-DB46)))</f>
        <v>192.20000000000007</v>
      </c>
      <c r="CU47" s="18">
        <f>CT47*VLOOKUP('Données projet'!$B$13,Paramètres!$A$1:$I$89,3,0)*VLOOKUP('Données projet'!$B$13,Paramètres!$A$1:$I$89,5,0)</f>
        <v>185.89584000000008</v>
      </c>
      <c r="CV47" s="14">
        <f t="shared" si="41"/>
        <v>46.63143135185193</v>
      </c>
      <c r="CW47" s="22">
        <f t="shared" si="13"/>
        <v>404.9849976044755</v>
      </c>
      <c r="CX47" s="60">
        <f t="shared" si="14"/>
        <v>698.31833093780881</v>
      </c>
      <c r="CY47" s="60">
        <f ca="1">AVERAGE(OFFSET($CX$3,0,0,'Données projet'!$E$13+1,1))-AVERAGE(OFFSET($H$3,0,0,'Données projet'!$E$13+1,1))</f>
        <v>293.44206058086951</v>
      </c>
      <c r="CZ47" s="60">
        <f t="shared" si="42"/>
        <v>182.15909509186827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8.8000000000000007</v>
      </c>
      <c r="DO47" s="13">
        <f>IF('Données projet'!$A$166&gt;35,DO46+DN47-DW46,IF(A47&lt;'Données projet'!$A$166,$DL$205^A47,IF(A47='Données projet'!$A$166,'Données projet'!$B$166,DO46+DN47-DW46)))</f>
        <v>192.20000000000007</v>
      </c>
      <c r="DP47" s="18">
        <f>DO47*VLOOKUP('Données projet'!$B$14,Paramètres!$A$1:$I$89,3,0)*VLOOKUP('Données projet'!$B$14,Paramètres!$A$1:$I$89,5,0)</f>
        <v>206.8840800000001</v>
      </c>
      <c r="DQ47" s="14">
        <f t="shared" si="43"/>
        <v>51.254087509908629</v>
      </c>
      <c r="DR47" s="22">
        <f t="shared" si="16"/>
        <v>449.59064174642435</v>
      </c>
      <c r="DS47" s="60">
        <f t="shared" si="17"/>
        <v>742.92397507975761</v>
      </c>
      <c r="DT47" s="60">
        <f ca="1">AVERAGE(OFFSET($DS$3,0,0,'Données projet'!$E$14+1,1))-AVERAGE(OFFSET($H$3,0,0,'Données projet'!$E$14+1,1))</f>
        <v>338.92444234934266</v>
      </c>
      <c r="DU47" s="60">
        <f t="shared" si="44"/>
        <v>208.91548891910895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10.8</v>
      </c>
      <c r="EJ47" s="13">
        <f>IF('Données projet'!$A$192&gt;35,EJ46+EI47-ER46,IF(A47&lt;'Données projet'!$A$192,$EG$205^A47,IF(A47='Données projet'!$A$192,'Données projet'!$B$192,EJ46+EI47-ER46)))</f>
        <v>179.2</v>
      </c>
      <c r="EK47" s="18">
        <f>EJ47*VLOOKUP('Données projet'!$B$15,Paramètres!$A$1:$I$89,3,0)*VLOOKUP('Données projet'!$B$15,Paramètres!$A$1:$I$89,5,0)</f>
        <v>145.36704</v>
      </c>
      <c r="EL47" s="14">
        <f t="shared" si="45"/>
        <v>37.523814117080832</v>
      </c>
      <c r="EM47" s="22">
        <f t="shared" si="19"/>
        <v>318.53490425391578</v>
      </c>
      <c r="EN47" s="60">
        <f t="shared" si="20"/>
        <v>611.86823758724904</v>
      </c>
      <c r="EO47" s="60">
        <f ca="1">AVERAGE(OFFSET($EN$3,0,0,'Données projet'!$E$15+1,1))-AVERAGE(OFFSET($H$3,0,0,'Données projet'!$E$15+1,1))</f>
        <v>346.10839312896536</v>
      </c>
      <c r="EP47" s="60">
        <f t="shared" si="46"/>
        <v>196.24927250256087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5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8">
        <f t="shared" si="1"/>
        <v>383.92848936938583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projet'!$B$9,Paramètres!$A$1:$I$89,3,0)*VLOOKUP('Données projet'!$B$9,Paramètres!$A$1:$I$89,5,0)</f>
        <v>209.91360000000006</v>
      </c>
      <c r="P48" s="14">
        <f t="shared" si="33"/>
        <v>51.916704672341361</v>
      </c>
      <c r="Q48" s="22">
        <f t="shared" si="53"/>
        <v>456.02111397099458</v>
      </c>
      <c r="R48" s="60">
        <f t="shared" si="0"/>
        <v>749.35444730432789</v>
      </c>
      <c r="S48" s="60">
        <f ca="1">AVERAGE(OFFSET($R$3,0,0,'Données projet'!$E$9+1,1))-AVERAGE(OFFSET($H$3,0,0,'Données projet'!$E$9+1,1))</f>
        <v>327.62615088747526</v>
      </c>
      <c r="T48" s="60">
        <f t="shared" si="34"/>
        <v>180.48047802041276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232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232.00000000000006</v>
      </c>
      <c r="AJ48" s="14">
        <f>AI48*VLOOKUP('Données projet'!$B$10,Paramètres!$A$1:$I$89,3,0)*VLOOKUP('Données projet'!$B$10,Paramètres!$A$1:$I$89,5,0)</f>
        <v>195.43680000000006</v>
      </c>
      <c r="AK48" s="14">
        <f t="shared" si="35"/>
        <v>48.739971354487849</v>
      </c>
      <c r="AL48" s="22">
        <f t="shared" si="4"/>
        <v>425.27454344239982</v>
      </c>
      <c r="AM48" s="60">
        <f t="shared" si="5"/>
        <v>718.60787677573308</v>
      </c>
      <c r="AN48" s="60">
        <f ca="1">AVERAGE(OFFSET($AM$3,0,0,'Données projet'!$E$10+1,1))-AVERAGE(OFFSET($H$3,0,0,'Données projet'!$E$10+1,1))</f>
        <v>295.5242128298583</v>
      </c>
      <c r="AO48" s="60">
        <f t="shared" si="36"/>
        <v>164.21740841327744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56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186.53846153846152</v>
      </c>
      <c r="BB48" s="13">
        <f>VLOOKUP(A48,'Données projet'!$A$87:$I$107,9,0)</f>
        <v>6.6666666666666625</v>
      </c>
      <c r="BC48" s="13">
        <f t="array" ref="BC48">INDEX(BB:BB,MIN(IF(ISNUMBER(BB48:BB244),ROW(BB48:BB244),"")))</f>
        <v>6.6666666666666625</v>
      </c>
      <c r="BD48" s="13">
        <f>IF('Données projet'!$A$88&gt;35,BD47+BC48-BL47,IF(A48&lt;'Données projet'!$A$88,$BA$205^A48,IF(A48='Données projet'!$A$88,'Données projet'!$B$88,BD47+BC48-BL47)))</f>
        <v>186.53846153846155</v>
      </c>
      <c r="BE48" s="14">
        <f>BD48*VLOOKUP('Données projet'!$B$11,Paramètres!$A$1:$I$89,3,0)*VLOOKUP('Données projet'!$B$11,Paramètres!$A$1:$I$89,5,0)</f>
        <v>177.51000000000002</v>
      </c>
      <c r="BF48" s="14">
        <f t="shared" si="37"/>
        <v>44.767758720564899</v>
      </c>
      <c r="BG48" s="22">
        <f t="shared" si="7"/>
        <v>387.13376310498393</v>
      </c>
      <c r="BH48" s="60">
        <f t="shared" si="8"/>
        <v>680.46709643831718</v>
      </c>
      <c r="BI48" s="60">
        <f ca="1">AVERAGE(OFFSET($BH$3,0,0,'Données projet'!$E$11+1,1))-AVERAGE(OFFSET($H$3,0,0,'Données projet'!$E$11+1,1))</f>
        <v>276.19649531804959</v>
      </c>
      <c r="BJ48" s="60">
        <f t="shared" si="38"/>
        <v>253.14970964973463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207</v>
      </c>
      <c r="BW48" s="13">
        <f>VLOOKUP(A48,'Données projet'!$A$113:$I$133,9,0)</f>
        <v>7.4</v>
      </c>
      <c r="BX48" s="13">
        <f t="array" ref="BX48">INDEX(BW:BW,MIN(IF(ISNUMBER(BW48:BW244),ROW(BW48:BW244),"")))</f>
        <v>7.4</v>
      </c>
      <c r="BY48" s="13">
        <f>IF('Données projet'!$A$114&gt;35,BY47+BX48-CG47,IF(A48&lt;'Données projet'!$A$114,$BV$205^A48,IF(A48='Données projet'!$A$114,'Données projet'!$B$114,BY47+BX48-CG47)))</f>
        <v>207.00000000000009</v>
      </c>
      <c r="BZ48" s="14">
        <f>BY48*VLOOKUP('Données projet'!$B$12,Paramètres!$A$1:$I$89,3,0)*VLOOKUP('Données projet'!$B$12,Paramètres!$A$1:$I$89,5,0)</f>
        <v>135.62640000000005</v>
      </c>
      <c r="CA48" s="14">
        <f t="shared" si="39"/>
        <v>35.293231938598481</v>
      </c>
      <c r="CB48" s="22">
        <f t="shared" si="10"/>
        <v>297.68502562639242</v>
      </c>
      <c r="CC48" s="60">
        <f t="shared" si="11"/>
        <v>591.01835895972567</v>
      </c>
      <c r="CD48" s="60">
        <f ca="1">AVERAGE(OFFSET($CC$3,0,0,'Données projet'!$E$12+1,1))-AVERAGE(OFFSET($H$3,0,0,'Données projet'!$E$12+1,1))</f>
        <v>154.88061446835457</v>
      </c>
      <c r="CE48" s="60">
        <f t="shared" si="40"/>
        <v>201.47826692201693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1.8011122139405815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1.8011122139405815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201</v>
      </c>
      <c r="CR48" s="13">
        <f>VLOOKUP(A48,'Données projet'!$A$139:$I$159,9,0)</f>
        <v>8.8000000000000007</v>
      </c>
      <c r="CS48" s="13">
        <f t="array" ref="CS48">INDEX(CR:CR,MIN(IF(ISNUMBER(CR48:CR244),ROW(CR48:CR244),"")))</f>
        <v>8.8000000000000007</v>
      </c>
      <c r="CT48" s="13">
        <f>IF('Données projet'!$A$140&gt;35,CT47+CS48-DB47,IF(A48&lt;'Données projet'!$A$140,$CQ$205^A48,IF(A48='Données projet'!$A$140,'Données projet'!$B$140,CT47+CS48-DB47)))</f>
        <v>201.00000000000009</v>
      </c>
      <c r="CU48" s="18">
        <f>CT48*VLOOKUP('Données projet'!$B$13,Paramètres!$A$1:$I$89,3,0)*VLOOKUP('Données projet'!$B$13,Paramètres!$A$1:$I$89,5,0)</f>
        <v>194.40720000000007</v>
      </c>
      <c r="CV48" s="14">
        <f t="shared" si="41"/>
        <v>48.513018020179601</v>
      </c>
      <c r="CW48" s="22">
        <f t="shared" si="13"/>
        <v>423.08604638514629</v>
      </c>
      <c r="CX48" s="60">
        <f t="shared" si="14"/>
        <v>716.4193797184796</v>
      </c>
      <c r="CY48" s="60">
        <f ca="1">AVERAGE(OFFSET($CX$3,0,0,'Données projet'!$E$13+1,1))-AVERAGE(OFFSET($H$3,0,0,'Données projet'!$E$13+1,1))</f>
        <v>293.44206058086951</v>
      </c>
      <c r="CZ48" s="60">
        <f t="shared" si="42"/>
        <v>182.15909509186827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51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201</v>
      </c>
      <c r="DM48" s="13">
        <f>VLOOKUP(A48,'Données projet'!$A$165:$I$185,9,0)</f>
        <v>8.8000000000000007</v>
      </c>
      <c r="DN48" s="13">
        <f t="array" ref="DN48">INDEX(DM:DM,MIN(IF(ISNUMBER(DM48:DM244),ROW(DM48:DM244),"")))</f>
        <v>8.8000000000000007</v>
      </c>
      <c r="DO48" s="13">
        <f>IF('Données projet'!$A$166&gt;35,DO47+DN48-DW47,IF(A48&lt;'Données projet'!$A$166,$DL$205^A48,IF(A48='Données projet'!$A$166,'Données projet'!$B$166,DO47+DN48-DW47)))</f>
        <v>201.00000000000009</v>
      </c>
      <c r="DP48" s="18">
        <f>DO48*VLOOKUP('Données projet'!$B$14,Paramètres!$A$1:$I$89,3,0)*VLOOKUP('Données projet'!$B$14,Paramètres!$A$1:$I$89,5,0)</f>
        <v>216.35640000000009</v>
      </c>
      <c r="DQ48" s="14">
        <f t="shared" si="43"/>
        <v>53.322199188237285</v>
      </c>
      <c r="DR48" s="22">
        <f t="shared" si="16"/>
        <v>469.69022691951341</v>
      </c>
      <c r="DS48" s="60">
        <f t="shared" si="17"/>
        <v>763.02356025284666</v>
      </c>
      <c r="DT48" s="60">
        <f ca="1">AVERAGE(OFFSET($DS$3,0,0,'Données projet'!$E$14+1,1))-AVERAGE(OFFSET($H$3,0,0,'Données projet'!$E$14+1,1))</f>
        <v>338.92444234934266</v>
      </c>
      <c r="DU48" s="60">
        <f t="shared" si="44"/>
        <v>208.91548891910895</v>
      </c>
      <c r="DV48" s="16">
        <f>IF(ISNA(VLOOKUP(A48,'Données projet'!$A$165:$I$185,3,0)),0,VLOOKUP(A48,'Données projet'!$A$165:$I$185,3,0))</f>
        <v>3</v>
      </c>
      <c r="DW48" s="16">
        <f>IF(ISNA(VLOOKUP(A48,'Données projet'!$A$165:$I$185,4,0)),0,VLOOKUP(A48,'Données projet'!$A$165:$I$185,4,0))</f>
        <v>51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190</v>
      </c>
      <c r="EH48" s="13">
        <f>VLOOKUP(A48,'Données projet'!$A$191:$I$211,9,0)</f>
        <v>10.8</v>
      </c>
      <c r="EI48" s="13">
        <f t="array" ref="EI48">INDEX(EH:EH,MIN(IF(ISNUMBER(EH48:EH244),ROW(EH48:EH244),"")))</f>
        <v>10.8</v>
      </c>
      <c r="EJ48" s="13">
        <f>IF('Données projet'!$A$192&gt;35,EJ47+EI48-ER47,IF(A48&lt;'Données projet'!$A$192,$EG$205^A48,IF(A48='Données projet'!$A$192,'Données projet'!$B$192,EJ47+EI48-ER47)))</f>
        <v>190</v>
      </c>
      <c r="EK48" s="18">
        <f>EJ48*VLOOKUP('Données projet'!$B$15,Paramètres!$A$1:$I$89,3,0)*VLOOKUP('Données projet'!$B$15,Paramètres!$A$1:$I$89,5,0)</f>
        <v>154.12800000000001</v>
      </c>
      <c r="EL48" s="14">
        <f t="shared" si="45"/>
        <v>39.515201075361155</v>
      </c>
      <c r="EM48" s="22">
        <f t="shared" si="19"/>
        <v>337.26190853958735</v>
      </c>
      <c r="EN48" s="60">
        <f t="shared" si="20"/>
        <v>630.59524187292072</v>
      </c>
      <c r="EO48" s="60">
        <f ca="1">AVERAGE(OFFSET($EN$3,0,0,'Données projet'!$E$15+1,1))-AVERAGE(OFFSET($H$3,0,0,'Données projet'!$E$15+1,1))</f>
        <v>346.10839312896536</v>
      </c>
      <c r="EP48" s="60">
        <f t="shared" si="46"/>
        <v>196.24927250256087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5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8">
        <f t="shared" si="1"/>
        <v>385.88711657752037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projet'!$B$9,Paramètres!$A$1:$I$89,3,0)*VLOOKUP('Données projet'!$B$9,Paramètres!$A$1:$I$89,5,0)</f>
        <v>169.19760000000005</v>
      </c>
      <c r="P49" s="14">
        <f t="shared" si="33"/>
        <v>42.910263223432885</v>
      </c>
      <c r="Q49" s="22">
        <f t="shared" si="53"/>
        <v>369.42119511414563</v>
      </c>
      <c r="R49" s="60">
        <f t="shared" si="0"/>
        <v>662.75452844747895</v>
      </c>
      <c r="S49" s="60">
        <f ca="1">AVERAGE(OFFSET($R$3,0,0,'Données projet'!$E$9+1,1))-AVERAGE(OFFSET($H$3,0,0,'Données projet'!$E$9+1,1))</f>
        <v>327.62615088747526</v>
      </c>
      <c r="T49" s="60">
        <f t="shared" si="34"/>
        <v>180.48047802041276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187.00000000000006</v>
      </c>
      <c r="AJ49" s="14">
        <f>AI49*VLOOKUP('Données projet'!$B$10,Paramètres!$A$1:$I$89,3,0)*VLOOKUP('Données projet'!$B$10,Paramètres!$A$1:$I$89,5,0)</f>
        <v>157.52880000000005</v>
      </c>
      <c r="AK49" s="14">
        <f t="shared" si="35"/>
        <v>40.284625411479013</v>
      </c>
      <c r="AL49" s="22">
        <f t="shared" si="4"/>
        <v>344.52504925832596</v>
      </c>
      <c r="AM49" s="60">
        <f t="shared" si="5"/>
        <v>637.85838259165928</v>
      </c>
      <c r="AN49" s="60">
        <f ca="1">AVERAGE(OFFSET($AM$3,0,0,'Données projet'!$E$10+1,1))-AVERAGE(OFFSET($H$3,0,0,'Données projet'!$E$10+1,1))</f>
        <v>295.5242128298583</v>
      </c>
      <c r="AO49" s="60">
        <f t="shared" si="36"/>
        <v>164.21740841327744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6.2820512820512819</v>
      </c>
      <c r="BD49" s="13">
        <f>IF('Données projet'!$A$88&gt;35,BD48+BC49-BL48,IF(A49&lt;'Données projet'!$A$88,$BA$205^A49,IF(A49='Données projet'!$A$88,'Données projet'!$B$88,BD48+BC49-BL48)))</f>
        <v>192.82051282051282</v>
      </c>
      <c r="BE49" s="14">
        <f>BD49*VLOOKUP('Données projet'!$B$11,Paramètres!$A$1:$I$89,3,0)*VLOOKUP('Données projet'!$B$11,Paramètres!$A$1:$I$89,5,0)</f>
        <v>183.488</v>
      </c>
      <c r="BF49" s="14">
        <f t="shared" si="37"/>
        <v>46.097332970867861</v>
      </c>
      <c r="BG49" s="22">
        <f t="shared" si="7"/>
        <v>399.86112159092812</v>
      </c>
      <c r="BH49" s="60">
        <f t="shared" si="8"/>
        <v>693.19445492426144</v>
      </c>
      <c r="BI49" s="60">
        <f ca="1">AVERAGE(OFFSET($BH$3,0,0,'Données projet'!$E$11+1,1))-AVERAGE(OFFSET($H$3,0,0,'Données projet'!$E$11+1,1))</f>
        <v>276.19649531804959</v>
      </c>
      <c r="BJ49" s="60">
        <f t="shared" si="38"/>
        <v>253.14970964973463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6.6</v>
      </c>
      <c r="BY49" s="13">
        <f>IF('Données projet'!$A$114&gt;35,BY48+BX49-CG48,IF(A49&lt;'Données projet'!$A$114,$BV$205^A49,IF(A49='Données projet'!$A$114,'Données projet'!$B$114,BY48+BX49-CG48)))</f>
        <v>213.60000000000008</v>
      </c>
      <c r="BZ49" s="14">
        <f>BY49*VLOOKUP('Données projet'!$B$12,Paramètres!$A$1:$I$89,3,0)*VLOOKUP('Données projet'!$B$12,Paramètres!$A$1:$I$89,5,0)</f>
        <v>139.95072000000005</v>
      </c>
      <c r="CA49" s="14">
        <f t="shared" si="39"/>
        <v>36.285715907711918</v>
      </c>
      <c r="CB49" s="22">
        <f t="shared" si="10"/>
        <v>306.94512587259828</v>
      </c>
      <c r="CC49" s="60">
        <f t="shared" si="11"/>
        <v>600.27845920593154</v>
      </c>
      <c r="CD49" s="60">
        <f ca="1">AVERAGE(OFFSET($CC$3,0,0,'Données projet'!$E$12+1,1))-AVERAGE(OFFSET($H$3,0,0,'Données projet'!$E$12+1,1))</f>
        <v>154.88061446835457</v>
      </c>
      <c r="CE49" s="60">
        <f t="shared" si="40"/>
        <v>201.47826692201693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1.7518607057340014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1.7518607057340014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8.8000000000000007</v>
      </c>
      <c r="CT49" s="13">
        <f>IF('Données projet'!$A$140&gt;35,CT48+CS49-DB48,IF(A49&lt;'Données projet'!$A$140,$CQ$205^A49,IF(A49='Données projet'!$A$140,'Données projet'!$B$140,CT48+CS49-DB48)))</f>
        <v>158.8000000000001</v>
      </c>
      <c r="CU49" s="18">
        <f>CT49*VLOOKUP('Données projet'!$B$13,Paramètres!$A$1:$I$89,3,0)*VLOOKUP('Données projet'!$B$13,Paramètres!$A$1:$I$89,5,0)</f>
        <v>153.59136000000009</v>
      </c>
      <c r="CV49" s="14">
        <f t="shared" si="41"/>
        <v>39.393607812663909</v>
      </c>
      <c r="CW49" s="22">
        <f t="shared" si="13"/>
        <v>336.11548560705643</v>
      </c>
      <c r="CX49" s="60">
        <f t="shared" si="14"/>
        <v>629.44881894038974</v>
      </c>
      <c r="CY49" s="60">
        <f ca="1">AVERAGE(OFFSET($CX$3,0,0,'Données projet'!$E$13+1,1))-AVERAGE(OFFSET($H$3,0,0,'Données projet'!$E$13+1,1))</f>
        <v>293.44206058086951</v>
      </c>
      <c r="CZ49" s="60">
        <f t="shared" si="42"/>
        <v>182.15909509186827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8.8000000000000007</v>
      </c>
      <c r="DO49" s="13">
        <f>IF('Données projet'!$A$166&gt;35,DO48+DN49-DW48,IF(A49&lt;'Données projet'!$A$166,$DL$205^A49,IF(A49='Données projet'!$A$166,'Données projet'!$B$166,DO48+DN49-DW48)))</f>
        <v>158.8000000000001</v>
      </c>
      <c r="DP49" s="18">
        <f>DO49*VLOOKUP('Données projet'!$B$14,Paramètres!$A$1:$I$89,3,0)*VLOOKUP('Données projet'!$B$14,Paramètres!$A$1:$I$89,5,0)</f>
        <v>170.93232000000009</v>
      </c>
      <c r="DQ49" s="14">
        <f t="shared" si="43"/>
        <v>43.298765738639759</v>
      </c>
      <c r="DR49" s="22">
        <f t="shared" si="16"/>
        <v>373.11914099479776</v>
      </c>
      <c r="DS49" s="60">
        <f t="shared" si="17"/>
        <v>666.45247432813107</v>
      </c>
      <c r="DT49" s="60">
        <f ca="1">AVERAGE(OFFSET($DS$3,0,0,'Données projet'!$E$14+1,1))-AVERAGE(OFFSET($H$3,0,0,'Données projet'!$E$14+1,1))</f>
        <v>338.92444234934266</v>
      </c>
      <c r="DU49" s="60">
        <f t="shared" si="44"/>
        <v>208.91548891910895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11</v>
      </c>
      <c r="EJ49" s="13">
        <f>IF('Données projet'!$A$192&gt;35,EJ48+EI49-ER48,IF(A49&lt;'Données projet'!$A$192,$EG$205^A49,IF(A49='Données projet'!$A$192,'Données projet'!$B$192,EJ48+EI49-ER48)))</f>
        <v>201</v>
      </c>
      <c r="EK49" s="18">
        <f>EJ49*VLOOKUP('Données projet'!$B$15,Paramètres!$A$1:$I$89,3,0)*VLOOKUP('Données projet'!$B$15,Paramètres!$A$1:$I$89,5,0)</f>
        <v>163.05120000000002</v>
      </c>
      <c r="EL49" s="14">
        <f t="shared" si="45"/>
        <v>41.529963627394977</v>
      </c>
      <c r="EM49" s="22">
        <f t="shared" si="19"/>
        <v>356.31219331771291</v>
      </c>
      <c r="EN49" s="60">
        <f t="shared" si="20"/>
        <v>649.64552665104623</v>
      </c>
      <c r="EO49" s="60">
        <f ca="1">AVERAGE(OFFSET($EN$3,0,0,'Données projet'!$E$15+1,1))-AVERAGE(OFFSET($H$3,0,0,'Données projet'!$E$15+1,1))</f>
        <v>346.10839312896536</v>
      </c>
      <c r="EP49" s="60">
        <f t="shared" si="46"/>
        <v>196.24927250256087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5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8">
        <f t="shared" si="1"/>
        <v>387.84470769135481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projet'!$B$9,Paramètres!$A$1:$I$89,3,0)*VLOOKUP('Données projet'!$B$9,Paramètres!$A$1:$I$89,5,0)</f>
        <v>179.15040000000005</v>
      </c>
      <c r="P50" s="14">
        <f t="shared" si="33"/>
        <v>45.133113803437347</v>
      </c>
      <c r="Q50" s="22">
        <f t="shared" si="53"/>
        <v>390.62711987432004</v>
      </c>
      <c r="R50" s="60">
        <f t="shared" si="0"/>
        <v>683.96045320765336</v>
      </c>
      <c r="S50" s="60">
        <f ca="1">AVERAGE(OFFSET($R$3,0,0,'Données projet'!$E$9+1,1))-AVERAGE(OFFSET($H$3,0,0,'Données projet'!$E$9+1,1))</f>
        <v>327.62615088747526</v>
      </c>
      <c r="T50" s="60">
        <f t="shared" si="34"/>
        <v>180.48047802041276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198.00000000000006</v>
      </c>
      <c r="AJ50" s="14">
        <f>AI50*VLOOKUP('Données projet'!$B$10,Paramètres!$A$1:$I$89,3,0)*VLOOKUP('Données projet'!$B$10,Paramètres!$A$1:$I$89,5,0)</f>
        <v>166.79520000000008</v>
      </c>
      <c r="AK50" s="14">
        <f t="shared" si="35"/>
        <v>42.371461898472788</v>
      </c>
      <c r="AL50" s="22">
        <f t="shared" si="4"/>
        <v>364.29860280650684</v>
      </c>
      <c r="AM50" s="60">
        <f t="shared" si="5"/>
        <v>657.63193613984015</v>
      </c>
      <c r="AN50" s="60">
        <f ca="1">AVERAGE(OFFSET($AM$3,0,0,'Données projet'!$E$10+1,1))-AVERAGE(OFFSET($H$3,0,0,'Données projet'!$E$10+1,1))</f>
        <v>295.5242128298583</v>
      </c>
      <c r="AO50" s="60">
        <f t="shared" si="36"/>
        <v>164.21740841327744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6.2820512820512819</v>
      </c>
      <c r="BD50" s="13">
        <f>IF('Données projet'!$A$88&gt;35,BD49+BC50-BL49,IF(A50&lt;'Données projet'!$A$88,$BA$205^A50,IF(A50='Données projet'!$A$88,'Données projet'!$B$88,BD49+BC50-BL49)))</f>
        <v>199.10256410256409</v>
      </c>
      <c r="BE50" s="14">
        <f>BD50*VLOOKUP('Données projet'!$B$11,Paramètres!$A$1:$I$89,3,0)*VLOOKUP('Données projet'!$B$11,Paramètres!$A$1:$I$89,5,0)</f>
        <v>189.46600000000001</v>
      </c>
      <c r="BF50" s="14">
        <f t="shared" si="37"/>
        <v>47.421873701491535</v>
      </c>
      <c r="BG50" s="22">
        <f t="shared" si="7"/>
        <v>412.57971336343115</v>
      </c>
      <c r="BH50" s="60">
        <f t="shared" si="8"/>
        <v>705.91304669676447</v>
      </c>
      <c r="BI50" s="60">
        <f ca="1">AVERAGE(OFFSET($BH$3,0,0,'Données projet'!$E$11+1,1))-AVERAGE(OFFSET($H$3,0,0,'Données projet'!$E$11+1,1))</f>
        <v>276.19649531804959</v>
      </c>
      <c r="BJ50" s="60">
        <f t="shared" si="38"/>
        <v>253.14970964973463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6.6</v>
      </c>
      <c r="BY50" s="13">
        <f>IF('Données projet'!$A$114&gt;35,BY49+BX50-CG49,IF(A50&lt;'Données projet'!$A$114,$BV$205^A50,IF(A50='Données projet'!$A$114,'Données projet'!$B$114,BY49+BX50-CG49)))</f>
        <v>220.20000000000007</v>
      </c>
      <c r="BZ50" s="14">
        <f>BY50*VLOOKUP('Données projet'!$B$12,Paramètres!$A$1:$I$89,3,0)*VLOOKUP('Données projet'!$B$12,Paramètres!$A$1:$I$89,5,0)</f>
        <v>144.27504000000005</v>
      </c>
      <c r="CA50" s="14">
        <f t="shared" si="39"/>
        <v>37.274636092411413</v>
      </c>
      <c r="CB50" s="22">
        <f t="shared" si="10"/>
        <v>316.19901919428327</v>
      </c>
      <c r="CC50" s="60">
        <f t="shared" si="11"/>
        <v>609.53235252761658</v>
      </c>
      <c r="CD50" s="60">
        <f ca="1">AVERAGE(OFFSET($CC$3,0,0,'Données projet'!$E$12+1,1))-AVERAGE(OFFSET($H$3,0,0,'Données projet'!$E$12+1,1))</f>
        <v>154.88061446835457</v>
      </c>
      <c r="CE50" s="60">
        <f t="shared" si="40"/>
        <v>201.47826692201693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1.7039559826093547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1.7039559826093547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8.8000000000000007</v>
      </c>
      <c r="CT50" s="13">
        <f>IF('Données projet'!$A$140&gt;35,CT49+CS50-DB49,IF(A50&lt;'Données projet'!$A$140,$CQ$205^A50,IF(A50='Données projet'!$A$140,'Données projet'!$B$140,CT49+CS50-DB49)))</f>
        <v>167.60000000000011</v>
      </c>
      <c r="CU50" s="18">
        <f>CT50*VLOOKUP('Données projet'!$B$13,Paramètres!$A$1:$I$89,3,0)*VLOOKUP('Données projet'!$B$13,Paramètres!$A$1:$I$89,5,0)</f>
        <v>162.10272000000009</v>
      </c>
      <c r="CV50" s="14">
        <f t="shared" si="41"/>
        <v>41.31642877835867</v>
      </c>
      <c r="CW50" s="22">
        <f t="shared" si="13"/>
        <v>354.28835078897481</v>
      </c>
      <c r="CX50" s="60">
        <f t="shared" si="14"/>
        <v>647.62168412230812</v>
      </c>
      <c r="CY50" s="60">
        <f ca="1">AVERAGE(OFFSET($CX$3,0,0,'Données projet'!$E$13+1,1))-AVERAGE(OFFSET($H$3,0,0,'Données projet'!$E$13+1,1))</f>
        <v>293.44206058086951</v>
      </c>
      <c r="CZ50" s="60">
        <f t="shared" si="42"/>
        <v>182.15909509186827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8.8000000000000007</v>
      </c>
      <c r="DO50" s="13">
        <f>IF('Données projet'!$A$166&gt;35,DO49+DN50-DW49,IF(A50&lt;'Données projet'!$A$166,$DL$205^A50,IF(A50='Données projet'!$A$166,'Données projet'!$B$166,DO49+DN50-DW49)))</f>
        <v>167.60000000000011</v>
      </c>
      <c r="DP50" s="18">
        <f>DO50*VLOOKUP('Données projet'!$B$14,Paramètres!$A$1:$I$89,3,0)*VLOOKUP('Données projet'!$B$14,Paramètres!$A$1:$I$89,5,0)</f>
        <v>180.40464000000011</v>
      </c>
      <c r="DQ50" s="14">
        <f t="shared" si="43"/>
        <v>45.412199343068252</v>
      </c>
      <c r="DR50" s="22">
        <f t="shared" si="16"/>
        <v>393.29766185584407</v>
      </c>
      <c r="DS50" s="60">
        <f t="shared" si="17"/>
        <v>686.63099518917738</v>
      </c>
      <c r="DT50" s="60">
        <f ca="1">AVERAGE(OFFSET($DS$3,0,0,'Données projet'!$E$14+1,1))-AVERAGE(OFFSET($H$3,0,0,'Données projet'!$E$14+1,1))</f>
        <v>338.92444234934266</v>
      </c>
      <c r="DU50" s="60">
        <f t="shared" si="44"/>
        <v>208.91548891910895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11</v>
      </c>
      <c r="EJ50" s="13">
        <f>IF('Données projet'!$A$192&gt;35,EJ49+EI50-ER49,IF(A50&lt;'Données projet'!$A$192,$EG$205^A50,IF(A50='Données projet'!$A$192,'Données projet'!$B$192,EJ49+EI50-ER49)))</f>
        <v>212</v>
      </c>
      <c r="EK50" s="18">
        <f>EJ50*VLOOKUP('Données projet'!$B$15,Paramètres!$A$1:$I$89,3,0)*VLOOKUP('Données projet'!$B$15,Paramètres!$A$1:$I$89,5,0)</f>
        <v>171.97440000000003</v>
      </c>
      <c r="EL50" s="14">
        <f t="shared" si="45"/>
        <v>43.531925888246164</v>
      </c>
      <c r="EM50" s="22">
        <f t="shared" si="19"/>
        <v>375.34018425536209</v>
      </c>
      <c r="EN50" s="60">
        <f t="shared" si="20"/>
        <v>668.6735175886954</v>
      </c>
      <c r="EO50" s="60">
        <f ca="1">AVERAGE(OFFSET($EN$3,0,0,'Données projet'!$E$15+1,1))-AVERAGE(OFFSET($H$3,0,0,'Données projet'!$E$15+1,1))</f>
        <v>346.10839312896536</v>
      </c>
      <c r="EP50" s="60">
        <f t="shared" si="46"/>
        <v>196.24927250256087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5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8">
        <f t="shared" si="1"/>
        <v>389.80128729473108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projet'!$B$9,Paramètres!$A$1:$I$89,3,0)*VLOOKUP('Données projet'!$B$9,Paramètres!$A$1:$I$89,5,0)</f>
        <v>189.10320000000004</v>
      </c>
      <c r="P51" s="14">
        <f t="shared" si="33"/>
        <v>47.341628542787163</v>
      </c>
      <c r="Q51" s="22">
        <f t="shared" si="53"/>
        <v>411.8080763786877</v>
      </c>
      <c r="R51" s="60">
        <f t="shared" si="0"/>
        <v>705.14140971202096</v>
      </c>
      <c r="S51" s="60">
        <f ca="1">AVERAGE(OFFSET($R$3,0,0,'Données projet'!$E$9+1,1))-AVERAGE(OFFSET($H$3,0,0,'Données projet'!$E$9+1,1))</f>
        <v>327.62615088747526</v>
      </c>
      <c r="T51" s="60">
        <f t="shared" si="34"/>
        <v>180.48047802041276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209.00000000000006</v>
      </c>
      <c r="AJ51" s="14">
        <f>AI51*VLOOKUP('Données projet'!$B$10,Paramètres!$A$1:$I$89,3,0)*VLOOKUP('Données projet'!$B$10,Paramètres!$A$1:$I$89,5,0)</f>
        <v>176.06160000000008</v>
      </c>
      <c r="AK51" s="14">
        <f t="shared" si="35"/>
        <v>44.444839741138928</v>
      </c>
      <c r="AL51" s="22">
        <f t="shared" si="4"/>
        <v>384.04871588248375</v>
      </c>
      <c r="AM51" s="60">
        <f t="shared" si="5"/>
        <v>677.38204921581701</v>
      </c>
      <c r="AN51" s="60">
        <f ca="1">AVERAGE(OFFSET($AM$3,0,0,'Données projet'!$E$10+1,1))-AVERAGE(OFFSET($H$3,0,0,'Données projet'!$E$10+1,1))</f>
        <v>295.5242128298583</v>
      </c>
      <c r="AO51" s="60">
        <f t="shared" si="36"/>
        <v>164.21740841327744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6.2820512820512819</v>
      </c>
      <c r="BD51" s="13">
        <f>IF('Données projet'!$A$88&gt;35,BD50+BC51-BL50,IF(A51&lt;'Données projet'!$A$88,$BA$205^A51,IF(A51='Données projet'!$A$88,'Données projet'!$B$88,BD50+BC51-BL50)))</f>
        <v>205.38461538461536</v>
      </c>
      <c r="BE51" s="14">
        <f>BD51*VLOOKUP('Données projet'!$B$11,Paramètres!$A$1:$I$89,3,0)*VLOOKUP('Données projet'!$B$11,Paramètres!$A$1:$I$89,5,0)</f>
        <v>195.44399999999999</v>
      </c>
      <c r="BF51" s="14">
        <f t="shared" si="37"/>
        <v>48.741557949917805</v>
      </c>
      <c r="BG51" s="22">
        <f t="shared" si="7"/>
        <v>425.28984676277349</v>
      </c>
      <c r="BH51" s="60">
        <f t="shared" si="8"/>
        <v>718.62318009610681</v>
      </c>
      <c r="BI51" s="60">
        <f ca="1">AVERAGE(OFFSET($BH$3,0,0,'Données projet'!$E$11+1,1))-AVERAGE(OFFSET($H$3,0,0,'Données projet'!$E$11+1,1))</f>
        <v>276.19649531804959</v>
      </c>
      <c r="BJ51" s="60">
        <f t="shared" si="38"/>
        <v>253.14970964973463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6.6</v>
      </c>
      <c r="BY51" s="13">
        <f>IF('Données projet'!$A$114&gt;35,BY50+BX51-CG50,IF(A51&lt;'Données projet'!$A$114,$BV$205^A51,IF(A51='Données projet'!$A$114,'Données projet'!$B$114,BY50+BX51-CG50)))</f>
        <v>226.80000000000007</v>
      </c>
      <c r="BZ51" s="14">
        <f>BY51*VLOOKUP('Données projet'!$B$12,Paramètres!$A$1:$I$89,3,0)*VLOOKUP('Données projet'!$B$12,Paramètres!$A$1:$I$89,5,0)</f>
        <v>148.59936000000005</v>
      </c>
      <c r="CA51" s="14">
        <f t="shared" si="39"/>
        <v>38.26011157093118</v>
      </c>
      <c r="CB51" s="22">
        <f t="shared" si="10"/>
        <v>325.44691298603851</v>
      </c>
      <c r="CC51" s="60">
        <f t="shared" si="11"/>
        <v>618.78024631937183</v>
      </c>
      <c r="CD51" s="60">
        <f ca="1">AVERAGE(OFFSET($CC$3,0,0,'Données projet'!$E$12+1,1))-AVERAGE(OFFSET($H$3,0,0,'Données projet'!$E$12+1,1))</f>
        <v>154.88061446835457</v>
      </c>
      <c r="CE51" s="60">
        <f t="shared" si="40"/>
        <v>201.47826692201693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1.6573612166577512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1.6573612166577512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8.8000000000000007</v>
      </c>
      <c r="CT51" s="13">
        <f>IF('Données projet'!$A$140&gt;35,CT50+CS51-DB50,IF(A51&lt;'Données projet'!$A$140,$CQ$205^A51,IF(A51='Données projet'!$A$140,'Données projet'!$B$140,CT50+CS51-DB50)))</f>
        <v>176.40000000000012</v>
      </c>
      <c r="CU51" s="18">
        <f>CT51*VLOOKUP('Données projet'!$B$13,Paramètres!$A$1:$I$89,3,0)*VLOOKUP('Données projet'!$B$13,Paramètres!$A$1:$I$89,5,0)</f>
        <v>170.61408000000014</v>
      </c>
      <c r="CV51" s="14">
        <f t="shared" si="41"/>
        <v>43.227528202382452</v>
      </c>
      <c r="CW51" s="22">
        <f t="shared" si="13"/>
        <v>372.44080095248302</v>
      </c>
      <c r="CX51" s="60">
        <f t="shared" si="14"/>
        <v>665.77413428581633</v>
      </c>
      <c r="CY51" s="60">
        <f ca="1">AVERAGE(OFFSET($CX$3,0,0,'Données projet'!$E$13+1,1))-AVERAGE(OFFSET($H$3,0,0,'Données projet'!$E$13+1,1))</f>
        <v>293.44206058086951</v>
      </c>
      <c r="CZ51" s="60">
        <f t="shared" si="42"/>
        <v>182.15909509186827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8.8000000000000007</v>
      </c>
      <c r="DO51" s="13">
        <f>IF('Données projet'!$A$166&gt;35,DO50+DN51-DW50,IF(A51&lt;'Données projet'!$A$166,$DL$205^A51,IF(A51='Données projet'!$A$166,'Données projet'!$B$166,DO50+DN51-DW50)))</f>
        <v>176.40000000000012</v>
      </c>
      <c r="DP51" s="18">
        <f>DO51*VLOOKUP('Données projet'!$B$14,Paramètres!$A$1:$I$89,3,0)*VLOOKUP('Données projet'!$B$14,Paramètres!$A$1:$I$89,5,0)</f>
        <v>189.87696000000014</v>
      </c>
      <c r="DQ51" s="14">
        <f t="shared" si="43"/>
        <v>47.512749428695443</v>
      </c>
      <c r="DR51" s="22">
        <f t="shared" si="16"/>
        <v>413.45374392164484</v>
      </c>
      <c r="DS51" s="60">
        <f t="shared" si="17"/>
        <v>706.78707725497816</v>
      </c>
      <c r="DT51" s="60">
        <f ca="1">AVERAGE(OFFSET($DS$3,0,0,'Données projet'!$E$14+1,1))-AVERAGE(OFFSET($H$3,0,0,'Données projet'!$E$14+1,1))</f>
        <v>338.92444234934266</v>
      </c>
      <c r="DU51" s="60">
        <f t="shared" si="44"/>
        <v>208.91548891910895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11</v>
      </c>
      <c r="EJ51" s="13">
        <f>IF('Données projet'!$A$192&gt;35,EJ50+EI51-ER50,IF(A51&lt;'Données projet'!$A$192,$EG$205^A51,IF(A51='Données projet'!$A$192,'Données projet'!$B$192,EJ50+EI51-ER50)))</f>
        <v>223</v>
      </c>
      <c r="EK51" s="18">
        <f>EJ51*VLOOKUP('Données projet'!$B$15,Paramètres!$A$1:$I$89,3,0)*VLOOKUP('Données projet'!$B$15,Paramètres!$A$1:$I$89,5,0)</f>
        <v>180.89760000000001</v>
      </c>
      <c r="EL51" s="14">
        <f t="shared" si="45"/>
        <v>45.521827778957686</v>
      </c>
      <c r="EM51" s="22">
        <f t="shared" si="19"/>
        <v>394.3471700483513</v>
      </c>
      <c r="EN51" s="60">
        <f t="shared" si="20"/>
        <v>687.68050338168462</v>
      </c>
      <c r="EO51" s="60">
        <f ca="1">AVERAGE(OFFSET($EN$3,0,0,'Données projet'!$E$15+1,1))-AVERAGE(OFFSET($H$3,0,0,'Données projet'!$E$15+1,1))</f>
        <v>346.10839312896536</v>
      </c>
      <c r="EP51" s="60">
        <f t="shared" si="46"/>
        <v>196.24927250256087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5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8">
        <f t="shared" si="1"/>
        <v>391.75687888862672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projet'!$B$9,Paramètres!$A$1:$I$89,3,0)*VLOOKUP('Données projet'!$B$9,Paramètres!$A$1:$I$89,5,0)</f>
        <v>199.05600000000004</v>
      </c>
      <c r="P52" s="14">
        <f t="shared" si="33"/>
        <v>49.536648006253934</v>
      </c>
      <c r="Q52" s="22">
        <f t="shared" si="53"/>
        <v>432.96552861089231</v>
      </c>
      <c r="R52" s="60">
        <f t="shared" si="0"/>
        <v>726.29886194422556</v>
      </c>
      <c r="S52" s="60">
        <f ca="1">AVERAGE(OFFSET($R$3,0,0,'Données projet'!$E$9+1,1))-AVERAGE(OFFSET($H$3,0,0,'Données projet'!$E$9+1,1))</f>
        <v>327.62615088747526</v>
      </c>
      <c r="T52" s="60">
        <f t="shared" si="34"/>
        <v>180.48047802041276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220.00000000000006</v>
      </c>
      <c r="AJ52" s="14">
        <f>AI52*VLOOKUP('Données projet'!$B$10,Paramètres!$A$1:$I$89,3,0)*VLOOKUP('Données projet'!$B$10,Paramètres!$A$1:$I$89,5,0)</f>
        <v>185.32800000000006</v>
      </c>
      <c r="AK52" s="14">
        <f t="shared" si="35"/>
        <v>46.505548070897625</v>
      </c>
      <c r="AL52" s="22">
        <f t="shared" si="4"/>
        <v>403.77676289014676</v>
      </c>
      <c r="AM52" s="60">
        <f t="shared" si="5"/>
        <v>697.11009622348001</v>
      </c>
      <c r="AN52" s="60">
        <f ca="1">AVERAGE(OFFSET($AM$3,0,0,'Données projet'!$E$10+1,1))-AVERAGE(OFFSET($H$3,0,0,'Données projet'!$E$10+1,1))</f>
        <v>295.5242128298583</v>
      </c>
      <c r="AO52" s="60">
        <f t="shared" si="36"/>
        <v>164.21740841327744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6.2820512820512819</v>
      </c>
      <c r="BD52" s="13">
        <f>IF('Données projet'!$A$88&gt;35,BD51+BC52-BL51,IF(A52&lt;'Données projet'!$A$88,$BA$205^A52,IF(A52='Données projet'!$A$88,'Données projet'!$B$88,BD51+BC52-BL51)))</f>
        <v>211.66666666666663</v>
      </c>
      <c r="BE52" s="14">
        <f>BD52*VLOOKUP('Données projet'!$B$11,Paramètres!$A$1:$I$89,3,0)*VLOOKUP('Données projet'!$B$11,Paramètres!$A$1:$I$89,5,0)</f>
        <v>201.42199999999997</v>
      </c>
      <c r="BF52" s="14">
        <f t="shared" si="37"/>
        <v>50.056551308279687</v>
      </c>
      <c r="BG52" s="22">
        <f t="shared" si="7"/>
        <v>437.99181019525372</v>
      </c>
      <c r="BH52" s="60">
        <f t="shared" si="8"/>
        <v>731.32514352858698</v>
      </c>
      <c r="BI52" s="60">
        <f ca="1">AVERAGE(OFFSET($BH$3,0,0,'Données projet'!$E$11+1,1))-AVERAGE(OFFSET($H$3,0,0,'Données projet'!$E$11+1,1))</f>
        <v>276.19649531804959</v>
      </c>
      <c r="BJ52" s="60">
        <f t="shared" si="38"/>
        <v>253.14970964973463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6.6</v>
      </c>
      <c r="BY52" s="13">
        <f>IF('Données projet'!$A$114&gt;35,BY51+BX52-CG51,IF(A52&lt;'Données projet'!$A$114,$BV$205^A52,IF(A52='Données projet'!$A$114,'Données projet'!$B$114,BY51+BX52-CG51)))</f>
        <v>233.40000000000006</v>
      </c>
      <c r="BZ52" s="14">
        <f>BY52*VLOOKUP('Données projet'!$B$12,Paramètres!$A$1:$I$89,3,0)*VLOOKUP('Données projet'!$B$12,Paramètres!$A$1:$I$89,5,0)</f>
        <v>152.92368000000005</v>
      </c>
      <c r="CA52" s="14">
        <f t="shared" si="39"/>
        <v>39.242254096949601</v>
      </c>
      <c r="CB52" s="22">
        <f t="shared" si="10"/>
        <v>334.68900188552061</v>
      </c>
      <c r="CC52" s="60">
        <f t="shared" si="11"/>
        <v>628.02233521885387</v>
      </c>
      <c r="CD52" s="60">
        <f ca="1">AVERAGE(OFFSET($CC$3,0,0,'Données projet'!$E$12+1,1))-AVERAGE(OFFSET($H$3,0,0,'Données projet'!$E$12+1,1))</f>
        <v>154.88061446835457</v>
      </c>
      <c r="CE52" s="60">
        <f t="shared" si="40"/>
        <v>201.47826692201693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1.6120405870314065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1.6120405870314065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8.8000000000000007</v>
      </c>
      <c r="CT52" s="13">
        <f>IF('Données projet'!$A$140&gt;35,CT51+CS52-DB51,IF(A52&lt;'Données projet'!$A$140,$CQ$205^A52,IF(A52='Données projet'!$A$140,'Données projet'!$B$140,CT51+CS52-DB51)))</f>
        <v>185.20000000000013</v>
      </c>
      <c r="CU52" s="18">
        <f>CT52*VLOOKUP('Données projet'!$B$13,Paramètres!$A$1:$I$89,3,0)*VLOOKUP('Données projet'!$B$13,Paramètres!$A$1:$I$89,5,0)</f>
        <v>179.12544000000014</v>
      </c>
      <c r="CV52" s="14">
        <f t="shared" si="41"/>
        <v>45.127557559237545</v>
      </c>
      <c r="CW52" s="22">
        <f t="shared" si="13"/>
        <v>390.57397074900564</v>
      </c>
      <c r="CX52" s="60">
        <f t="shared" si="14"/>
        <v>683.9073040823389</v>
      </c>
      <c r="CY52" s="60">
        <f ca="1">AVERAGE(OFFSET($CX$3,0,0,'Données projet'!$E$13+1,1))-AVERAGE(OFFSET($H$3,0,0,'Données projet'!$E$13+1,1))</f>
        <v>293.44206058086951</v>
      </c>
      <c r="CZ52" s="60">
        <f t="shared" si="42"/>
        <v>182.15909509186827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8.8000000000000007</v>
      </c>
      <c r="DO52" s="13">
        <f>IF('Données projet'!$A$166&gt;35,DO51+DN52-DW51,IF(A52&lt;'Données projet'!$A$166,$DL$205^A52,IF(A52='Données projet'!$A$166,'Données projet'!$B$166,DO51+DN52-DW51)))</f>
        <v>185.20000000000013</v>
      </c>
      <c r="DP52" s="18">
        <f>DO52*VLOOKUP('Données projet'!$B$14,Paramètres!$A$1:$I$89,3,0)*VLOOKUP('Données projet'!$B$14,Paramètres!$A$1:$I$89,5,0)</f>
        <v>199.34928000000014</v>
      </c>
      <c r="DQ52" s="14">
        <f t="shared" si="43"/>
        <v>49.601132051841724</v>
      </c>
      <c r="DR52" s="22">
        <f t="shared" si="16"/>
        <v>433.58863432362455</v>
      </c>
      <c r="DS52" s="60">
        <f t="shared" si="17"/>
        <v>726.9219676569578</v>
      </c>
      <c r="DT52" s="60">
        <f ca="1">AVERAGE(OFFSET($DS$3,0,0,'Données projet'!$E$14+1,1))-AVERAGE(OFFSET($H$3,0,0,'Données projet'!$E$14+1,1))</f>
        <v>338.92444234934266</v>
      </c>
      <c r="DU52" s="60">
        <f t="shared" si="44"/>
        <v>208.91548891910895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11</v>
      </c>
      <c r="EJ52" s="13">
        <f>IF('Données projet'!$A$192&gt;35,EJ51+EI52-ER51,IF(A52&lt;'Données projet'!$A$192,$EG$205^A52,IF(A52='Données projet'!$A$192,'Données projet'!$B$192,EJ51+EI52-ER51)))</f>
        <v>234</v>
      </c>
      <c r="EK52" s="18">
        <f>EJ52*VLOOKUP('Données projet'!$B$15,Paramètres!$A$1:$I$89,3,0)*VLOOKUP('Données projet'!$B$15,Paramètres!$A$1:$I$89,5,0)</f>
        <v>189.82080000000002</v>
      </c>
      <c r="EL52" s="14">
        <f t="shared" si="45"/>
        <v>47.500332100049796</v>
      </c>
      <c r="EM52" s="22">
        <f t="shared" si="19"/>
        <v>413.33430507425345</v>
      </c>
      <c r="EN52" s="60">
        <f t="shared" si="20"/>
        <v>706.66763840758676</v>
      </c>
      <c r="EO52" s="60">
        <f ca="1">AVERAGE(OFFSET($EN$3,0,0,'Données projet'!$E$15+1,1))-AVERAGE(OFFSET($H$3,0,0,'Données projet'!$E$15+1,1))</f>
        <v>346.10839312896536</v>
      </c>
      <c r="EP52" s="60">
        <f t="shared" si="46"/>
        <v>196.24927250256087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5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8">
        <f t="shared" si="1"/>
        <v>393.71150495996233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0">
        <f t="shared" si="0"/>
        <v>747.43411921957727</v>
      </c>
      <c r="S53" s="60">
        <f ca="1">AVERAGE(OFFSET($R$3,0,0,'Données projet'!$E$9+1,1))-AVERAGE(OFFSET($H$3,0,0,'Données projet'!$E$9+1,1))</f>
        <v>327.62615088747526</v>
      </c>
      <c r="T53" s="60">
        <f t="shared" si="34"/>
        <v>180.48047802041276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231.00000000000006</v>
      </c>
      <c r="AJ53" s="14">
        <f>AI53*VLOOKUP('Données projet'!$B$10,Paramètres!$A$1:$I$89,3,0)*VLOOKUP('Données projet'!$B$10,Paramètres!$A$1:$I$89,5,0)</f>
        <v>194.59440000000006</v>
      </c>
      <c r="AK53" s="14">
        <f t="shared" si="35"/>
        <v>48.554292648263456</v>
      </c>
      <c r="AL53" s="22">
        <f t="shared" si="4"/>
        <v>423.48397302905897</v>
      </c>
      <c r="AM53" s="60">
        <f t="shared" si="5"/>
        <v>716.81730636239229</v>
      </c>
      <c r="AN53" s="60">
        <f ca="1">AVERAGE(OFFSET($AM$3,0,0,'Données projet'!$E$10+1,1))-AVERAGE(OFFSET($H$3,0,0,'Données projet'!$E$10+1,1))</f>
        <v>295.5242128298583</v>
      </c>
      <c r="AO53" s="60">
        <f t="shared" si="36"/>
        <v>164.21740841327744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217.94871794871793</v>
      </c>
      <c r="BB53" s="13">
        <f>VLOOKUP(A53,'Données projet'!$A$87:$I$107,9,0)</f>
        <v>6.2820512820512819</v>
      </c>
      <c r="BC53" s="13">
        <f t="array" ref="BC53">INDEX(BB:BB,MIN(IF(ISNUMBER(BB53:BB249),ROW(BB53:BB249),"")))</f>
        <v>6.2820512820512819</v>
      </c>
      <c r="BD53" s="13">
        <f>IF('Données projet'!$A$88&gt;35,BD52+BC53-BL52,IF(A53&lt;'Données projet'!$A$88,$BA$205^A53,IF(A53='Données projet'!$A$88,'Données projet'!$B$88,BD52+BC53-BL52)))</f>
        <v>217.9487179487179</v>
      </c>
      <c r="BE53" s="14">
        <f>BD53*VLOOKUP('Données projet'!$B$11,Paramètres!$A$1:$I$89,3,0)*VLOOKUP('Données projet'!$B$11,Paramètres!$A$1:$I$89,5,0)</f>
        <v>207.39999999999998</v>
      </c>
      <c r="BF53" s="14">
        <f t="shared" si="37"/>
        <v>51.367008980763949</v>
      </c>
      <c r="BG53" s="22">
        <f t="shared" si="7"/>
        <v>450.68587397483049</v>
      </c>
      <c r="BH53" s="60">
        <f t="shared" si="8"/>
        <v>744.0192073081638</v>
      </c>
      <c r="BI53" s="60">
        <f ca="1">AVERAGE(OFFSET($BH$3,0,0,'Données projet'!$E$11+1,1))-AVERAGE(OFFSET($H$3,0,0,'Données projet'!$E$11+1,1))</f>
        <v>276.19649531804959</v>
      </c>
      <c r="BJ53" s="60">
        <f t="shared" si="38"/>
        <v>253.14970964973463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37.179487179487175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240</v>
      </c>
      <c r="BW53" s="13">
        <f>VLOOKUP(A53,'Données projet'!$A$113:$I$133,9,0)</f>
        <v>6.6</v>
      </c>
      <c r="BX53" s="13">
        <f t="array" ref="BX53">INDEX(BW:BW,MIN(IF(ISNUMBER(BW53:BW249),ROW(BW53:BW249),"")))</f>
        <v>6.6</v>
      </c>
      <c r="BY53" s="13">
        <f>IF('Données projet'!$A$114&gt;35,BY52+BX53-CG52,IF(A53&lt;'Données projet'!$A$114,$BV$205^A53,IF(A53='Données projet'!$A$114,'Données projet'!$B$114,BY52+BX53-CG52)))</f>
        <v>240.00000000000006</v>
      </c>
      <c r="BZ53" s="14">
        <f>BY53*VLOOKUP('Données projet'!$B$12,Paramètres!$A$1:$I$89,3,0)*VLOOKUP('Données projet'!$B$12,Paramètres!$A$1:$I$89,5,0)</f>
        <v>157.24800000000005</v>
      </c>
      <c r="CA53" s="14">
        <f t="shared" si="39"/>
        <v>40.221168744348645</v>
      </c>
      <c r="CB53" s="22">
        <f t="shared" si="10"/>
        <v>343.92546889640727</v>
      </c>
      <c r="CC53" s="60">
        <f t="shared" si="11"/>
        <v>637.25880222974058</v>
      </c>
      <c r="CD53" s="60">
        <f ca="1">AVERAGE(OFFSET($CC$3,0,0,'Données projet'!$E$12+1,1))-AVERAGE(OFFSET($H$3,0,0,'Données projet'!$E$12+1,1))</f>
        <v>154.88061446835457</v>
      </c>
      <c r="CE53" s="60">
        <f t="shared" si="40"/>
        <v>201.47826692201693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43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1.5679592524055026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1.5679592524055026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194</v>
      </c>
      <c r="CR53" s="13">
        <f>VLOOKUP(A53,'Données projet'!$A$139:$I$159,9,0)</f>
        <v>8.8000000000000007</v>
      </c>
      <c r="CS53" s="13">
        <f t="array" ref="CS53">INDEX(CR:CR,MIN(IF(ISNUMBER(CR53:CR249),ROW(CR53:CR249),"")))</f>
        <v>8.8000000000000007</v>
      </c>
      <c r="CT53" s="13">
        <f>IF('Données projet'!$A$140&gt;35,CT52+CS53-DB52,IF(A53&lt;'Données projet'!$A$140,$CQ$205^A53,IF(A53='Données projet'!$A$140,'Données projet'!$B$140,CT52+CS53-DB52)))</f>
        <v>194.00000000000014</v>
      </c>
      <c r="CU53" s="18">
        <f>CT53*VLOOKUP('Données projet'!$B$13,Paramètres!$A$1:$I$89,3,0)*VLOOKUP('Données projet'!$B$13,Paramètres!$A$1:$I$89,5,0)</f>
        <v>187.63680000000014</v>
      </c>
      <c r="CV53" s="14">
        <f t="shared" si="41"/>
        <v>47.01710291385907</v>
      </c>
      <c r="CW53" s="22">
        <f t="shared" si="13"/>
        <v>408.68888090830478</v>
      </c>
      <c r="CX53" s="60">
        <f t="shared" si="14"/>
        <v>702.02221424163804</v>
      </c>
      <c r="CY53" s="60">
        <f ca="1">AVERAGE(OFFSET($CX$3,0,0,'Données projet'!$E$13+1,1))-AVERAGE(OFFSET($H$3,0,0,'Données projet'!$E$13+1,1))</f>
        <v>293.44206058086951</v>
      </c>
      <c r="CZ53" s="60">
        <f t="shared" si="42"/>
        <v>182.15909509186827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194</v>
      </c>
      <c r="DM53" s="13">
        <f>VLOOKUP(A53,'Données projet'!$A$165:$I$185,9,0)</f>
        <v>8.8000000000000007</v>
      </c>
      <c r="DN53" s="13">
        <f t="array" ref="DN53">INDEX(DM:DM,MIN(IF(ISNUMBER(DM53:DM249),ROW(DM53:DM249),"")))</f>
        <v>8.8000000000000007</v>
      </c>
      <c r="DO53" s="13">
        <f>IF('Données projet'!$A$166&gt;35,DO52+DN53-DW52,IF(A53&lt;'Données projet'!$A$166,$DL$205^A53,IF(A53='Données projet'!$A$166,'Données projet'!$B$166,DO52+DN53-DW52)))</f>
        <v>194.00000000000014</v>
      </c>
      <c r="DP53" s="18">
        <f>DO53*VLOOKUP('Données projet'!$B$14,Paramètres!$A$1:$I$89,3,0)*VLOOKUP('Données projet'!$B$14,Paramètres!$A$1:$I$89,5,0)</f>
        <v>208.82160000000016</v>
      </c>
      <c r="DQ53" s="14">
        <f t="shared" si="43"/>
        <v>51.677991375094443</v>
      </c>
      <c r="DR53" s="22">
        <f t="shared" si="16"/>
        <v>453.70345497828976</v>
      </c>
      <c r="DS53" s="60">
        <f t="shared" si="17"/>
        <v>747.03678831162301</v>
      </c>
      <c r="DT53" s="60">
        <f ca="1">AVERAGE(OFFSET($DS$3,0,0,'Données projet'!$E$14+1,1))-AVERAGE(OFFSET($H$3,0,0,'Données projet'!$E$14+1,1))</f>
        <v>338.92444234934266</v>
      </c>
      <c r="DU53" s="60">
        <f t="shared" si="44"/>
        <v>208.91548891910895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245</v>
      </c>
      <c r="EH53" s="13">
        <f>VLOOKUP(A53,'Données projet'!$A$191:$I$211,9,0)</f>
        <v>11</v>
      </c>
      <c r="EI53" s="13">
        <f t="array" ref="EI53">INDEX(EH:EH,MIN(IF(ISNUMBER(EH53:EH249),ROW(EH53:EH249),"")))</f>
        <v>11</v>
      </c>
      <c r="EJ53" s="13">
        <f>IF('Données projet'!$A$192&gt;35,EJ52+EI53-ER52,IF(A53&lt;'Données projet'!$A$192,$EG$205^A53,IF(A53='Données projet'!$A$192,'Données projet'!$B$192,EJ52+EI53-ER52)))</f>
        <v>245</v>
      </c>
      <c r="EK53" s="18">
        <f>EJ53*VLOOKUP('Données projet'!$B$15,Paramètres!$A$1:$I$89,3,0)*VLOOKUP('Données projet'!$B$15,Paramètres!$A$1:$I$89,5,0)</f>
        <v>198.74400000000003</v>
      </c>
      <c r="EL53" s="14">
        <f t="shared" si="45"/>
        <v>49.468035816012197</v>
      </c>
      <c r="EM53" s="22">
        <f t="shared" si="19"/>
        <v>432.30262904622123</v>
      </c>
      <c r="EN53" s="60">
        <f t="shared" si="20"/>
        <v>725.63596237955448</v>
      </c>
      <c r="EO53" s="60">
        <f ca="1">AVERAGE(OFFSET($EN$3,0,0,'Données projet'!$E$15+1,1))-AVERAGE(OFFSET($H$3,0,0,'Données projet'!$E$15+1,1))</f>
        <v>346.10839312896536</v>
      </c>
      <c r="EP53" s="60">
        <f t="shared" si="46"/>
        <v>196.24927250256087</v>
      </c>
      <c r="EQ53" s="16">
        <f>IF(ISNA(VLOOKUP(A53,'Données projet'!$A$191:$I$211,3,0)),0,VLOOKUP(A53,'Données projet'!$A$191:$I$211,3,0))</f>
        <v>3</v>
      </c>
      <c r="ER53" s="16">
        <f>IF(ISNA(VLOOKUP(A53,'Données projet'!$A$191:$I$211,4,0)),0,VLOOKUP(A53,'Données projet'!$A$191:$I$211,4,0))</f>
        <v>56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5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8">
        <f t="shared" si="1"/>
        <v>395.66518704474902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projet'!$B$9,Paramètres!$A$1:$I$89,3,0)*VLOOKUP('Données projet'!$B$9,Paramètres!$A$1:$I$89,5,0)</f>
        <v>218.23776000000004</v>
      </c>
      <c r="P54" s="14">
        <f t="shared" si="33"/>
        <v>53.731692470599071</v>
      </c>
      <c r="Q54" s="22">
        <f t="shared" si="53"/>
        <v>473.68012971962668</v>
      </c>
      <c r="R54" s="60">
        <f t="shared" si="0"/>
        <v>767.01346305295999</v>
      </c>
      <c r="S54" s="60">
        <f ca="1">AVERAGE(OFFSET($R$3,0,0,'Données projet'!$E$9+1,1))-AVERAGE(OFFSET($H$3,0,0,'Données projet'!$E$9+1,1))</f>
        <v>327.62615088747526</v>
      </c>
      <c r="T54" s="60">
        <f t="shared" si="34"/>
        <v>180.48047802041276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241.20000000000005</v>
      </c>
      <c r="AJ54" s="14">
        <f>AI54*VLOOKUP('Données projet'!$B$10,Paramètres!$A$1:$I$89,3,0)*VLOOKUP('Données projet'!$B$10,Paramètres!$A$1:$I$89,5,0)</f>
        <v>203.18688000000009</v>
      </c>
      <c r="AK54" s="14">
        <f t="shared" si="35"/>
        <v>50.443901791793827</v>
      </c>
      <c r="AL54" s="22">
        <f t="shared" si="4"/>
        <v>441.74027828737439</v>
      </c>
      <c r="AM54" s="60">
        <f t="shared" si="5"/>
        <v>735.07361162070765</v>
      </c>
      <c r="AN54" s="60">
        <f ca="1">AVERAGE(OFFSET($AM$3,0,0,'Données projet'!$E$10+1,1))-AVERAGE(OFFSET($H$3,0,0,'Données projet'!$E$10+1,1))</f>
        <v>295.5242128298583</v>
      </c>
      <c r="AO54" s="60">
        <f t="shared" si="36"/>
        <v>164.21740841327744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5.8974358974359005</v>
      </c>
      <c r="BD54" s="13">
        <f>IF('Données projet'!$A$88&gt;35,BD53+BC54-BL53,IF(A54&lt;'Données projet'!$A$88,$BA$205^A54,IF(A54='Données projet'!$A$88,'Données projet'!$B$88,BD53+BC54-BL53)))</f>
        <v>186.66666666666663</v>
      </c>
      <c r="BE54" s="14">
        <f>BD54*VLOOKUP('Données projet'!$B$11,Paramètres!$A$1:$I$89,3,0)*VLOOKUP('Données projet'!$B$11,Paramètres!$A$1:$I$89,5,0)</f>
        <v>177.63199999999998</v>
      </c>
      <c r="BF54" s="14">
        <f t="shared" si="37"/>
        <v>44.794944431725291</v>
      </c>
      <c r="BG54" s="22">
        <f t="shared" si="7"/>
        <v>387.3935948852548</v>
      </c>
      <c r="BH54" s="60">
        <f t="shared" si="8"/>
        <v>680.72692821858811</v>
      </c>
      <c r="BI54" s="60">
        <f ca="1">AVERAGE(OFFSET($BH$3,0,0,'Données projet'!$E$11+1,1))-AVERAGE(OFFSET($H$3,0,0,'Données projet'!$E$11+1,1))</f>
        <v>276.19649531804959</v>
      </c>
      <c r="BJ54" s="60">
        <f t="shared" si="38"/>
        <v>253.14970964973463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5.2</v>
      </c>
      <c r="BY54" s="13">
        <f>IF('Données projet'!$A$114&gt;35,BY53+BX54-CG53,IF(A54&lt;'Données projet'!$A$114,$BV$205^A54,IF(A54='Données projet'!$A$114,'Données projet'!$B$114,BY53+BX54-CG53)))</f>
        <v>202.20000000000005</v>
      </c>
      <c r="BZ54" s="14">
        <f>BY54*VLOOKUP('Données projet'!$B$12,Paramètres!$A$1:$I$89,3,0)*VLOOKUP('Données projet'!$B$12,Paramètres!$A$1:$I$89,5,0)</f>
        <v>132.48144000000005</v>
      </c>
      <c r="CA54" s="14">
        <f t="shared" si="39"/>
        <v>34.569114749996544</v>
      </c>
      <c r="CB54" s="22">
        <f t="shared" si="10"/>
        <v>290.94638285624404</v>
      </c>
      <c r="CC54" s="60">
        <f t="shared" si="11"/>
        <v>584.27971618957736</v>
      </c>
      <c r="CD54" s="60">
        <f ca="1">AVERAGE(OFFSET($CC$3,0,0,'Données projet'!$E$12+1,1))-AVERAGE(OFFSET($H$3,0,0,'Données projet'!$E$12+1,1))</f>
        <v>154.88061446835457</v>
      </c>
      <c r="CE54" s="60">
        <f t="shared" si="40"/>
        <v>201.47826692201693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1.5250833241930806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1.5250833241930806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8.6</v>
      </c>
      <c r="CT54" s="13">
        <f>IF('Données projet'!$A$140&gt;35,CT53+CS54-DB53,IF(A54&lt;'Données projet'!$A$140,$CQ$205^A54,IF(A54='Données projet'!$A$140,'Données projet'!$B$140,CT53+CS54-DB53)))</f>
        <v>202.60000000000014</v>
      </c>
      <c r="CU54" s="18">
        <f>CT54*VLOOKUP('Données projet'!$B$13,Paramètres!$A$1:$I$89,3,0)*VLOOKUP('Données projet'!$B$13,Paramètres!$A$1:$I$89,5,0)</f>
        <v>195.95472000000012</v>
      </c>
      <c r="CV54" s="14">
        <f t="shared" si="41"/>
        <v>48.854083111860227</v>
      </c>
      <c r="CW54" s="22">
        <f t="shared" si="13"/>
        <v>426.37533208649006</v>
      </c>
      <c r="CX54" s="60">
        <f t="shared" si="14"/>
        <v>719.70866541982332</v>
      </c>
      <c r="CY54" s="60">
        <f ca="1">AVERAGE(OFFSET($CX$3,0,0,'Données projet'!$E$13+1,1))-AVERAGE(OFFSET($H$3,0,0,'Données projet'!$E$13+1,1))</f>
        <v>293.44206058086951</v>
      </c>
      <c r="CZ54" s="60">
        <f t="shared" si="42"/>
        <v>182.15909509186827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8.6</v>
      </c>
      <c r="DO54" s="13">
        <f>IF('Données projet'!$A$166&gt;35,DO53+DN54-DW53,IF(A54&lt;'Données projet'!$A$166,$DL$205^A54,IF(A54='Données projet'!$A$166,'Données projet'!$B$166,DO53+DN54-DW53)))</f>
        <v>202.60000000000014</v>
      </c>
      <c r="DP54" s="18">
        <f>DO54*VLOOKUP('Données projet'!$B$14,Paramètres!$A$1:$I$89,3,0)*VLOOKUP('Données projet'!$B$14,Paramètres!$A$1:$I$89,5,0)</f>
        <v>218.07864000000015</v>
      </c>
      <c r="DQ54" s="14">
        <f t="shared" si="43"/>
        <v>53.697074664901749</v>
      </c>
      <c r="DR54" s="22">
        <f t="shared" si="16"/>
        <v>473.34270304137073</v>
      </c>
      <c r="DS54" s="60">
        <f t="shared" si="17"/>
        <v>766.67603637470404</v>
      </c>
      <c r="DT54" s="60">
        <f ca="1">AVERAGE(OFFSET($DS$3,0,0,'Données projet'!$E$14+1,1))-AVERAGE(OFFSET($H$3,0,0,'Données projet'!$E$14+1,1))</f>
        <v>338.92444234934266</v>
      </c>
      <c r="DU54" s="60">
        <f t="shared" si="44"/>
        <v>208.91548891910895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11</v>
      </c>
      <c r="EJ54" s="13">
        <f>IF('Données projet'!$A$192&gt;35,EJ53+EI54-ER53,IF(A54&lt;'Données projet'!$A$192,$EG$205^A54,IF(A54='Données projet'!$A$192,'Données projet'!$B$192,EJ53+EI54-ER53)))</f>
        <v>200</v>
      </c>
      <c r="EK54" s="18">
        <f>EJ54*VLOOKUP('Données projet'!$B$15,Paramètres!$A$1:$I$89,3,0)*VLOOKUP('Données projet'!$B$15,Paramètres!$A$1:$I$89,5,0)</f>
        <v>162.24</v>
      </c>
      <c r="EL54" s="14">
        <f t="shared" si="45"/>
        <v>41.347344120141088</v>
      </c>
      <c r="EM54" s="22">
        <f t="shared" si="19"/>
        <v>354.58129100924572</v>
      </c>
      <c r="EN54" s="60">
        <f t="shared" si="20"/>
        <v>647.91462434257903</v>
      </c>
      <c r="EO54" s="60">
        <f ca="1">AVERAGE(OFFSET($EN$3,0,0,'Données projet'!$E$15+1,1))-AVERAGE(OFFSET($H$3,0,0,'Données projet'!$E$15+1,1))</f>
        <v>346.10839312896536</v>
      </c>
      <c r="EP54" s="60">
        <f t="shared" si="46"/>
        <v>196.24927250256087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5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8">
        <f t="shared" si="1"/>
        <v>397.61794578614325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projet'!$B$9,Paramètres!$A$1:$I$89,3,0)*VLOOKUP('Données projet'!$B$9,Paramètres!$A$1:$I$89,5,0)</f>
        <v>227.46672000000004</v>
      </c>
      <c r="P55" s="14">
        <f t="shared" si="33"/>
        <v>55.734574592438989</v>
      </c>
      <c r="Q55" s="22">
        <f t="shared" si="53"/>
        <v>493.24225474849794</v>
      </c>
      <c r="R55" s="60">
        <f t="shared" si="0"/>
        <v>786.57558808183126</v>
      </c>
      <c r="S55" s="60">
        <f ca="1">AVERAGE(OFFSET($R$3,0,0,'Données projet'!$E$9+1,1))-AVERAGE(OFFSET($H$3,0,0,'Données projet'!$E$9+1,1))</f>
        <v>327.62615088747526</v>
      </c>
      <c r="T55" s="60">
        <f t="shared" si="34"/>
        <v>180.48047802041276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251.40000000000003</v>
      </c>
      <c r="AJ55" s="14">
        <f>AI55*VLOOKUP('Données projet'!$B$10,Paramètres!$A$1:$I$89,3,0)*VLOOKUP('Données projet'!$B$10,Paramètres!$A$1:$I$89,5,0)</f>
        <v>211.77936000000005</v>
      </c>
      <c r="AK55" s="14">
        <f t="shared" si="35"/>
        <v>52.324229479404138</v>
      </c>
      <c r="AL55" s="22">
        <f t="shared" si="4"/>
        <v>459.98041834329564</v>
      </c>
      <c r="AM55" s="60">
        <f t="shared" si="5"/>
        <v>753.31375167662895</v>
      </c>
      <c r="AN55" s="60">
        <f ca="1">AVERAGE(OFFSET($AM$3,0,0,'Données projet'!$E$10+1,1))-AVERAGE(OFFSET($H$3,0,0,'Données projet'!$E$10+1,1))</f>
        <v>295.5242128298583</v>
      </c>
      <c r="AO55" s="60">
        <f t="shared" si="36"/>
        <v>164.21740841327744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5.8974358974359005</v>
      </c>
      <c r="BD55" s="13">
        <f>IF('Données projet'!$A$88&gt;35,BD54+BC55-BL54,IF(A55&lt;'Données projet'!$A$88,$BA$205^A55,IF(A55='Données projet'!$A$88,'Données projet'!$B$88,BD54+BC55-BL54)))</f>
        <v>192.56410256410254</v>
      </c>
      <c r="BE55" s="14">
        <f>BD55*VLOOKUP('Données projet'!$B$11,Paramètres!$A$1:$I$89,3,0)*VLOOKUP('Données projet'!$B$11,Paramètres!$A$1:$I$89,5,0)</f>
        <v>183.24399999999997</v>
      </c>
      <c r="BF55" s="14">
        <f t="shared" si="37"/>
        <v>46.043164410574995</v>
      </c>
      <c r="BG55" s="22">
        <f t="shared" si="7"/>
        <v>399.34181134841805</v>
      </c>
      <c r="BH55" s="60">
        <f t="shared" si="8"/>
        <v>692.67514468175136</v>
      </c>
      <c r="BI55" s="60">
        <f ca="1">AVERAGE(OFFSET($BH$3,0,0,'Données projet'!$E$11+1,1))-AVERAGE(OFFSET($H$3,0,0,'Données projet'!$E$11+1,1))</f>
        <v>276.19649531804959</v>
      </c>
      <c r="BJ55" s="60">
        <f t="shared" si="38"/>
        <v>253.14970964973463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5.2</v>
      </c>
      <c r="BY55" s="13">
        <f>IF('Données projet'!$A$114&gt;35,BY54+BX55-CG54,IF(A55&lt;'Données projet'!$A$114,$BV$205^A55,IF(A55='Données projet'!$A$114,'Données projet'!$B$114,BY54+BX55-CG54)))</f>
        <v>207.40000000000003</v>
      </c>
      <c r="BZ55" s="14">
        <f>BY55*VLOOKUP('Données projet'!$B$12,Paramètres!$A$1:$I$89,3,0)*VLOOKUP('Données projet'!$B$12,Paramètres!$A$1:$I$89,5,0)</f>
        <v>135.88848000000002</v>
      </c>
      <c r="CA55" s="14">
        <f t="shared" si="39"/>
        <v>35.353486228582142</v>
      </c>
      <c r="CB55" s="22">
        <f t="shared" si="10"/>
        <v>298.24642451478059</v>
      </c>
      <c r="CC55" s="60">
        <f t="shared" si="11"/>
        <v>591.5797578481139</v>
      </c>
      <c r="CD55" s="60">
        <f ca="1">AVERAGE(OFFSET($CC$3,0,0,'Données projet'!$E$12+1,1))-AVERAGE(OFFSET($H$3,0,0,'Données projet'!$E$12+1,1))</f>
        <v>154.88061446835457</v>
      </c>
      <c r="CE55" s="60">
        <f t="shared" si="40"/>
        <v>201.47826692201693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1.4833798404923744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1.4833798404923744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8.6</v>
      </c>
      <c r="CT55" s="13">
        <f>IF('Données projet'!$A$140&gt;35,CT54+CS55-DB54,IF(A55&lt;'Données projet'!$A$140,$CQ$205^A55,IF(A55='Données projet'!$A$140,'Données projet'!$B$140,CT54+CS55-DB54)))</f>
        <v>211.20000000000013</v>
      </c>
      <c r="CU55" s="18">
        <f>CT55*VLOOKUP('Données projet'!$B$13,Paramètres!$A$1:$I$89,3,0)*VLOOKUP('Données projet'!$B$13,Paramètres!$A$1:$I$89,5,0)</f>
        <v>204.27264000000011</v>
      </c>
      <c r="CV55" s="14">
        <f t="shared" si="41"/>
        <v>50.68200636458586</v>
      </c>
      <c r="CW55" s="22">
        <f t="shared" si="13"/>
        <v>444.04600908498725</v>
      </c>
      <c r="CX55" s="60">
        <f t="shared" si="14"/>
        <v>737.37934241832056</v>
      </c>
      <c r="CY55" s="60">
        <f ca="1">AVERAGE(OFFSET($CX$3,0,0,'Données projet'!$E$13+1,1))-AVERAGE(OFFSET($H$3,0,0,'Données projet'!$E$13+1,1))</f>
        <v>293.44206058086951</v>
      </c>
      <c r="CZ55" s="60">
        <f t="shared" si="42"/>
        <v>182.15909509186827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8.6</v>
      </c>
      <c r="DO55" s="13">
        <f>IF('Données projet'!$A$166&gt;35,DO54+DN55-DW54,IF(A55&lt;'Données projet'!$A$166,$DL$205^A55,IF(A55='Données projet'!$A$166,'Données projet'!$B$166,DO54+DN55-DW54)))</f>
        <v>211.20000000000013</v>
      </c>
      <c r="DP55" s="18">
        <f>DO55*VLOOKUP('Données projet'!$B$14,Paramètres!$A$1:$I$89,3,0)*VLOOKUP('Données projet'!$B$14,Paramètres!$A$1:$I$89,5,0)</f>
        <v>227.33568000000011</v>
      </c>
      <c r="DQ55" s="14">
        <f t="shared" si="43"/>
        <v>55.706203178450494</v>
      </c>
      <c r="DR55" s="22">
        <f t="shared" si="16"/>
        <v>492.96461320246812</v>
      </c>
      <c r="DS55" s="60">
        <f t="shared" si="17"/>
        <v>786.29794653580143</v>
      </c>
      <c r="DT55" s="60">
        <f ca="1">AVERAGE(OFFSET($DS$3,0,0,'Données projet'!$E$14+1,1))-AVERAGE(OFFSET($H$3,0,0,'Données projet'!$E$14+1,1))</f>
        <v>338.92444234934266</v>
      </c>
      <c r="DU55" s="60">
        <f t="shared" si="44"/>
        <v>208.91548891910895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11</v>
      </c>
      <c r="EJ55" s="13">
        <f>IF('Données projet'!$A$192&gt;35,EJ54+EI55-ER54,IF(A55&lt;'Données projet'!$A$192,$EG$205^A55,IF(A55='Données projet'!$A$192,'Données projet'!$B$192,EJ54+EI55-ER54)))</f>
        <v>211</v>
      </c>
      <c r="EK55" s="18">
        <f>EJ55*VLOOKUP('Données projet'!$B$15,Paramètres!$A$1:$I$89,3,0)*VLOOKUP('Données projet'!$B$15,Paramètres!$A$1:$I$89,5,0)</f>
        <v>171.16320000000002</v>
      </c>
      <c r="EL55" s="14">
        <f t="shared" si="45"/>
        <v>43.350438209113896</v>
      </c>
      <c r="EM55" s="22">
        <f t="shared" si="19"/>
        <v>373.61125321420673</v>
      </c>
      <c r="EN55" s="60">
        <f t="shared" si="20"/>
        <v>666.94458654753998</v>
      </c>
      <c r="EO55" s="60">
        <f ca="1">AVERAGE(OFFSET($EN$3,0,0,'Données projet'!$E$15+1,1))-AVERAGE(OFFSET($H$3,0,0,'Données projet'!$E$15+1,1))</f>
        <v>346.10839312896536</v>
      </c>
      <c r="EP55" s="60">
        <f t="shared" si="46"/>
        <v>196.24927250256087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5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8">
        <f t="shared" si="1"/>
        <v>399.56980098790956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projet'!$B$9,Paramètres!$A$1:$I$89,3,0)*VLOOKUP('Données projet'!$B$9,Paramètres!$A$1:$I$89,5,0)</f>
        <v>236.69568000000001</v>
      </c>
      <c r="P56" s="14">
        <f t="shared" si="33"/>
        <v>57.72801732243034</v>
      </c>
      <c r="Q56" s="22">
        <f t="shared" si="53"/>
        <v>512.78793950323291</v>
      </c>
      <c r="R56" s="60">
        <f t="shared" si="0"/>
        <v>806.12127283656628</v>
      </c>
      <c r="S56" s="60">
        <f ca="1">AVERAGE(OFFSET($R$3,0,0,'Données projet'!$E$9+1,1))-AVERAGE(OFFSET($H$3,0,0,'Données projet'!$E$9+1,1))</f>
        <v>327.62615088747526</v>
      </c>
      <c r="T56" s="60">
        <f t="shared" si="34"/>
        <v>180.48047802041276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261.60000000000002</v>
      </c>
      <c r="AJ56" s="14">
        <f>AI56*VLOOKUP('Données projet'!$B$10,Paramètres!$A$1:$I$89,3,0)*VLOOKUP('Données projet'!$B$10,Paramètres!$A$1:$I$89,5,0)</f>
        <v>220.37184000000002</v>
      </c>
      <c r="AK56" s="14">
        <f t="shared" si="35"/>
        <v>54.195695362491193</v>
      </c>
      <c r="AL56" s="22">
        <f t="shared" si="4"/>
        <v>478.20512408967215</v>
      </c>
      <c r="AM56" s="60">
        <f t="shared" si="5"/>
        <v>771.53845742300541</v>
      </c>
      <c r="AN56" s="60">
        <f ca="1">AVERAGE(OFFSET($AM$3,0,0,'Données projet'!$E$10+1,1))-AVERAGE(OFFSET($H$3,0,0,'Données projet'!$E$10+1,1))</f>
        <v>295.5242128298583</v>
      </c>
      <c r="AO56" s="60">
        <f t="shared" si="36"/>
        <v>164.21740841327744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5.8974358974359005</v>
      </c>
      <c r="BD56" s="13">
        <f>IF('Données projet'!$A$88&gt;35,BD55+BC56-BL55,IF(A56&lt;'Données projet'!$A$88,$BA$205^A56,IF(A56='Données projet'!$A$88,'Données projet'!$B$88,BD55+BC56-BL55)))</f>
        <v>198.46153846153845</v>
      </c>
      <c r="BE56" s="14">
        <f>BD56*VLOOKUP('Données projet'!$B$11,Paramètres!$A$1:$I$89,3,0)*VLOOKUP('Données projet'!$B$11,Paramètres!$A$1:$I$89,5,0)</f>
        <v>188.85599999999999</v>
      </c>
      <c r="BF56" s="14">
        <f t="shared" si="37"/>
        <v>47.286941864448139</v>
      </c>
      <c r="BG56" s="22">
        <f t="shared" si="7"/>
        <v>411.28229041391381</v>
      </c>
      <c r="BH56" s="60">
        <f t="shared" si="8"/>
        <v>704.61562374724713</v>
      </c>
      <c r="BI56" s="60">
        <f ca="1">AVERAGE(OFFSET($BH$3,0,0,'Données projet'!$E$11+1,1))-AVERAGE(OFFSET($H$3,0,0,'Données projet'!$E$11+1,1))</f>
        <v>276.19649531804959</v>
      </c>
      <c r="BJ56" s="60">
        <f t="shared" si="38"/>
        <v>253.14970964973463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5.2</v>
      </c>
      <c r="BY56" s="13">
        <f>IF('Données projet'!$A$114&gt;35,BY55+BX56-CG55,IF(A56&lt;'Données projet'!$A$114,$BV$205^A56,IF(A56='Données projet'!$A$114,'Données projet'!$B$114,BY55+BX56-CG55)))</f>
        <v>212.60000000000002</v>
      </c>
      <c r="BZ56" s="14">
        <f>BY56*VLOOKUP('Données projet'!$B$12,Paramètres!$A$1:$I$89,3,0)*VLOOKUP('Données projet'!$B$12,Paramètres!$A$1:$I$89,5,0)</f>
        <v>139.29552000000001</v>
      </c>
      <c r="CA56" s="14">
        <f t="shared" si="39"/>
        <v>36.135571666868977</v>
      </c>
      <c r="CB56" s="22">
        <f t="shared" si="10"/>
        <v>305.54248465313009</v>
      </c>
      <c r="CC56" s="60">
        <f t="shared" si="11"/>
        <v>598.8758179864634</v>
      </c>
      <c r="CD56" s="60">
        <f ca="1">AVERAGE(OFFSET($CC$3,0,0,'Données projet'!$E$12+1,1))-AVERAGE(OFFSET($H$3,0,0,'Données projet'!$E$12+1,1))</f>
        <v>154.88061446835457</v>
      </c>
      <c r="CE56" s="60">
        <f t="shared" si="40"/>
        <v>201.47826692201693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1.4428167407465549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1.4428167407465549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8.6</v>
      </c>
      <c r="CT56" s="13">
        <f>IF('Données projet'!$A$140&gt;35,CT55+CS56-DB55,IF(A56&lt;'Données projet'!$A$140,$CQ$205^A56,IF(A56='Données projet'!$A$140,'Données projet'!$B$140,CT55+CS56-DB55)))</f>
        <v>219.80000000000013</v>
      </c>
      <c r="CU56" s="18">
        <f>CT56*VLOOKUP('Données projet'!$B$13,Paramètres!$A$1:$I$89,3,0)*VLOOKUP('Données projet'!$B$13,Paramètres!$A$1:$I$89,5,0)</f>
        <v>212.59056000000012</v>
      </c>
      <c r="CV56" s="14">
        <f t="shared" si="41"/>
        <v>52.501283653296447</v>
      </c>
      <c r="CW56" s="22">
        <f t="shared" si="13"/>
        <v>461.70162769615814</v>
      </c>
      <c r="CX56" s="60">
        <f t="shared" si="14"/>
        <v>755.03496102949146</v>
      </c>
      <c r="CY56" s="60">
        <f ca="1">AVERAGE(OFFSET($CX$3,0,0,'Données projet'!$E$13+1,1))-AVERAGE(OFFSET($H$3,0,0,'Données projet'!$E$13+1,1))</f>
        <v>293.44206058086951</v>
      </c>
      <c r="CZ56" s="60">
        <f t="shared" si="42"/>
        <v>182.15909509186827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8.6</v>
      </c>
      <c r="DO56" s="13">
        <f>IF('Données projet'!$A$166&gt;35,DO55+DN56-DW55,IF(A56&lt;'Données projet'!$A$166,$DL$205^A56,IF(A56='Données projet'!$A$166,'Données projet'!$B$166,DO55+DN56-DW55)))</f>
        <v>219.80000000000013</v>
      </c>
      <c r="DP56" s="18">
        <f>DO56*VLOOKUP('Données projet'!$B$14,Paramètres!$A$1:$I$89,3,0)*VLOOKUP('Données projet'!$B$14,Paramètres!$A$1:$I$89,5,0)</f>
        <v>236.5927200000001</v>
      </c>
      <c r="DQ56" s="14">
        <f t="shared" si="43"/>
        <v>57.705828638299394</v>
      </c>
      <c r="DR56" s="22">
        <f t="shared" si="16"/>
        <v>512.56997221170502</v>
      </c>
      <c r="DS56" s="60">
        <f t="shared" si="17"/>
        <v>805.90330554503839</v>
      </c>
      <c r="DT56" s="60">
        <f ca="1">AVERAGE(OFFSET($DS$3,0,0,'Données projet'!$E$14+1,1))-AVERAGE(OFFSET($H$3,0,0,'Données projet'!$E$14+1,1))</f>
        <v>338.92444234934266</v>
      </c>
      <c r="DU56" s="60">
        <f t="shared" si="44"/>
        <v>208.91548891910895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11</v>
      </c>
      <c r="EJ56" s="13">
        <f>IF('Données projet'!$A$192&gt;35,EJ55+EI56-ER55,IF(A56&lt;'Données projet'!$A$192,$EG$205^A56,IF(A56='Données projet'!$A$192,'Données projet'!$B$192,EJ55+EI56-ER55)))</f>
        <v>222</v>
      </c>
      <c r="EK56" s="18">
        <f>EJ56*VLOOKUP('Données projet'!$B$15,Paramètres!$A$1:$I$89,3,0)*VLOOKUP('Données projet'!$B$15,Paramètres!$A$1:$I$89,5,0)</f>
        <v>180.0864</v>
      </c>
      <c r="EL56" s="14">
        <f t="shared" si="45"/>
        <v>45.341408037837176</v>
      </c>
      <c r="EM56" s="22">
        <f t="shared" si="19"/>
        <v>392.62009899923305</v>
      </c>
      <c r="EN56" s="60">
        <f t="shared" si="20"/>
        <v>685.95343233256631</v>
      </c>
      <c r="EO56" s="60">
        <f ca="1">AVERAGE(OFFSET($EN$3,0,0,'Données projet'!$E$15+1,1))-AVERAGE(OFFSET($H$3,0,0,'Données projet'!$E$15+1,1))</f>
        <v>346.10839312896536</v>
      </c>
      <c r="EP56" s="60">
        <f t="shared" si="46"/>
        <v>196.24927250256087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5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8">
        <f t="shared" si="1"/>
        <v>401.52077166373437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projet'!$B$9,Paramètres!$A$1:$I$89,3,0)*VLOOKUP('Données projet'!$B$9,Paramètres!$A$1:$I$89,5,0)</f>
        <v>245.92464000000001</v>
      </c>
      <c r="P57" s="14">
        <f t="shared" si="33"/>
        <v>59.712430831913537</v>
      </c>
      <c r="Q57" s="22">
        <f t="shared" si="53"/>
        <v>532.31789836558266</v>
      </c>
      <c r="R57" s="60">
        <f t="shared" si="0"/>
        <v>825.65123169891604</v>
      </c>
      <c r="S57" s="60">
        <f ca="1">AVERAGE(OFFSET($R$3,0,0,'Données projet'!$E$9+1,1))-AVERAGE(OFFSET($H$3,0,0,'Données projet'!$E$9+1,1))</f>
        <v>327.62615088747526</v>
      </c>
      <c r="T57" s="60">
        <f t="shared" si="34"/>
        <v>180.48047802041276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271.8</v>
      </c>
      <c r="AJ57" s="14">
        <f>AI57*VLOOKUP('Données projet'!$B$10,Paramètres!$A$1:$I$89,3,0)*VLOOKUP('Données projet'!$B$10,Paramètres!$A$1:$I$89,5,0)</f>
        <v>228.96432000000004</v>
      </c>
      <c r="AK57" s="14">
        <f t="shared" si="35"/>
        <v>56.058684514404661</v>
      </c>
      <c r="AL57" s="22">
        <f t="shared" si="4"/>
        <v>496.4150661959215</v>
      </c>
      <c r="AM57" s="60">
        <f t="shared" si="5"/>
        <v>789.74839952925481</v>
      </c>
      <c r="AN57" s="60">
        <f ca="1">AVERAGE(OFFSET($AM$3,0,0,'Données projet'!$E$10+1,1))-AVERAGE(OFFSET($H$3,0,0,'Données projet'!$E$10+1,1))</f>
        <v>295.5242128298583</v>
      </c>
      <c r="AO57" s="60">
        <f t="shared" si="36"/>
        <v>164.21740841327744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5.8974358974359005</v>
      </c>
      <c r="BD57" s="13">
        <f>IF('Données projet'!$A$88&gt;35,BD56+BC57-BL56,IF(A57&lt;'Données projet'!$A$88,$BA$205^A57,IF(A57='Données projet'!$A$88,'Données projet'!$B$88,BD56+BC57-BL56)))</f>
        <v>204.35897435897436</v>
      </c>
      <c r="BE57" s="14">
        <f>BD57*VLOOKUP('Données projet'!$B$11,Paramètres!$A$1:$I$89,3,0)*VLOOKUP('Données projet'!$B$11,Paramètres!$A$1:$I$89,5,0)</f>
        <v>194.46800000000002</v>
      </c>
      <c r="BF57" s="14">
        <f t="shared" si="37"/>
        <v>48.526423961998944</v>
      </c>
      <c r="BG57" s="22">
        <f t="shared" si="7"/>
        <v>423.21528840048148</v>
      </c>
      <c r="BH57" s="60">
        <f t="shared" si="8"/>
        <v>716.5486217338148</v>
      </c>
      <c r="BI57" s="60">
        <f ca="1">AVERAGE(OFFSET($BH$3,0,0,'Données projet'!$E$11+1,1))-AVERAGE(OFFSET($H$3,0,0,'Données projet'!$E$11+1,1))</f>
        <v>276.19649531804959</v>
      </c>
      <c r="BJ57" s="60">
        <f t="shared" si="38"/>
        <v>253.14970964973463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5.2</v>
      </c>
      <c r="BY57" s="13">
        <f>IF('Données projet'!$A$114&gt;35,BY56+BX57-CG56,IF(A57&lt;'Données projet'!$A$114,$BV$205^A57,IF(A57='Données projet'!$A$114,'Données projet'!$B$114,BY56+BX57-CG56)))</f>
        <v>217.8</v>
      </c>
      <c r="BZ57" s="14">
        <f>BY57*VLOOKUP('Données projet'!$B$12,Paramètres!$A$1:$I$89,3,0)*VLOOKUP('Données projet'!$B$12,Paramètres!$A$1:$I$89,5,0)</f>
        <v>142.70256000000001</v>
      </c>
      <c r="CA57" s="14">
        <f t="shared" si="39"/>
        <v>36.91543341153259</v>
      </c>
      <c r="CB57" s="22">
        <f t="shared" si="10"/>
        <v>312.83467185841931</v>
      </c>
      <c r="CC57" s="60">
        <f t="shared" si="11"/>
        <v>606.16800519175263</v>
      </c>
      <c r="CD57" s="60">
        <f ca="1">AVERAGE(OFFSET($CC$3,0,0,'Données projet'!$E$12+1,1))-AVERAGE(OFFSET($H$3,0,0,'Données projet'!$E$12+1,1))</f>
        <v>154.88061446835457</v>
      </c>
      <c r="CE57" s="60">
        <f t="shared" si="40"/>
        <v>201.47826692201693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1.4033628410964056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1.4033628410964056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8.6</v>
      </c>
      <c r="CT57" s="13">
        <f>IF('Données projet'!$A$140&gt;35,CT56+CS57-DB56,IF(A57&lt;'Données projet'!$A$140,$CQ$205^A57,IF(A57='Données projet'!$A$140,'Données projet'!$B$140,CT56+CS57-DB56)))</f>
        <v>228.40000000000012</v>
      </c>
      <c r="CU57" s="18">
        <f>CT57*VLOOKUP('Données projet'!$B$13,Paramètres!$A$1:$I$89,3,0)*VLOOKUP('Données projet'!$B$13,Paramètres!$A$1:$I$89,5,0)</f>
        <v>220.90848000000011</v>
      </c>
      <c r="CV57" s="14">
        <f t="shared" si="41"/>
        <v>54.312291977864867</v>
      </c>
      <c r="CW57" s="22">
        <f t="shared" si="13"/>
        <v>479.34284452811477</v>
      </c>
      <c r="CX57" s="60">
        <f t="shared" si="14"/>
        <v>772.67617786144808</v>
      </c>
      <c r="CY57" s="60">
        <f ca="1">AVERAGE(OFFSET($CX$3,0,0,'Données projet'!$E$13+1,1))-AVERAGE(OFFSET($H$3,0,0,'Données projet'!$E$13+1,1))</f>
        <v>293.44206058086951</v>
      </c>
      <c r="CZ57" s="60">
        <f t="shared" si="42"/>
        <v>182.15909509186827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8.6</v>
      </c>
      <c r="DO57" s="13">
        <f>IF('Données projet'!$A$166&gt;35,DO56+DN57-DW56,IF(A57&lt;'Données projet'!$A$166,$DL$205^A57,IF(A57='Données projet'!$A$166,'Données projet'!$B$166,DO56+DN57-DW56)))</f>
        <v>228.40000000000012</v>
      </c>
      <c r="DP57" s="18">
        <f>DO57*VLOOKUP('Données projet'!$B$14,Paramètres!$A$1:$I$89,3,0)*VLOOKUP('Données projet'!$B$14,Paramètres!$A$1:$I$89,5,0)</f>
        <v>245.84976000000009</v>
      </c>
      <c r="DQ57" s="14">
        <f t="shared" si="43"/>
        <v>59.696365416984804</v>
      </c>
      <c r="DR57" s="22">
        <f t="shared" si="16"/>
        <v>532.15950176791534</v>
      </c>
      <c r="DS57" s="60">
        <f t="shared" si="17"/>
        <v>825.4928351012486</v>
      </c>
      <c r="DT57" s="60">
        <f ca="1">AVERAGE(OFFSET($DS$3,0,0,'Données projet'!$E$14+1,1))-AVERAGE(OFFSET($H$3,0,0,'Données projet'!$E$14+1,1))</f>
        <v>338.92444234934266</v>
      </c>
      <c r="DU57" s="60">
        <f t="shared" si="44"/>
        <v>208.91548891910895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11</v>
      </c>
      <c r="EJ57" s="13">
        <f>IF('Données projet'!$A$192&gt;35,EJ56+EI57-ER56,IF(A57&lt;'Données projet'!$A$192,$EG$205^A57,IF(A57='Données projet'!$A$192,'Données projet'!$B$192,EJ56+EI57-ER56)))</f>
        <v>233</v>
      </c>
      <c r="EK57" s="18">
        <f>EJ57*VLOOKUP('Données projet'!$B$15,Paramètres!$A$1:$I$89,3,0)*VLOOKUP('Données projet'!$B$15,Paramètres!$A$1:$I$89,5,0)</f>
        <v>189.00960000000003</v>
      </c>
      <c r="EL57" s="14">
        <f t="shared" si="45"/>
        <v>47.320922915876508</v>
      </c>
      <c r="EM57" s="22">
        <f t="shared" si="19"/>
        <v>411.60899407848501</v>
      </c>
      <c r="EN57" s="60">
        <f t="shared" si="20"/>
        <v>704.94232741181827</v>
      </c>
      <c r="EO57" s="60">
        <f ca="1">AVERAGE(OFFSET($EN$3,0,0,'Données projet'!$E$15+1,1))-AVERAGE(OFFSET($H$3,0,0,'Données projet'!$E$15+1,1))</f>
        <v>346.10839312896536</v>
      </c>
      <c r="EP57" s="60">
        <f t="shared" si="46"/>
        <v>196.24927250256087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5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8">
        <f t="shared" si="1"/>
        <v>403.47087608278355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projet'!$B$9,Paramètres!$A$1:$I$89,3,0)*VLOOKUP('Données projet'!$B$9,Paramètres!$A$1:$I$89,5,0)</f>
        <v>255.15360000000001</v>
      </c>
      <c r="P58" s="14">
        <f t="shared" si="33"/>
        <v>61.688192762754426</v>
      </c>
      <c r="Q58" s="22">
        <f t="shared" si="53"/>
        <v>551.83278906179726</v>
      </c>
      <c r="R58" s="60">
        <f t="shared" si="0"/>
        <v>845.16612239513051</v>
      </c>
      <c r="S58" s="60">
        <f ca="1">AVERAGE(OFFSET($R$3,0,0,'Données projet'!$E$9+1,1))-AVERAGE(OFFSET($H$3,0,0,'Données projet'!$E$9+1,1))</f>
        <v>327.62615088747526</v>
      </c>
      <c r="T58" s="60">
        <f t="shared" si="34"/>
        <v>180.48047802041276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282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282</v>
      </c>
      <c r="AJ58" s="14">
        <f>AI58*VLOOKUP('Données projet'!$B$10,Paramètres!$A$1:$I$89,3,0)*VLOOKUP('Données projet'!$B$10,Paramètres!$A$1:$I$89,5,0)</f>
        <v>237.55680000000001</v>
      </c>
      <c r="AK58" s="14">
        <f t="shared" si="35"/>
        <v>57.913551469467357</v>
      </c>
      <c r="AL58" s="22">
        <f t="shared" si="4"/>
        <v>514.61086214265561</v>
      </c>
      <c r="AM58" s="60">
        <f t="shared" si="5"/>
        <v>807.94419547598886</v>
      </c>
      <c r="AN58" s="60">
        <f ca="1">AVERAGE(OFFSET($AM$3,0,0,'Données projet'!$E$10+1,1))-AVERAGE(OFFSET($H$3,0,0,'Données projet'!$E$10+1,1))</f>
        <v>295.5242128298583</v>
      </c>
      <c r="AO58" s="60">
        <f t="shared" si="36"/>
        <v>164.21740841327744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56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210.25641025641025</v>
      </c>
      <c r="BB58" s="13">
        <f>VLOOKUP(A58,'Données projet'!$A$87:$I$107,9,0)</f>
        <v>5.8974358974359005</v>
      </c>
      <c r="BC58" s="13">
        <f t="array" ref="BC58">INDEX(BB:BB,MIN(IF(ISNUMBER(BB58:BB254),ROW(BB58:BB254),"")))</f>
        <v>5.8974358974359005</v>
      </c>
      <c r="BD58" s="13">
        <f>IF('Données projet'!$A$88&gt;35,BD57+BC58-BL57,IF(A58&lt;'Données projet'!$A$88,$BA$205^A58,IF(A58='Données projet'!$A$88,'Données projet'!$B$88,BD57+BC58-BL57)))</f>
        <v>210.25641025641028</v>
      </c>
      <c r="BE58" s="14">
        <f>BD58*VLOOKUP('Données projet'!$B$11,Paramètres!$A$1:$I$89,3,0)*VLOOKUP('Données projet'!$B$11,Paramètres!$A$1:$I$89,5,0)</f>
        <v>200.08000000000004</v>
      </c>
      <c r="BF58" s="14">
        <f t="shared" si="37"/>
        <v>49.761748894785782</v>
      </c>
      <c r="BG58" s="22">
        <f t="shared" si="7"/>
        <v>435.14104599175198</v>
      </c>
      <c r="BH58" s="60">
        <f t="shared" si="8"/>
        <v>728.47437932508524</v>
      </c>
      <c r="BI58" s="60">
        <f ca="1">AVERAGE(OFFSET($BH$3,0,0,'Données projet'!$E$11+1,1))-AVERAGE(OFFSET($H$3,0,0,'Données projet'!$E$11+1,1))</f>
        <v>276.19649531804959</v>
      </c>
      <c r="BJ58" s="60">
        <f t="shared" si="38"/>
        <v>253.14970964973463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223</v>
      </c>
      <c r="BW58" s="13">
        <f>VLOOKUP(A58,'Données projet'!$A$113:$I$133,9,0)</f>
        <v>5.2</v>
      </c>
      <c r="BX58" s="13">
        <f t="array" ref="BX58">INDEX(BW:BW,MIN(IF(ISNUMBER(BW58:BW254),ROW(BW58:BW254),"")))</f>
        <v>5.2</v>
      </c>
      <c r="BY58" s="13">
        <f>IF('Données projet'!$A$114&gt;35,BY57+BX58-CG57,IF(A58&lt;'Données projet'!$A$114,$BV$205^A58,IF(A58='Données projet'!$A$114,'Données projet'!$B$114,BY57+BX58-CG57)))</f>
        <v>223</v>
      </c>
      <c r="BZ58" s="14">
        <f>BY58*VLOOKUP('Données projet'!$B$12,Paramètres!$A$1:$I$89,3,0)*VLOOKUP('Données projet'!$B$12,Paramètres!$A$1:$I$89,5,0)</f>
        <v>146.1096</v>
      </c>
      <c r="CA58" s="14">
        <f t="shared" si="39"/>
        <v>37.693130662388441</v>
      </c>
      <c r="CB58" s="22">
        <f t="shared" si="10"/>
        <v>320.12308923699317</v>
      </c>
      <c r="CC58" s="60">
        <f t="shared" si="11"/>
        <v>613.45642257032648</v>
      </c>
      <c r="CD58" s="60">
        <f ca="1">AVERAGE(OFFSET($CC$3,0,0,'Données projet'!$E$12+1,1))-AVERAGE(OFFSET($H$3,0,0,'Données projet'!$E$12+1,1))</f>
        <v>154.88061446835457</v>
      </c>
      <c r="CE58" s="60">
        <f t="shared" si="40"/>
        <v>201.47826692201693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1.3649878104069801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1.3649878104069801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237</v>
      </c>
      <c r="CR58" s="13">
        <f>VLOOKUP(A58,'Données projet'!$A$139:$I$159,9,0)</f>
        <v>8.6</v>
      </c>
      <c r="CS58" s="13">
        <f t="array" ref="CS58">INDEX(CR:CR,MIN(IF(ISNUMBER(CR58:CR254),ROW(CR58:CR254),"")))</f>
        <v>8.6</v>
      </c>
      <c r="CT58" s="13">
        <f>IF('Données projet'!$A$140&gt;35,CT57+CS58-DB57,IF(A58&lt;'Données projet'!$A$140,$CQ$205^A58,IF(A58='Données projet'!$A$140,'Données projet'!$B$140,CT57+CS58-DB57)))</f>
        <v>237.00000000000011</v>
      </c>
      <c r="CU58" s="18">
        <f>CT58*VLOOKUP('Données projet'!$B$13,Paramètres!$A$1:$I$89,3,0)*VLOOKUP('Données projet'!$B$13,Paramètres!$A$1:$I$89,5,0)</f>
        <v>229.22640000000013</v>
      </c>
      <c r="CV58" s="14">
        <f t="shared" si="41"/>
        <v>56.115378339388592</v>
      </c>
      <c r="CW58" s="22">
        <f t="shared" si="13"/>
        <v>496.97026394110202</v>
      </c>
      <c r="CX58" s="60">
        <f t="shared" si="14"/>
        <v>790.30359727443533</v>
      </c>
      <c r="CY58" s="60">
        <f ca="1">AVERAGE(OFFSET($CX$3,0,0,'Données projet'!$E$13+1,1))-AVERAGE(OFFSET($H$3,0,0,'Données projet'!$E$13+1,1))</f>
        <v>293.44206058086951</v>
      </c>
      <c r="CZ58" s="60">
        <f t="shared" si="42"/>
        <v>182.15909509186827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54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237</v>
      </c>
      <c r="DM58" s="13">
        <f>VLOOKUP(A58,'Données projet'!$A$165:$I$185,9,0)</f>
        <v>8.6</v>
      </c>
      <c r="DN58" s="13">
        <f t="array" ref="DN58">INDEX(DM:DM,MIN(IF(ISNUMBER(DM58:DM254),ROW(DM58:DM254),"")))</f>
        <v>8.6</v>
      </c>
      <c r="DO58" s="13">
        <f>IF('Données projet'!$A$166&gt;35,DO57+DN58-DW57,IF(A58&lt;'Données projet'!$A$166,$DL$205^A58,IF(A58='Données projet'!$A$166,'Données projet'!$B$166,DO57+DN58-DW57)))</f>
        <v>237.00000000000011</v>
      </c>
      <c r="DP58" s="18">
        <f>DO58*VLOOKUP('Données projet'!$B$14,Paramètres!$A$1:$I$89,3,0)*VLOOKUP('Données projet'!$B$14,Paramètres!$A$1:$I$89,5,0)</f>
        <v>255.10680000000011</v>
      </c>
      <c r="DQ58" s="14">
        <f t="shared" si="43"/>
        <v>61.678194914435764</v>
      </c>
      <c r="DR58" s="22">
        <f t="shared" si="16"/>
        <v>551.73386614264234</v>
      </c>
      <c r="DS58" s="60">
        <f t="shared" si="17"/>
        <v>845.06719947597571</v>
      </c>
      <c r="DT58" s="60">
        <f ca="1">AVERAGE(OFFSET($DS$3,0,0,'Données projet'!$E$14+1,1))-AVERAGE(OFFSET($H$3,0,0,'Données projet'!$E$14+1,1))</f>
        <v>338.92444234934266</v>
      </c>
      <c r="DU58" s="60">
        <f t="shared" si="44"/>
        <v>208.91548891910895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54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244</v>
      </c>
      <c r="EH58" s="13">
        <f>VLOOKUP(A58,'Données projet'!$A$191:$I$211,9,0)</f>
        <v>11</v>
      </c>
      <c r="EI58" s="13">
        <f t="array" ref="EI58">INDEX(EH:EH,MIN(IF(ISNUMBER(EH58:EH254),ROW(EH58:EH254),"")))</f>
        <v>11</v>
      </c>
      <c r="EJ58" s="13">
        <f>IF('Données projet'!$A$192&gt;35,EJ57+EI58-ER57,IF(A58&lt;'Données projet'!$A$192,$EG$205^A58,IF(A58='Données projet'!$A$192,'Données projet'!$B$192,EJ57+EI58-ER57)))</f>
        <v>244</v>
      </c>
      <c r="EK58" s="18">
        <f>EJ58*VLOOKUP('Données projet'!$B$15,Paramètres!$A$1:$I$89,3,0)*VLOOKUP('Données projet'!$B$15,Paramètres!$A$1:$I$89,5,0)</f>
        <v>197.93280000000001</v>
      </c>
      <c r="EL58" s="14">
        <f t="shared" si="45"/>
        <v>49.289585385002731</v>
      </c>
      <c r="EM58" s="22">
        <f t="shared" si="19"/>
        <v>430.57898787887979</v>
      </c>
      <c r="EN58" s="60">
        <f t="shared" si="20"/>
        <v>723.9123212122131</v>
      </c>
      <c r="EO58" s="60">
        <f ca="1">AVERAGE(OFFSET($EN$3,0,0,'Données projet'!$E$15+1,1))-AVERAGE(OFFSET($H$3,0,0,'Données projet'!$E$15+1,1))</f>
        <v>346.10839312896536</v>
      </c>
      <c r="EP58" s="60">
        <f t="shared" si="46"/>
        <v>196.24927250256087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5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8">
        <f t="shared" si="1"/>
        <v>405.42013181185314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0">
        <f t="shared" si="0"/>
        <v>755.88227529661003</v>
      </c>
      <c r="S59" s="60">
        <f ca="1">AVERAGE(OFFSET($R$3,0,0,'Données projet'!$E$9+1,1))-AVERAGE(OFFSET($H$3,0,0,'Données projet'!$E$9+1,1))</f>
        <v>327.62615088747526</v>
      </c>
      <c r="T59" s="60">
        <f t="shared" si="34"/>
        <v>180.48047802041276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198.30096</v>
      </c>
      <c r="AK59" s="14">
        <f t="shared" si="35"/>
        <v>49.3705849564736</v>
      </c>
      <c r="AL59" s="22">
        <f t="shared" si="4"/>
        <v>431.36127413252484</v>
      </c>
      <c r="AM59" s="60">
        <f t="shared" si="5"/>
        <v>724.6946074658581</v>
      </c>
      <c r="AN59" s="60">
        <f ca="1">AVERAGE(OFFSET($AM$3,0,0,'Données projet'!$E$10+1,1))-AVERAGE(OFFSET($H$3,0,0,'Données projet'!$E$10+1,1))</f>
        <v>295.5242128298583</v>
      </c>
      <c r="AO59" s="60">
        <f t="shared" si="36"/>
        <v>164.21740841327744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5.5128205128205137</v>
      </c>
      <c r="BD59" s="13">
        <f>IF('Données projet'!$A$88&gt;35,BD58+BC59-BL58,IF(A59&lt;'Données projet'!$A$88,$BA$205^A59,IF(A59='Données projet'!$A$88,'Données projet'!$B$88,BD58+BC59-BL58)))</f>
        <v>215.7692307692308</v>
      </c>
      <c r="BE59" s="14">
        <f>BD59*VLOOKUP('Données projet'!$B$11,Paramètres!$A$1:$I$89,3,0)*VLOOKUP('Données projet'!$B$11,Paramètres!$A$1:$I$89,5,0)</f>
        <v>205.32600000000005</v>
      </c>
      <c r="BF59" s="14">
        <f t="shared" si="37"/>
        <v>50.912864943643207</v>
      </c>
      <c r="BG59" s="22">
        <f t="shared" si="7"/>
        <v>446.2826897768453</v>
      </c>
      <c r="BH59" s="60">
        <f t="shared" si="8"/>
        <v>739.61602311017862</v>
      </c>
      <c r="BI59" s="60">
        <f ca="1">AVERAGE(OFFSET($BH$3,0,0,'Données projet'!$E$11+1,1))-AVERAGE(OFFSET($H$3,0,0,'Données projet'!$E$11+1,1))</f>
        <v>276.19649531804959</v>
      </c>
      <c r="BJ59" s="60">
        <f t="shared" si="38"/>
        <v>253.14970964973463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5.8</v>
      </c>
      <c r="BY59" s="13">
        <f>IF('Données projet'!$A$114&gt;35,BY58+BX59-CG58,IF(A59&lt;'Données projet'!$A$114,$BV$205^A59,IF(A59='Données projet'!$A$114,'Données projet'!$B$114,BY58+BX59-CG58)))</f>
        <v>228.8</v>
      </c>
      <c r="BZ59" s="14">
        <f>BY59*VLOOKUP('Données projet'!$B$12,Paramètres!$A$1:$I$89,3,0)*VLOOKUP('Données projet'!$B$12,Paramètres!$A$1:$I$89,5,0)</f>
        <v>149.90976000000001</v>
      </c>
      <c r="CA59" s="14">
        <f t="shared" si="39"/>
        <v>38.558077538852132</v>
      </c>
      <c r="CB59" s="22">
        <f t="shared" si="10"/>
        <v>328.24815038016749</v>
      </c>
      <c r="CC59" s="60">
        <f t="shared" si="11"/>
        <v>621.5814837135008</v>
      </c>
      <c r="CD59" s="60">
        <f ca="1">AVERAGE(OFFSET($CC$3,0,0,'Données projet'!$E$12+1,1))-AVERAGE(OFFSET($H$3,0,0,'Données projet'!$E$12+1,1))</f>
        <v>154.88061446835457</v>
      </c>
      <c r="CE59" s="60">
        <f t="shared" si="40"/>
        <v>201.47826692201693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1.327662146949812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1.327662146949812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8.1999999999999993</v>
      </c>
      <c r="CT59" s="13">
        <f>IF('Données projet'!$A$140&gt;35,CT58+CS59-DB58,IF(A59&lt;'Données projet'!$A$140,$CQ$205^A59,IF(A59='Données projet'!$A$140,'Données projet'!$B$140,CT58+CS59-DB58)))</f>
        <v>191.2000000000001</v>
      </c>
      <c r="CU59" s="18">
        <f>CT59*VLOOKUP('Données projet'!$B$13,Paramètres!$A$1:$I$89,3,0)*VLOOKUP('Données projet'!$B$13,Paramètres!$A$1:$I$89,5,0)</f>
        <v>184.92864000000012</v>
      </c>
      <c r="CV59" s="14">
        <f t="shared" si="41"/>
        <v>46.416987887800268</v>
      </c>
      <c r="CW59" s="22">
        <f t="shared" si="13"/>
        <v>402.9269685712523</v>
      </c>
      <c r="CX59" s="60">
        <f t="shared" si="14"/>
        <v>696.26030190458562</v>
      </c>
      <c r="CY59" s="60">
        <f ca="1">AVERAGE(OFFSET($CX$3,0,0,'Données projet'!$E$13+1,1))-AVERAGE(OFFSET($H$3,0,0,'Données projet'!$E$13+1,1))</f>
        <v>293.44206058086951</v>
      </c>
      <c r="CZ59" s="60">
        <f t="shared" si="42"/>
        <v>182.15909509186827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8.1999999999999993</v>
      </c>
      <c r="DO59" s="13">
        <f>IF('Données projet'!$A$166&gt;35,DO58+DN59-DW58,IF(A59&lt;'Données projet'!$A$166,$DL$205^A59,IF(A59='Données projet'!$A$166,'Données projet'!$B$166,DO58+DN59-DW58)))</f>
        <v>191.2000000000001</v>
      </c>
      <c r="DP59" s="18">
        <f>DO59*VLOOKUP('Données projet'!$B$14,Paramètres!$A$1:$I$89,3,0)*VLOOKUP('Données projet'!$B$14,Paramètres!$A$1:$I$89,5,0)</f>
        <v>205.80768000000009</v>
      </c>
      <c r="DQ59" s="14">
        <f t="shared" si="43"/>
        <v>51.018385886480004</v>
      </c>
      <c r="DR59" s="22">
        <f t="shared" si="16"/>
        <v>447.30539808561952</v>
      </c>
      <c r="DS59" s="60">
        <f t="shared" si="17"/>
        <v>740.63873141895283</v>
      </c>
      <c r="DT59" s="60">
        <f ca="1">AVERAGE(OFFSET($DS$3,0,0,'Données projet'!$E$14+1,1))-AVERAGE(OFFSET($H$3,0,0,'Données projet'!$E$14+1,1))</f>
        <v>338.92444234934266</v>
      </c>
      <c r="DU59" s="60">
        <f t="shared" si="44"/>
        <v>208.91548891910895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10.8</v>
      </c>
      <c r="EJ59" s="13">
        <f>IF('Données projet'!$A$192&gt;35,EJ58+EI59-ER58,IF(A59&lt;'Données projet'!$A$192,$EG$205^A59,IF(A59='Données projet'!$A$192,'Données projet'!$B$192,EJ58+EI59-ER58)))</f>
        <v>254.8</v>
      </c>
      <c r="EK59" s="18">
        <f>EJ59*VLOOKUP('Données projet'!$B$15,Paramètres!$A$1:$I$89,3,0)*VLOOKUP('Données projet'!$B$15,Paramètres!$A$1:$I$89,5,0)</f>
        <v>206.69376000000003</v>
      </c>
      <c r="EL59" s="14">
        <f t="shared" si="45"/>
        <v>51.212423138937325</v>
      </c>
      <c r="EM59" s="22">
        <f t="shared" si="19"/>
        <v>449.18660230031583</v>
      </c>
      <c r="EN59" s="60">
        <f t="shared" si="20"/>
        <v>742.51993563364908</v>
      </c>
      <c r="EO59" s="60">
        <f ca="1">AVERAGE(OFFSET($EN$3,0,0,'Données projet'!$E$15+1,1))-AVERAGE(OFFSET($H$3,0,0,'Données projet'!$E$15+1,1))</f>
        <v>346.10839312896536</v>
      </c>
      <c r="EP59" s="60">
        <f t="shared" si="46"/>
        <v>196.24927250256087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5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8">
        <f t="shared" si="1"/>
        <v>407.3685557544236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0">
        <f t="shared" si="0"/>
        <v>773.91966709175358</v>
      </c>
      <c r="S60" s="60">
        <f ca="1">AVERAGE(OFFSET($R$3,0,0,'Données projet'!$E$9+1,1))-AVERAGE(OFFSET($H$3,0,0,'Données projet'!$E$9+1,1))</f>
        <v>327.62615088747526</v>
      </c>
      <c r="T60" s="60">
        <f t="shared" si="34"/>
        <v>180.48047802041276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206.21952000000002</v>
      </c>
      <c r="AK60" s="14">
        <f t="shared" si="35"/>
        <v>51.108584284640322</v>
      </c>
      <c r="AL60" s="22">
        <f t="shared" si="4"/>
        <v>448.1797816290819</v>
      </c>
      <c r="AM60" s="60">
        <f t="shared" si="5"/>
        <v>741.51311496241522</v>
      </c>
      <c r="AN60" s="60">
        <f ca="1">AVERAGE(OFFSET($AM$3,0,0,'Données projet'!$E$10+1,1))-AVERAGE(OFFSET($H$3,0,0,'Données projet'!$E$10+1,1))</f>
        <v>295.5242128298583</v>
      </c>
      <c r="AO60" s="60">
        <f t="shared" si="36"/>
        <v>164.21740841327744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5.5128205128205137</v>
      </c>
      <c r="BD60" s="13">
        <f>IF('Données projet'!$A$88&gt;35,BD59+BC60-BL59,IF(A60&lt;'Données projet'!$A$88,$BA$205^A60,IF(A60='Données projet'!$A$88,'Données projet'!$B$88,BD59+BC60-BL59)))</f>
        <v>221.28205128205133</v>
      </c>
      <c r="BE60" s="14">
        <f>BD60*VLOOKUP('Données projet'!$B$11,Paramètres!$A$1:$I$89,3,0)*VLOOKUP('Données projet'!$B$11,Paramètres!$A$1:$I$89,5,0)</f>
        <v>210.57200000000006</v>
      </c>
      <c r="BF60" s="14">
        <f t="shared" si="37"/>
        <v>52.060562294525177</v>
      </c>
      <c r="BG60" s="22">
        <f t="shared" si="7"/>
        <v>457.41837932963148</v>
      </c>
      <c r="BH60" s="60">
        <f t="shared" si="8"/>
        <v>750.75171266296479</v>
      </c>
      <c r="BI60" s="60">
        <f ca="1">AVERAGE(OFFSET($BH$3,0,0,'Données projet'!$E$11+1,1))-AVERAGE(OFFSET($H$3,0,0,'Données projet'!$E$11+1,1))</f>
        <v>276.19649531804959</v>
      </c>
      <c r="BJ60" s="60">
        <f t="shared" si="38"/>
        <v>253.14970964973463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5.8</v>
      </c>
      <c r="BY60" s="13">
        <f>IF('Données projet'!$A$114&gt;35,BY59+BX60-CG59,IF(A60&lt;'Données projet'!$A$114,$BV$205^A60,IF(A60='Données projet'!$A$114,'Données projet'!$B$114,BY59+BX60-CG59)))</f>
        <v>234.60000000000002</v>
      </c>
      <c r="BZ60" s="14">
        <f>BY60*VLOOKUP('Données projet'!$B$12,Paramètres!$A$1:$I$89,3,0)*VLOOKUP('Données projet'!$B$12,Paramètres!$A$1:$I$89,5,0)</f>
        <v>153.70992000000001</v>
      </c>
      <c r="CA60" s="14">
        <f t="shared" si="39"/>
        <v>39.420475690379831</v>
      </c>
      <c r="CB60" s="22">
        <f t="shared" si="10"/>
        <v>336.3687724940782</v>
      </c>
      <c r="CC60" s="60">
        <f t="shared" si="11"/>
        <v>629.70210582741151</v>
      </c>
      <c r="CD60" s="60">
        <f ca="1">AVERAGE(OFFSET($CC$3,0,0,'Données projet'!$E$12+1,1))-AVERAGE(OFFSET($H$3,0,0,'Données projet'!$E$12+1,1))</f>
        <v>154.88061446835457</v>
      </c>
      <c r="CE60" s="60">
        <f t="shared" si="40"/>
        <v>201.47826692201693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1.2913571557227514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1.2913571557227514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8.1999999999999993</v>
      </c>
      <c r="CT60" s="13">
        <f>IF('Données projet'!$A$140&gt;35,CT59+CS60-DB59,IF(A60&lt;'Données projet'!$A$140,$CQ$205^A60,IF(A60='Données projet'!$A$140,'Données projet'!$B$140,CT59+CS60-DB59)))</f>
        <v>199.40000000000009</v>
      </c>
      <c r="CU60" s="18">
        <f>CT60*VLOOKUP('Données projet'!$B$13,Paramètres!$A$1:$I$89,3,0)*VLOOKUP('Données projet'!$B$13,Paramètres!$A$1:$I$89,5,0)</f>
        <v>192.85968000000008</v>
      </c>
      <c r="CV60" s="14">
        <f t="shared" si="41"/>
        <v>48.171636758797227</v>
      </c>
      <c r="CW60" s="22">
        <f t="shared" si="13"/>
        <v>419.79621002157199</v>
      </c>
      <c r="CX60" s="60">
        <f t="shared" si="14"/>
        <v>713.12954335490531</v>
      </c>
      <c r="CY60" s="60">
        <f ca="1">AVERAGE(OFFSET($CX$3,0,0,'Données projet'!$E$13+1,1))-AVERAGE(OFFSET($H$3,0,0,'Données projet'!$E$13+1,1))</f>
        <v>293.44206058086951</v>
      </c>
      <c r="CZ60" s="60">
        <f t="shared" si="42"/>
        <v>182.15909509186827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8.1999999999999993</v>
      </c>
      <c r="DO60" s="13">
        <f>IF('Données projet'!$A$166&gt;35,DO59+DN60-DW59,IF(A60&lt;'Données projet'!$A$166,$DL$205^A60,IF(A60='Données projet'!$A$166,'Données projet'!$B$166,DO59+DN60-DW59)))</f>
        <v>199.40000000000009</v>
      </c>
      <c r="DP60" s="18">
        <f>DO60*VLOOKUP('Données projet'!$B$14,Paramètres!$A$1:$I$89,3,0)*VLOOKUP('Données projet'!$B$14,Paramètres!$A$1:$I$89,5,0)</f>
        <v>214.63416000000007</v>
      </c>
      <c r="DQ60" s="14">
        <f t="shared" si="43"/>
        <v>52.946976199409974</v>
      </c>
      <c r="DR60" s="22">
        <f t="shared" si="16"/>
        <v>466.03714554730578</v>
      </c>
      <c r="DS60" s="60">
        <f t="shared" si="17"/>
        <v>759.3704788806391</v>
      </c>
      <c r="DT60" s="60">
        <f ca="1">AVERAGE(OFFSET($DS$3,0,0,'Données projet'!$E$14+1,1))-AVERAGE(OFFSET($H$3,0,0,'Données projet'!$E$14+1,1))</f>
        <v>338.92444234934266</v>
      </c>
      <c r="DU60" s="60">
        <f t="shared" si="44"/>
        <v>208.91548891910895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10.8</v>
      </c>
      <c r="EJ60" s="13">
        <f>IF('Données projet'!$A$192&gt;35,EJ59+EI60-ER59,IF(A60&lt;'Données projet'!$A$192,$EG$205^A60,IF(A60='Données projet'!$A$192,'Données projet'!$B$192,EJ59+EI60-ER59)))</f>
        <v>265.60000000000002</v>
      </c>
      <c r="EK60" s="18">
        <f>EJ60*VLOOKUP('Données projet'!$B$15,Paramètres!$A$1:$I$89,3,0)*VLOOKUP('Données projet'!$B$15,Paramètres!$A$1:$I$89,5,0)</f>
        <v>215.45472000000004</v>
      </c>
      <c r="EL60" s="14">
        <f t="shared" si="45"/>
        <v>53.125794459230718</v>
      </c>
      <c r="EM60" s="22">
        <f t="shared" si="19"/>
        <v>467.77772934982687</v>
      </c>
      <c r="EN60" s="60">
        <f t="shared" si="20"/>
        <v>761.11106268316018</v>
      </c>
      <c r="EO60" s="60">
        <f ca="1">AVERAGE(OFFSET($EN$3,0,0,'Données projet'!$E$15+1,1))-AVERAGE(OFFSET($H$3,0,0,'Données projet'!$E$15+1,1))</f>
        <v>346.10839312896536</v>
      </c>
      <c r="EP60" s="60">
        <f t="shared" si="46"/>
        <v>196.24927250256087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5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8">
        <f t="shared" si="1"/>
        <v>409.31616418689623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0">
        <f t="shared" si="0"/>
        <v>791.94267592098333</v>
      </c>
      <c r="S61" s="60">
        <f ca="1">AVERAGE(OFFSET($R$3,0,0,'Données projet'!$E$9+1,1))-AVERAGE(OFFSET($H$3,0,0,'Données projet'!$E$9+1,1))</f>
        <v>327.62615088747526</v>
      </c>
      <c r="T61" s="60">
        <f t="shared" si="34"/>
        <v>180.48047802041276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214.13808</v>
      </c>
      <c r="AK61" s="14">
        <f t="shared" si="35"/>
        <v>52.838830759579693</v>
      </c>
      <c r="AL61" s="22">
        <f t="shared" si="4"/>
        <v>464.98478623960131</v>
      </c>
      <c r="AM61" s="60">
        <f t="shared" si="5"/>
        <v>758.31811957293462</v>
      </c>
      <c r="AN61" s="60">
        <f ca="1">AVERAGE(OFFSET($AM$3,0,0,'Données projet'!$E$10+1,1))-AVERAGE(OFFSET($H$3,0,0,'Données projet'!$E$10+1,1))</f>
        <v>295.5242128298583</v>
      </c>
      <c r="AO61" s="60">
        <f t="shared" si="36"/>
        <v>164.21740841327744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5.5128205128205137</v>
      </c>
      <c r="BD61" s="13">
        <f>IF('Données projet'!$A$88&gt;35,BD60+BC61-BL60,IF(A61&lt;'Données projet'!$A$88,$BA$205^A61,IF(A61='Données projet'!$A$88,'Données projet'!$B$88,BD60+BC61-BL60)))</f>
        <v>226.79487179487185</v>
      </c>
      <c r="BE61" s="14">
        <f>BD61*VLOOKUP('Données projet'!$B$11,Paramètres!$A$1:$I$89,3,0)*VLOOKUP('Données projet'!$B$11,Paramètres!$A$1:$I$89,5,0)</f>
        <v>215.81800000000007</v>
      </c>
      <c r="BF61" s="14">
        <f t="shared" si="37"/>
        <v>53.204935913742531</v>
      </c>
      <c r="BG61" s="22">
        <f t="shared" si="7"/>
        <v>468.54828004976827</v>
      </c>
      <c r="BH61" s="60">
        <f t="shared" si="8"/>
        <v>761.88161338310158</v>
      </c>
      <c r="BI61" s="60">
        <f ca="1">AVERAGE(OFFSET($BH$3,0,0,'Données projet'!$E$11+1,1))-AVERAGE(OFFSET($H$3,0,0,'Données projet'!$E$11+1,1))</f>
        <v>276.19649531804959</v>
      </c>
      <c r="BJ61" s="60">
        <f t="shared" si="38"/>
        <v>253.14970964973463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5.8</v>
      </c>
      <c r="BY61" s="13">
        <f>IF('Données projet'!$A$114&gt;35,BY60+BX61-CG60,IF(A61&lt;'Données projet'!$A$114,$BV$205^A61,IF(A61='Données projet'!$A$114,'Données projet'!$B$114,BY60+BX61-CG60)))</f>
        <v>240.40000000000003</v>
      </c>
      <c r="BZ61" s="14">
        <f>BY61*VLOOKUP('Données projet'!$B$12,Paramètres!$A$1:$I$89,3,0)*VLOOKUP('Données projet'!$B$12,Paramètres!$A$1:$I$89,5,0)</f>
        <v>157.51008000000002</v>
      </c>
      <c r="CA61" s="14">
        <f t="shared" si="39"/>
        <v>40.280395376872832</v>
      </c>
      <c r="CB61" s="22">
        <f t="shared" si="10"/>
        <v>344.48507794805352</v>
      </c>
      <c r="CC61" s="60">
        <f t="shared" si="11"/>
        <v>637.81841128138683</v>
      </c>
      <c r="CD61" s="60">
        <f ca="1">AVERAGE(OFFSET($CC$3,0,0,'Données projet'!$E$12+1,1))-AVERAGE(OFFSET($H$3,0,0,'Données projet'!$E$12+1,1))</f>
        <v>154.88061446835457</v>
      </c>
      <c r="CE61" s="60">
        <f t="shared" si="40"/>
        <v>201.47826692201693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1.2560449263899913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1.2560449263899913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8.1999999999999993</v>
      </c>
      <c r="CT61" s="13">
        <f>IF('Données projet'!$A$140&gt;35,CT60+CS61-DB60,IF(A61&lt;'Données projet'!$A$140,$CQ$205^A61,IF(A61='Données projet'!$A$140,'Données projet'!$B$140,CT60+CS61-DB60)))</f>
        <v>207.60000000000008</v>
      </c>
      <c r="CU61" s="18">
        <f>CT61*VLOOKUP('Données projet'!$B$13,Paramètres!$A$1:$I$89,3,0)*VLOOKUP('Données projet'!$B$13,Paramètres!$A$1:$I$89,5,0)</f>
        <v>200.79072000000008</v>
      </c>
      <c r="CV61" s="14">
        <f t="shared" si="41"/>
        <v>49.91790412152794</v>
      </c>
      <c r="CW61" s="22">
        <f t="shared" si="13"/>
        <v>436.65085367832791</v>
      </c>
      <c r="CX61" s="60">
        <f t="shared" si="14"/>
        <v>729.98418701166122</v>
      </c>
      <c r="CY61" s="60">
        <f ca="1">AVERAGE(OFFSET($CX$3,0,0,'Données projet'!$E$13+1,1))-AVERAGE(OFFSET($H$3,0,0,'Données projet'!$E$13+1,1))</f>
        <v>293.44206058086951</v>
      </c>
      <c r="CZ61" s="60">
        <f t="shared" si="42"/>
        <v>182.15909509186827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8.1999999999999993</v>
      </c>
      <c r="DO61" s="13">
        <f>IF('Données projet'!$A$166&gt;35,DO60+DN61-DW60,IF(A61&lt;'Données projet'!$A$166,$DL$205^A61,IF(A61='Données projet'!$A$166,'Données projet'!$B$166,DO60+DN61-DW60)))</f>
        <v>207.60000000000008</v>
      </c>
      <c r="DP61" s="18">
        <f>DO61*VLOOKUP('Données projet'!$B$14,Paramètres!$A$1:$I$89,3,0)*VLOOKUP('Données projet'!$B$14,Paramètres!$A$1:$I$89,5,0)</f>
        <v>223.4606400000001</v>
      </c>
      <c r="DQ61" s="14">
        <f t="shared" si="43"/>
        <v>54.866354130354466</v>
      </c>
      <c r="DR61" s="22">
        <f t="shared" si="16"/>
        <v>484.75284811036755</v>
      </c>
      <c r="DS61" s="60">
        <f t="shared" si="17"/>
        <v>778.08618144370087</v>
      </c>
      <c r="DT61" s="60">
        <f ca="1">AVERAGE(OFFSET($DS$3,0,0,'Données projet'!$E$14+1,1))-AVERAGE(OFFSET($H$3,0,0,'Données projet'!$E$14+1,1))</f>
        <v>338.92444234934266</v>
      </c>
      <c r="DU61" s="60">
        <f t="shared" si="44"/>
        <v>208.91548891910895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10.8</v>
      </c>
      <c r="EJ61" s="13">
        <f>IF('Données projet'!$A$192&gt;35,EJ60+EI61-ER60,IF(A61&lt;'Données projet'!$A$192,$EG$205^A61,IF(A61='Données projet'!$A$192,'Données projet'!$B$192,EJ60+EI61-ER60)))</f>
        <v>276.40000000000003</v>
      </c>
      <c r="EK61" s="18">
        <f>EJ61*VLOOKUP('Données projet'!$B$15,Paramètres!$A$1:$I$89,3,0)*VLOOKUP('Données projet'!$B$15,Paramètres!$A$1:$I$89,5,0)</f>
        <v>224.21568000000002</v>
      </c>
      <c r="EL61" s="14">
        <f t="shared" si="45"/>
        <v>55.030128307631315</v>
      </c>
      <c r="EM61" s="22">
        <f t="shared" si="19"/>
        <v>486.35311613579125</v>
      </c>
      <c r="EN61" s="60">
        <f t="shared" si="20"/>
        <v>779.68644946912457</v>
      </c>
      <c r="EO61" s="60">
        <f ca="1">AVERAGE(OFFSET($EN$3,0,0,'Données projet'!$E$15+1,1))-AVERAGE(OFFSET($H$3,0,0,'Données projet'!$E$15+1,1))</f>
        <v>346.10839312896536</v>
      </c>
      <c r="EP61" s="60">
        <f t="shared" si="46"/>
        <v>196.24927250256087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5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8">
        <f t="shared" si="1"/>
        <v>411.26297279225986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0">
        <f t="shared" si="0"/>
        <v>809.95189455631794</v>
      </c>
      <c r="S62" s="60">
        <f ca="1">AVERAGE(OFFSET($R$3,0,0,'Données projet'!$E$9+1,1))-AVERAGE(OFFSET($H$3,0,0,'Données projet'!$E$9+1,1))</f>
        <v>327.62615088747526</v>
      </c>
      <c r="T62" s="60">
        <f t="shared" si="34"/>
        <v>180.48047802041276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222.05663999999999</v>
      </c>
      <c r="AK62" s="14">
        <f t="shared" si="35"/>
        <v>54.561643903321311</v>
      </c>
      <c r="AL62" s="22">
        <f t="shared" si="4"/>
        <v>481.77684446495124</v>
      </c>
      <c r="AM62" s="60">
        <f t="shared" si="5"/>
        <v>775.11017779828455</v>
      </c>
      <c r="AN62" s="60">
        <f ca="1">AVERAGE(OFFSET($AM$3,0,0,'Données projet'!$E$10+1,1))-AVERAGE(OFFSET($H$3,0,0,'Données projet'!$E$10+1,1))</f>
        <v>295.5242128298583</v>
      </c>
      <c r="AO62" s="60">
        <f t="shared" si="36"/>
        <v>164.21740841327744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5.5128205128205137</v>
      </c>
      <c r="BD62" s="13">
        <f>IF('Données projet'!$A$88&gt;35,BD61+BC62-BL61,IF(A62&lt;'Données projet'!$A$88,$BA$205^A62,IF(A62='Données projet'!$A$88,'Données projet'!$B$88,BD61+BC62-BL61)))</f>
        <v>232.30769230769238</v>
      </c>
      <c r="BE62" s="14">
        <f>BD62*VLOOKUP('Données projet'!$B$11,Paramètres!$A$1:$I$89,3,0)*VLOOKUP('Données projet'!$B$11,Paramètres!$A$1:$I$89,5,0)</f>
        <v>221.06400000000008</v>
      </c>
      <c r="BF62" s="14">
        <f t="shared" si="37"/>
        <v>54.346075887575317</v>
      </c>
      <c r="BG62" s="22">
        <f t="shared" si="7"/>
        <v>479.67254883752707</v>
      </c>
      <c r="BH62" s="60">
        <f t="shared" si="8"/>
        <v>773.00588217086033</v>
      </c>
      <c r="BI62" s="60">
        <f ca="1">AVERAGE(OFFSET($BH$3,0,0,'Données projet'!$E$11+1,1))-AVERAGE(OFFSET($H$3,0,0,'Données projet'!$E$11+1,1))</f>
        <v>276.19649531804959</v>
      </c>
      <c r="BJ62" s="60">
        <f t="shared" si="38"/>
        <v>253.14970964973463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5.8</v>
      </c>
      <c r="BY62" s="13">
        <f>IF('Données projet'!$A$114&gt;35,BY61+BX62-CG61,IF(A62&lt;'Données projet'!$A$114,$BV$205^A62,IF(A62='Données projet'!$A$114,'Données projet'!$B$114,BY61+BX62-CG61)))</f>
        <v>246.20000000000005</v>
      </c>
      <c r="BZ62" s="14">
        <f>BY62*VLOOKUP('Données projet'!$B$12,Paramètres!$A$1:$I$89,3,0)*VLOOKUP('Données projet'!$B$12,Paramètres!$A$1:$I$89,5,0)</f>
        <v>161.31024000000002</v>
      </c>
      <c r="CA62" s="14">
        <f t="shared" si="39"/>
        <v>41.137903274661106</v>
      </c>
      <c r="CB62" s="22">
        <f t="shared" si="10"/>
        <v>352.59718287003483</v>
      </c>
      <c r="CC62" s="60">
        <f t="shared" si="11"/>
        <v>645.93051620336814</v>
      </c>
      <c r="CD62" s="60">
        <f ca="1">AVERAGE(OFFSET($CC$3,0,0,'Données projet'!$E$12+1,1))-AVERAGE(OFFSET($H$3,0,0,'Données projet'!$E$12+1,1))</f>
        <v>154.88061446835457</v>
      </c>
      <c r="CE62" s="60">
        <f t="shared" si="40"/>
        <v>201.47826692201693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1.2216983118253251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1.2216983118253251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8.1999999999999993</v>
      </c>
      <c r="CT62" s="13">
        <f>IF('Données projet'!$A$140&gt;35,CT61+CS62-DB61,IF(A62&lt;'Données projet'!$A$140,$CQ$205^A62,IF(A62='Données projet'!$A$140,'Données projet'!$B$140,CT61+CS62-DB61)))</f>
        <v>215.80000000000007</v>
      </c>
      <c r="CU62" s="18">
        <f>CT62*VLOOKUP('Données projet'!$B$13,Paramètres!$A$1:$I$89,3,0)*VLOOKUP('Données projet'!$B$13,Paramètres!$A$1:$I$89,5,0)</f>
        <v>208.72176000000007</v>
      </c>
      <c r="CV62" s="14">
        <f t="shared" si="41"/>
        <v>51.656158920162433</v>
      </c>
      <c r="CW62" s="22">
        <f t="shared" si="13"/>
        <v>453.491542119283</v>
      </c>
      <c r="CX62" s="60">
        <f t="shared" si="14"/>
        <v>746.82487545261631</v>
      </c>
      <c r="CY62" s="60">
        <f ca="1">AVERAGE(OFFSET($CX$3,0,0,'Données projet'!$E$13+1,1))-AVERAGE(OFFSET($H$3,0,0,'Données projet'!$E$13+1,1))</f>
        <v>293.44206058086951</v>
      </c>
      <c r="CZ62" s="60">
        <f t="shared" si="42"/>
        <v>182.15909509186827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8.1999999999999993</v>
      </c>
      <c r="DO62" s="13">
        <f>IF('Données projet'!$A$166&gt;35,DO61+DN62-DW61,IF(A62&lt;'Données projet'!$A$166,$DL$205^A62,IF(A62='Données projet'!$A$166,'Données projet'!$B$166,DO61+DN62-DW61)))</f>
        <v>215.80000000000007</v>
      </c>
      <c r="DP62" s="18">
        <f>DO62*VLOOKUP('Données projet'!$B$14,Paramètres!$A$1:$I$89,3,0)*VLOOKUP('Données projet'!$B$14,Paramètres!$A$1:$I$89,5,0)</f>
        <v>232.28712000000007</v>
      </c>
      <c r="DQ62" s="14">
        <f t="shared" si="43"/>
        <v>56.776925197570804</v>
      </c>
      <c r="DR62" s="22">
        <f t="shared" si="16"/>
        <v>503.4532120524359</v>
      </c>
      <c r="DS62" s="60">
        <f t="shared" si="17"/>
        <v>796.78654538576916</v>
      </c>
      <c r="DT62" s="60">
        <f ca="1">AVERAGE(OFFSET($DS$3,0,0,'Données projet'!$E$14+1,1))-AVERAGE(OFFSET($H$3,0,0,'Données projet'!$E$14+1,1))</f>
        <v>338.92444234934266</v>
      </c>
      <c r="DU62" s="60">
        <f t="shared" si="44"/>
        <v>208.91548891910895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10.8</v>
      </c>
      <c r="EJ62" s="13">
        <f>IF('Données projet'!$A$192&gt;35,EJ61+EI62-ER61,IF(A62&lt;'Données projet'!$A$192,$EG$205^A62,IF(A62='Données projet'!$A$192,'Données projet'!$B$192,EJ61+EI62-ER61)))</f>
        <v>287.20000000000005</v>
      </c>
      <c r="EK62" s="18">
        <f>EJ62*VLOOKUP('Données projet'!$B$15,Paramètres!$A$1:$I$89,3,0)*VLOOKUP('Données projet'!$B$15,Paramètres!$A$1:$I$89,5,0)</f>
        <v>232.97664000000003</v>
      </c>
      <c r="EL62" s="14">
        <f t="shared" si="45"/>
        <v>56.925818225524722</v>
      </c>
      <c r="EM62" s="22">
        <f t="shared" si="19"/>
        <v>504.91344807612222</v>
      </c>
      <c r="EN62" s="60">
        <f t="shared" si="20"/>
        <v>798.24678140945548</v>
      </c>
      <c r="EO62" s="60">
        <f ca="1">AVERAGE(OFFSET($EN$3,0,0,'Données projet'!$E$15+1,1))-AVERAGE(OFFSET($H$3,0,0,'Données projet'!$E$15+1,1))</f>
        <v>346.10839312896536</v>
      </c>
      <c r="EP62" s="60">
        <f t="shared" si="46"/>
        <v>196.24927250256087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5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8">
        <f t="shared" si="1"/>
        <v>413.20899669140988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0">
        <f t="shared" si="0"/>
        <v>827.94787109652862</v>
      </c>
      <c r="S63" s="60">
        <f ca="1">AVERAGE(OFFSET($R$3,0,0,'Données projet'!$E$9+1,1))-AVERAGE(OFFSET($H$3,0,0,'Données projet'!$E$9+1,1))</f>
        <v>327.62615088747526</v>
      </c>
      <c r="T63" s="60">
        <f t="shared" si="34"/>
        <v>180.48047802041276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229.9752</v>
      </c>
      <c r="AK63" s="14">
        <f t="shared" si="35"/>
        <v>56.277319157664316</v>
      </c>
      <c r="AL63" s="22">
        <f t="shared" si="4"/>
        <v>498.55647086626527</v>
      </c>
      <c r="AM63" s="60">
        <f t="shared" si="5"/>
        <v>791.88980419959853</v>
      </c>
      <c r="AN63" s="60">
        <f ca="1">AVERAGE(OFFSET($AM$3,0,0,'Données projet'!$E$10+1,1))-AVERAGE(OFFSET($H$3,0,0,'Données projet'!$E$10+1,1))</f>
        <v>295.5242128298583</v>
      </c>
      <c r="AO63" s="60">
        <f t="shared" si="36"/>
        <v>164.21740841327744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237.82051282051282</v>
      </c>
      <c r="BB63" s="13">
        <f>VLOOKUP(A63,'Données projet'!$A$87:$I$107,9,0)</f>
        <v>5.5128205128205137</v>
      </c>
      <c r="BC63" s="13">
        <f t="array" ref="BC63">INDEX(BB:BB,MIN(IF(ISNUMBER(BB63:BB259),ROW(BB63:BB259),"")))</f>
        <v>5.5128205128205137</v>
      </c>
      <c r="BD63" s="13">
        <f>IF('Données projet'!$A$88&gt;35,BD62+BC63-BL62,IF(A63&lt;'Données projet'!$A$88,$BA$205^A63,IF(A63='Données projet'!$A$88,'Données projet'!$B$88,BD62+BC63-BL62)))</f>
        <v>237.8205128205129</v>
      </c>
      <c r="BE63" s="14">
        <f>BD63*VLOOKUP('Données projet'!$B$11,Paramètres!$A$1:$I$89,3,0)*VLOOKUP('Données projet'!$B$11,Paramètres!$A$1:$I$89,5,0)</f>
        <v>226.31000000000009</v>
      </c>
      <c r="BF63" s="14">
        <f t="shared" si="37"/>
        <v>55.484067782810527</v>
      </c>
      <c r="BG63" s="22">
        <f t="shared" si="7"/>
        <v>490.79133472172845</v>
      </c>
      <c r="BH63" s="60">
        <f t="shared" si="8"/>
        <v>784.12466805506176</v>
      </c>
      <c r="BI63" s="60">
        <f ca="1">AVERAGE(OFFSET($BH$3,0,0,'Données projet'!$E$11+1,1))-AVERAGE(OFFSET($H$3,0,0,'Données projet'!$E$11+1,1))</f>
        <v>276.19649531804959</v>
      </c>
      <c r="BJ63" s="60">
        <f t="shared" si="38"/>
        <v>253.14970964973463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35.256410256410255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252</v>
      </c>
      <c r="BW63" s="13">
        <f>VLOOKUP(A63,'Données projet'!$A$113:$I$133,9,0)</f>
        <v>5.8</v>
      </c>
      <c r="BX63" s="13">
        <f t="array" ref="BX63">INDEX(BW:BW,MIN(IF(ISNUMBER(BW63:BW259),ROW(BW63:BW259),"")))</f>
        <v>5.8</v>
      </c>
      <c r="BY63" s="13">
        <f>IF('Données projet'!$A$114&gt;35,BY62+BX63-CG62,IF(A63&lt;'Données projet'!$A$114,$BV$205^A63,IF(A63='Données projet'!$A$114,'Données projet'!$B$114,BY62+BX63-CG62)))</f>
        <v>252.00000000000006</v>
      </c>
      <c r="BZ63" s="14">
        <f>BY63*VLOOKUP('Données projet'!$B$12,Paramètres!$A$1:$I$89,3,0)*VLOOKUP('Données projet'!$B$12,Paramètres!$A$1:$I$89,5,0)</f>
        <v>165.11040000000003</v>
      </c>
      <c r="CA63" s="14">
        <f t="shared" si="39"/>
        <v>41.993062739333446</v>
      </c>
      <c r="CB63" s="22">
        <f t="shared" si="10"/>
        <v>360.70519760433916</v>
      </c>
      <c r="CC63" s="60">
        <f t="shared" si="11"/>
        <v>654.03853093767248</v>
      </c>
      <c r="CD63" s="60">
        <f ca="1">AVERAGE(OFFSET($CC$3,0,0,'Données projet'!$E$12+1,1))-AVERAGE(OFFSET($H$3,0,0,'Données projet'!$E$12+1,1))</f>
        <v>154.88061446835457</v>
      </c>
      <c r="CE63" s="60">
        <f t="shared" si="40"/>
        <v>201.47826692201693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45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1.1882909072421395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1.1882909072421395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224</v>
      </c>
      <c r="CR63" s="13">
        <f>VLOOKUP(A63,'Données projet'!$A$139:$I$159,9,0)</f>
        <v>8.1999999999999993</v>
      </c>
      <c r="CS63" s="13">
        <f t="array" ref="CS63">INDEX(CR:CR,MIN(IF(ISNUMBER(CR63:CR259),ROW(CR63:CR259),"")))</f>
        <v>8.1999999999999993</v>
      </c>
      <c r="CT63" s="13">
        <f>IF('Données projet'!$A$140&gt;35,CT62+CS63-DB62,IF(A63&lt;'Données projet'!$A$140,$CQ$205^A63,IF(A63='Données projet'!$A$140,'Données projet'!$B$140,CT62+CS63-DB62)))</f>
        <v>224.00000000000006</v>
      </c>
      <c r="CU63" s="18">
        <f>CT63*VLOOKUP('Données projet'!$B$13,Paramètres!$A$1:$I$89,3,0)*VLOOKUP('Données projet'!$B$13,Paramètres!$A$1:$I$89,5,0)</f>
        <v>216.65280000000004</v>
      </c>
      <c r="CV63" s="14">
        <f t="shared" si="41"/>
        <v>53.38674047237982</v>
      </c>
      <c r="CW63" s="22">
        <f t="shared" si="13"/>
        <v>470.3188663227283</v>
      </c>
      <c r="CX63" s="60">
        <f t="shared" si="14"/>
        <v>763.65219965606161</v>
      </c>
      <c r="CY63" s="60">
        <f ca="1">AVERAGE(OFFSET($CX$3,0,0,'Données projet'!$E$13+1,1))-AVERAGE(OFFSET($H$3,0,0,'Données projet'!$E$13+1,1))</f>
        <v>293.44206058086951</v>
      </c>
      <c r="CZ63" s="60">
        <f t="shared" si="42"/>
        <v>182.15909509186827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224</v>
      </c>
      <c r="DM63" s="13">
        <f>VLOOKUP(A63,'Données projet'!$A$165:$I$185,9,0)</f>
        <v>8.1999999999999993</v>
      </c>
      <c r="DN63" s="13">
        <f t="array" ref="DN63">INDEX(DM:DM,MIN(IF(ISNUMBER(DM63:DM259),ROW(DM63:DM259),"")))</f>
        <v>8.1999999999999993</v>
      </c>
      <c r="DO63" s="13">
        <f>IF('Données projet'!$A$166&gt;35,DO62+DN63-DW62,IF(A63&lt;'Données projet'!$A$166,$DL$205^A63,IF(A63='Données projet'!$A$166,'Données projet'!$B$166,DO62+DN63-DW62)))</f>
        <v>224.00000000000006</v>
      </c>
      <c r="DP63" s="18">
        <f>DO63*VLOOKUP('Données projet'!$B$14,Paramètres!$A$1:$I$89,3,0)*VLOOKUP('Données projet'!$B$14,Paramètres!$A$1:$I$89,5,0)</f>
        <v>241.11360000000005</v>
      </c>
      <c r="DQ63" s="14">
        <f t="shared" si="43"/>
        <v>58.679062355898857</v>
      </c>
      <c r="DR63" s="22">
        <f t="shared" si="16"/>
        <v>522.13888693652405</v>
      </c>
      <c r="DS63" s="60">
        <f t="shared" si="17"/>
        <v>815.47222026985742</v>
      </c>
      <c r="DT63" s="60">
        <f ca="1">AVERAGE(OFFSET($DS$3,0,0,'Données projet'!$E$14+1,1))-AVERAGE(OFFSET($H$3,0,0,'Données projet'!$E$14+1,1))</f>
        <v>338.92444234934266</v>
      </c>
      <c r="DU63" s="60">
        <f t="shared" si="44"/>
        <v>208.91548891910895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298</v>
      </c>
      <c r="EH63" s="13">
        <f>VLOOKUP(A63,'Données projet'!$A$191:$I$211,9,0)</f>
        <v>10.8</v>
      </c>
      <c r="EI63" s="13">
        <f t="array" ref="EI63">INDEX(EH:EH,MIN(IF(ISNUMBER(EH63:EH259),ROW(EH63:EH259),"")))</f>
        <v>10.8</v>
      </c>
      <c r="EJ63" s="13">
        <f>IF('Données projet'!$A$192&gt;35,EJ62+EI63-ER62,IF(A63&lt;'Données projet'!$A$192,$EG$205^A63,IF(A63='Données projet'!$A$192,'Données projet'!$B$192,EJ62+EI63-ER62)))</f>
        <v>298.00000000000006</v>
      </c>
      <c r="EK63" s="18">
        <f>EJ63*VLOOKUP('Données projet'!$B$15,Paramètres!$A$1:$I$89,3,0)*VLOOKUP('Données projet'!$B$15,Paramètres!$A$1:$I$89,5,0)</f>
        <v>241.73760000000007</v>
      </c>
      <c r="EL63" s="14">
        <f t="shared" si="45"/>
        <v>58.813226479815569</v>
      </c>
      <c r="EM63" s="22">
        <f t="shared" si="19"/>
        <v>523.45935611901223</v>
      </c>
      <c r="EN63" s="60">
        <f t="shared" si="20"/>
        <v>816.79268945234548</v>
      </c>
      <c r="EO63" s="60">
        <f ca="1">AVERAGE(OFFSET($EN$3,0,0,'Données projet'!$E$15+1,1))-AVERAGE(OFFSET($H$3,0,0,'Données projet'!$E$15+1,1))</f>
        <v>346.10839312896536</v>
      </c>
      <c r="EP63" s="60">
        <f t="shared" si="46"/>
        <v>196.24927250256087</v>
      </c>
      <c r="EQ63" s="16">
        <f>IF(ISNA(VLOOKUP(A63,'Données projet'!$A$191:$I$211,3,0)),0,VLOOKUP(A63,'Données projet'!$A$191:$I$211,3,0))</f>
        <v>4</v>
      </c>
      <c r="ER63" s="16">
        <f>IF(ISNA(VLOOKUP(A63,'Données projet'!$A$191:$I$211,4,0)),0,VLOOKUP(A63,'Données projet'!$A$191:$I$211,4,0))</f>
        <v>56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5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8">
        <f t="shared" si="1"/>
        <v>415.15425047232054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projet'!$B$9,Paramètres!$A$1:$I$89,3,0)*VLOOKUP('Données projet'!$B$9,Paramètres!$A$1:$I$89,5,0)</f>
        <v>254.97263999999996</v>
      </c>
      <c r="P64" s="14">
        <f t="shared" si="33"/>
        <v>61.649533232533919</v>
      </c>
      <c r="Q64" s="22">
        <f t="shared" si="53"/>
        <v>551.45028504666311</v>
      </c>
      <c r="R64" s="60">
        <f t="shared" si="0"/>
        <v>844.78361837999637</v>
      </c>
      <c r="S64" s="60">
        <f ca="1">AVERAGE(OFFSET($R$3,0,0,'Données projet'!$E$9+1,1))-AVERAGE(OFFSET($H$3,0,0,'Données projet'!$E$9+1,1))</f>
        <v>327.62615088747526</v>
      </c>
      <c r="T64" s="60">
        <f t="shared" si="34"/>
        <v>180.48047802041276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281.79999999999995</v>
      </c>
      <c r="AJ64" s="14">
        <f>AI64*VLOOKUP('Données projet'!$B$10,Paramètres!$A$1:$I$89,3,0)*VLOOKUP('Données projet'!$B$10,Paramètres!$A$1:$I$89,5,0)</f>
        <v>237.38831999999999</v>
      </c>
      <c r="AK64" s="14">
        <f t="shared" si="35"/>
        <v>57.877257478787087</v>
      </c>
      <c r="AL64" s="22">
        <f t="shared" si="4"/>
        <v>514.25421410888737</v>
      </c>
      <c r="AM64" s="60">
        <f t="shared" si="5"/>
        <v>807.58754744222074</v>
      </c>
      <c r="AN64" s="60">
        <f ca="1">AVERAGE(OFFSET($AM$3,0,0,'Données projet'!$E$10+1,1))-AVERAGE(OFFSET($H$3,0,0,'Données projet'!$E$10+1,1))</f>
        <v>295.5242128298583</v>
      </c>
      <c r="AO64" s="60">
        <f t="shared" si="36"/>
        <v>164.21740841327744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5.2564102564102537</v>
      </c>
      <c r="BD64" s="13">
        <f>IF('Données projet'!$A$88&gt;35,BD63+BC64-BL63,IF(A64&lt;'Données projet'!$A$88,$BA$205^A64,IF(A64='Données projet'!$A$88,'Données projet'!$B$88,BD63+BC64-BL63)))</f>
        <v>207.8205128205129</v>
      </c>
      <c r="BE64" s="14">
        <f>BD64*VLOOKUP('Données projet'!$B$11,Paramètres!$A$1:$I$89,3,0)*VLOOKUP('Données projet'!$B$11,Paramètres!$A$1:$I$89,5,0)</f>
        <v>197.76200000000009</v>
      </c>
      <c r="BF64" s="14">
        <f t="shared" si="37"/>
        <v>49.252001403322879</v>
      </c>
      <c r="BG64" s="22">
        <f t="shared" si="7"/>
        <v>430.21605244412081</v>
      </c>
      <c r="BH64" s="60">
        <f t="shared" si="8"/>
        <v>723.54938577745406</v>
      </c>
      <c r="BI64" s="60">
        <f ca="1">AVERAGE(OFFSET($BH$3,0,0,'Données projet'!$E$11+1,1))-AVERAGE(OFFSET($H$3,0,0,'Données projet'!$E$11+1,1))</f>
        <v>276.19649531804959</v>
      </c>
      <c r="BJ64" s="60">
        <f t="shared" si="38"/>
        <v>253.14970964973463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</v>
      </c>
      <c r="BY64" s="13">
        <f>IF('Données projet'!$A$114&gt;35,BY63+BX64-CG63,IF(A64&lt;'Données projet'!$A$114,$BV$205^A64,IF(A64='Données projet'!$A$114,'Données projet'!$B$114,BY63+BX64-CG63)))</f>
        <v>212.20000000000005</v>
      </c>
      <c r="BZ64" s="14">
        <f>BY64*VLOOKUP('Données projet'!$B$12,Paramètres!$A$1:$I$89,3,0)*VLOOKUP('Données projet'!$B$12,Paramètres!$A$1:$I$89,5,0)</f>
        <v>139.03344000000001</v>
      </c>
      <c r="CA64" s="14">
        <f t="shared" si="39"/>
        <v>36.075490970935512</v>
      </c>
      <c r="CB64" s="22">
        <f t="shared" si="10"/>
        <v>304.98138810771269</v>
      </c>
      <c r="CC64" s="60">
        <f t="shared" si="11"/>
        <v>598.314721441046</v>
      </c>
      <c r="CD64" s="60">
        <f ca="1">AVERAGE(OFFSET($CC$3,0,0,'Données projet'!$E$12+1,1))-AVERAGE(OFFSET($H$3,0,0,'Données projet'!$E$12+1,1))</f>
        <v>154.88061446835457</v>
      </c>
      <c r="CE64" s="60">
        <f t="shared" si="40"/>
        <v>201.47826692201693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1.1557970298941003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1.1557970298941003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8.1999999999999993</v>
      </c>
      <c r="CT64" s="13">
        <f>IF('Données projet'!$A$140&gt;35,CT63+CS64-DB63,IF(A64&lt;'Données projet'!$A$140,$CQ$205^A64,IF(A64='Données projet'!$A$140,'Données projet'!$B$140,CT63+CS64-DB63)))</f>
        <v>232.20000000000005</v>
      </c>
      <c r="CU64" s="18">
        <f>CT64*VLOOKUP('Données projet'!$B$13,Paramètres!$A$1:$I$89,3,0)*VLOOKUP('Données projet'!$B$13,Paramètres!$A$1:$I$89,5,0)</f>
        <v>224.58384000000004</v>
      </c>
      <c r="CV64" s="14">
        <f t="shared" si="41"/>
        <v>55.109961845140433</v>
      </c>
      <c r="CW64" s="22">
        <f t="shared" si="13"/>
        <v>487.13337154695296</v>
      </c>
      <c r="CX64" s="60">
        <f t="shared" si="14"/>
        <v>780.46670488028622</v>
      </c>
      <c r="CY64" s="60">
        <f ca="1">AVERAGE(OFFSET($CX$3,0,0,'Données projet'!$E$13+1,1))-AVERAGE(OFFSET($H$3,0,0,'Données projet'!$E$13+1,1))</f>
        <v>293.44206058086951</v>
      </c>
      <c r="CZ64" s="60">
        <f t="shared" si="42"/>
        <v>182.15909509186827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8.1999999999999993</v>
      </c>
      <c r="DO64" s="13">
        <f>IF('Données projet'!$A$166&gt;35,DO63+DN64-DW63,IF(A64&lt;'Données projet'!$A$166,$DL$205^A64,IF(A64='Données projet'!$A$166,'Données projet'!$B$166,DO63+DN64-DW63)))</f>
        <v>232.20000000000005</v>
      </c>
      <c r="DP64" s="18">
        <f>DO64*VLOOKUP('Données projet'!$B$14,Paramètres!$A$1:$I$89,3,0)*VLOOKUP('Données projet'!$B$14,Paramètres!$A$1:$I$89,5,0)</f>
        <v>249.94008000000002</v>
      </c>
      <c r="DQ64" s="14">
        <f t="shared" si="43"/>
        <v>60.57310970717986</v>
      </c>
      <c r="DR64" s="22">
        <f t="shared" si="16"/>
        <v>540.81047207333825</v>
      </c>
      <c r="DS64" s="60">
        <f t="shared" si="17"/>
        <v>834.14380540667162</v>
      </c>
      <c r="DT64" s="60">
        <f ca="1">AVERAGE(OFFSET($DS$3,0,0,'Données projet'!$E$14+1,1))-AVERAGE(OFFSET($H$3,0,0,'Données projet'!$E$14+1,1))</f>
        <v>338.92444234934266</v>
      </c>
      <c r="DU64" s="60">
        <f t="shared" si="44"/>
        <v>208.91548891910895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10.4</v>
      </c>
      <c r="EJ64" s="13">
        <f>IF('Données projet'!$A$192&gt;35,EJ63+EI64-ER63,IF(A64&lt;'Données projet'!$A$192,$EG$205^A64,IF(A64='Données projet'!$A$192,'Données projet'!$B$192,EJ63+EI64-ER63)))</f>
        <v>252.40000000000003</v>
      </c>
      <c r="EK64" s="18">
        <f>EJ64*VLOOKUP('Données projet'!$B$15,Paramètres!$A$1:$I$89,3,0)*VLOOKUP('Données projet'!$B$15,Paramètres!$A$1:$I$89,5,0)</f>
        <v>204.74688000000003</v>
      </c>
      <c r="EL64" s="14">
        <f t="shared" si="45"/>
        <v>50.785959801489987</v>
      </c>
      <c r="EM64" s="22">
        <f t="shared" si="19"/>
        <v>445.05302932092837</v>
      </c>
      <c r="EN64" s="60">
        <f t="shared" si="20"/>
        <v>738.38636265426169</v>
      </c>
      <c r="EO64" s="60">
        <f ca="1">AVERAGE(OFFSET($EN$3,0,0,'Données projet'!$E$15+1,1))-AVERAGE(OFFSET($H$3,0,0,'Données projet'!$E$15+1,1))</f>
        <v>346.10839312896536</v>
      </c>
      <c r="EP64" s="60">
        <f t="shared" si="46"/>
        <v>196.24927250256087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5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8">
        <f t="shared" si="1"/>
        <v>417.09874821725015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projet'!$B$9,Paramètres!$A$1:$I$89,3,0)*VLOOKUP('Données projet'!$B$9,Paramètres!$A$1:$I$89,5,0)</f>
        <v>262.93487999999996</v>
      </c>
      <c r="P65" s="14">
        <f t="shared" si="33"/>
        <v>63.347566493432765</v>
      </c>
      <c r="Q65" s="22">
        <f t="shared" si="53"/>
        <v>568.27526097606199</v>
      </c>
      <c r="R65" s="60">
        <f t="shared" si="0"/>
        <v>861.60859430939536</v>
      </c>
      <c r="S65" s="60">
        <f ca="1">AVERAGE(OFFSET($R$3,0,0,'Données projet'!$E$9+1,1))-AVERAGE(OFFSET($H$3,0,0,'Données projet'!$E$9+1,1))</f>
        <v>327.62615088747526</v>
      </c>
      <c r="T65" s="60">
        <f t="shared" si="34"/>
        <v>180.48047802041276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290.59999999999997</v>
      </c>
      <c r="AJ65" s="14">
        <f>AI65*VLOOKUP('Données projet'!$B$10,Paramètres!$A$1:$I$89,3,0)*VLOOKUP('Données projet'!$B$10,Paramètres!$A$1:$I$89,5,0)</f>
        <v>244.80143999999999</v>
      </c>
      <c r="AK65" s="14">
        <f t="shared" si="35"/>
        <v>59.471389714596519</v>
      </c>
      <c r="AL65" s="22">
        <f t="shared" si="4"/>
        <v>529.94184508625551</v>
      </c>
      <c r="AM65" s="60">
        <f t="shared" si="5"/>
        <v>823.27517841958888</v>
      </c>
      <c r="AN65" s="60">
        <f ca="1">AVERAGE(OFFSET($AM$3,0,0,'Données projet'!$E$10+1,1))-AVERAGE(OFFSET($H$3,0,0,'Données projet'!$E$10+1,1))</f>
        <v>295.5242128298583</v>
      </c>
      <c r="AO65" s="60">
        <f t="shared" si="36"/>
        <v>164.21740841327744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5.2564102564102537</v>
      </c>
      <c r="BD65" s="13">
        <f>IF('Données projet'!$A$88&gt;35,BD64+BC65-BL64,IF(A65&lt;'Données projet'!$A$88,$BA$205^A65,IF(A65='Données projet'!$A$88,'Données projet'!$B$88,BD64+BC65-BL64)))</f>
        <v>213.07692307692315</v>
      </c>
      <c r="BE65" s="14">
        <f>BD65*VLOOKUP('Données projet'!$B$11,Paramètres!$A$1:$I$89,3,0)*VLOOKUP('Données projet'!$B$11,Paramètres!$A$1:$I$89,5,0)</f>
        <v>202.7640000000001</v>
      </c>
      <c r="BF65" s="14">
        <f t="shared" si="37"/>
        <v>50.351125180505704</v>
      </c>
      <c r="BG65" s="22">
        <f t="shared" si="7"/>
        <v>440.84217635604756</v>
      </c>
      <c r="BH65" s="60">
        <f t="shared" si="8"/>
        <v>734.17550968938087</v>
      </c>
      <c r="BI65" s="60">
        <f ca="1">AVERAGE(OFFSET($BH$3,0,0,'Données projet'!$E$11+1,1))-AVERAGE(OFFSET($H$3,0,0,'Données projet'!$E$11+1,1))</f>
        <v>276.19649531804959</v>
      </c>
      <c r="BJ65" s="60">
        <f t="shared" si="38"/>
        <v>253.14970964973463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</v>
      </c>
      <c r="BY65" s="13">
        <f>IF('Données projet'!$A$114&gt;35,BY64+BX65-CG64,IF(A65&lt;'Données projet'!$A$114,$BV$205^A65,IF(A65='Données projet'!$A$114,'Données projet'!$B$114,BY64+BX65-CG64)))</f>
        <v>217.40000000000003</v>
      </c>
      <c r="BZ65" s="14">
        <f>BY65*VLOOKUP('Données projet'!$B$12,Paramètres!$A$1:$I$89,3,0)*VLOOKUP('Données projet'!$B$12,Paramètres!$A$1:$I$89,5,0)</f>
        <v>142.44048000000001</v>
      </c>
      <c r="CA65" s="14">
        <f t="shared" si="39"/>
        <v>36.855521628538249</v>
      </c>
      <c r="CB65" s="22">
        <f t="shared" si="10"/>
        <v>312.27386950303747</v>
      </c>
      <c r="CC65" s="60">
        <f t="shared" si="11"/>
        <v>605.60720283637079</v>
      </c>
      <c r="CD65" s="60">
        <f ca="1">AVERAGE(OFFSET($CC$3,0,0,'Données projet'!$E$12+1,1))-AVERAGE(OFFSET($H$3,0,0,'Données projet'!$E$12+1,1))</f>
        <v>154.88061446835457</v>
      </c>
      <c r="CE65" s="60">
        <f t="shared" si="40"/>
        <v>201.47826692201693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1.124191699330922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1.124191699330922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8.1999999999999993</v>
      </c>
      <c r="CT65" s="13">
        <f>IF('Données projet'!$A$140&gt;35,CT64+CS65-DB64,IF(A65&lt;'Données projet'!$A$140,$CQ$205^A65,IF(A65='Données projet'!$A$140,'Données projet'!$B$140,CT64+CS65-DB64)))</f>
        <v>240.40000000000003</v>
      </c>
      <c r="CU65" s="18">
        <f>CT65*VLOOKUP('Données projet'!$B$13,Paramètres!$A$1:$I$89,3,0)*VLOOKUP('Données projet'!$B$13,Paramètres!$A$1:$I$89,5,0)</f>
        <v>232.51488000000006</v>
      </c>
      <c r="CV65" s="14">
        <f t="shared" si="41"/>
        <v>56.826112740206021</v>
      </c>
      <c r="CW65" s="22">
        <f t="shared" si="13"/>
        <v>503.93556235585902</v>
      </c>
      <c r="CX65" s="60">
        <f t="shared" si="14"/>
        <v>797.26889568919228</v>
      </c>
      <c r="CY65" s="60">
        <f ca="1">AVERAGE(OFFSET($CX$3,0,0,'Données projet'!$E$13+1,1))-AVERAGE(OFFSET($H$3,0,0,'Données projet'!$E$13+1,1))</f>
        <v>293.44206058086951</v>
      </c>
      <c r="CZ65" s="60">
        <f t="shared" si="42"/>
        <v>182.15909509186827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8.1999999999999993</v>
      </c>
      <c r="DO65" s="13">
        <f>IF('Données projet'!$A$166&gt;35,DO64+DN65-DW64,IF(A65&lt;'Données projet'!$A$166,$DL$205^A65,IF(A65='Données projet'!$A$166,'Données projet'!$B$166,DO64+DN65-DW64)))</f>
        <v>240.40000000000003</v>
      </c>
      <c r="DP65" s="18">
        <f>DO65*VLOOKUP('Données projet'!$B$14,Paramètres!$A$1:$I$89,3,0)*VLOOKUP('Données projet'!$B$14,Paramètres!$A$1:$I$89,5,0)</f>
        <v>258.76656000000003</v>
      </c>
      <c r="DQ65" s="14">
        <f t="shared" si="43"/>
        <v>62.459385671822886</v>
      </c>
      <c r="DR65" s="22">
        <f t="shared" si="16"/>
        <v>559.4685220450915</v>
      </c>
      <c r="DS65" s="60">
        <f t="shared" si="17"/>
        <v>852.80185537842476</v>
      </c>
      <c r="DT65" s="60">
        <f ca="1">AVERAGE(OFFSET($DS$3,0,0,'Données projet'!$E$14+1,1))-AVERAGE(OFFSET($H$3,0,0,'Données projet'!$E$14+1,1))</f>
        <v>338.92444234934266</v>
      </c>
      <c r="DU65" s="60">
        <f t="shared" si="44"/>
        <v>208.91548891910895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10.4</v>
      </c>
      <c r="EJ65" s="13">
        <f>IF('Données projet'!$A$192&gt;35,EJ64+EI65-ER64,IF(A65&lt;'Données projet'!$A$192,$EG$205^A65,IF(A65='Données projet'!$A$192,'Données projet'!$B$192,EJ64+EI65-ER64)))</f>
        <v>262.8</v>
      </c>
      <c r="EK65" s="18">
        <f>EJ65*VLOOKUP('Données projet'!$B$15,Paramètres!$A$1:$I$89,3,0)*VLOOKUP('Données projet'!$B$15,Paramètres!$A$1:$I$89,5,0)</f>
        <v>213.18336000000002</v>
      </c>
      <c r="EL65" s="14">
        <f t="shared" si="45"/>
        <v>52.630619656078551</v>
      </c>
      <c r="EM65" s="22">
        <f t="shared" si="19"/>
        <v>462.95934790100347</v>
      </c>
      <c r="EN65" s="60">
        <f t="shared" si="20"/>
        <v>756.29268123433678</v>
      </c>
      <c r="EO65" s="60">
        <f ca="1">AVERAGE(OFFSET($EN$3,0,0,'Données projet'!$E$15+1,1))-AVERAGE(OFFSET($H$3,0,0,'Données projet'!$E$15+1,1))</f>
        <v>346.10839312896536</v>
      </c>
      <c r="EP65" s="60">
        <f t="shared" si="46"/>
        <v>196.24927250256087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5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8">
        <f t="shared" si="1"/>
        <v>419.04250352814091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projet'!$B$9,Paramètres!$A$1:$I$89,3,0)*VLOOKUP('Données projet'!$B$9,Paramètres!$A$1:$I$89,5,0)</f>
        <v>270.89711999999997</v>
      </c>
      <c r="P66" s="14">
        <f t="shared" si="33"/>
        <v>65.039624021315475</v>
      </c>
      <c r="Q66" s="22">
        <f t="shared" si="53"/>
        <v>585.08982917045773</v>
      </c>
      <c r="R66" s="60">
        <f t="shared" si="0"/>
        <v>878.42316250379099</v>
      </c>
      <c r="S66" s="60">
        <f ca="1">AVERAGE(OFFSET($R$3,0,0,'Données projet'!$E$9+1,1))-AVERAGE(OFFSET($H$3,0,0,'Données projet'!$E$9+1,1))</f>
        <v>327.62615088747526</v>
      </c>
      <c r="T66" s="60">
        <f t="shared" si="34"/>
        <v>180.48047802041276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299.39999999999998</v>
      </c>
      <c r="AJ66" s="14">
        <f>AI66*VLOOKUP('Données projet'!$B$10,Paramètres!$A$1:$I$89,3,0)*VLOOKUP('Données projet'!$B$10,Paramètres!$A$1:$I$89,5,0)</f>
        <v>252.21455999999998</v>
      </c>
      <c r="AK66" s="14">
        <f t="shared" si="35"/>
        <v>61.059911866756252</v>
      </c>
      <c r="AL66" s="22">
        <f t="shared" si="4"/>
        <v>545.61970516793383</v>
      </c>
      <c r="AM66" s="60">
        <f t="shared" si="5"/>
        <v>838.9530385012672</v>
      </c>
      <c r="AN66" s="60">
        <f ca="1">AVERAGE(OFFSET($AM$3,0,0,'Données projet'!$E$10+1,1))-AVERAGE(OFFSET($H$3,0,0,'Données projet'!$E$10+1,1))</f>
        <v>295.5242128298583</v>
      </c>
      <c r="AO66" s="60">
        <f t="shared" si="36"/>
        <v>164.21740841327744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5.2564102564102537</v>
      </c>
      <c r="BD66" s="13">
        <f>IF('Données projet'!$A$88&gt;35,BD65+BC66-BL65,IF(A66&lt;'Données projet'!$A$88,$BA$205^A66,IF(A66='Données projet'!$A$88,'Données projet'!$B$88,BD65+BC66-BL65)))</f>
        <v>218.3333333333334</v>
      </c>
      <c r="BE66" s="14">
        <f>BD66*VLOOKUP('Données projet'!$B$11,Paramètres!$A$1:$I$89,3,0)*VLOOKUP('Données projet'!$B$11,Paramètres!$A$1:$I$89,5,0)</f>
        <v>207.76600000000005</v>
      </c>
      <c r="BF66" s="14">
        <f t="shared" si="37"/>
        <v>51.447097034747465</v>
      </c>
      <c r="BG66" s="22">
        <f t="shared" si="7"/>
        <v>451.46281066885194</v>
      </c>
      <c r="BH66" s="60">
        <f t="shared" si="8"/>
        <v>744.7961440021852</v>
      </c>
      <c r="BI66" s="60">
        <f ca="1">AVERAGE(OFFSET($BH$3,0,0,'Données projet'!$E$11+1,1))-AVERAGE(OFFSET($H$3,0,0,'Données projet'!$E$11+1,1))</f>
        <v>276.19649531804959</v>
      </c>
      <c r="BJ66" s="60">
        <f t="shared" si="38"/>
        <v>253.14970964973463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</v>
      </c>
      <c r="BY66" s="13">
        <f>IF('Données projet'!$A$114&gt;35,BY65+BX66-CG65,IF(A66&lt;'Données projet'!$A$114,$BV$205^A66,IF(A66='Données projet'!$A$114,'Données projet'!$B$114,BY65+BX66-CG65)))</f>
        <v>222.60000000000002</v>
      </c>
      <c r="BZ66" s="14">
        <f>BY66*VLOOKUP('Données projet'!$B$12,Paramètres!$A$1:$I$89,3,0)*VLOOKUP('Données projet'!$B$12,Paramètres!$A$1:$I$89,5,0)</f>
        <v>145.84752</v>
      </c>
      <c r="CA66" s="14">
        <f t="shared" si="39"/>
        <v>37.633383344887065</v>
      </c>
      <c r="CB66" s="22">
        <f t="shared" si="10"/>
        <v>319.56257332567822</v>
      </c>
      <c r="CC66" s="60">
        <f t="shared" si="11"/>
        <v>612.89590665901153</v>
      </c>
      <c r="CD66" s="60">
        <f ca="1">AVERAGE(OFFSET($CC$3,0,0,'Données projet'!$E$12+1,1))-AVERAGE(OFFSET($H$3,0,0,'Données projet'!$E$12+1,1))</f>
        <v>154.88061446835457</v>
      </c>
      <c r="CE66" s="60">
        <f t="shared" si="40"/>
        <v>201.47826692201693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1.0934506181940458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1.0934506181940458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8.1999999999999993</v>
      </c>
      <c r="CT66" s="13">
        <f>IF('Données projet'!$A$140&gt;35,CT65+CS66-DB65,IF(A66&lt;'Données projet'!$A$140,$CQ$205^A66,IF(A66='Données projet'!$A$140,'Données projet'!$B$140,CT65+CS66-DB65)))</f>
        <v>248.60000000000002</v>
      </c>
      <c r="CU66" s="18">
        <f>CT66*VLOOKUP('Données projet'!$B$13,Paramètres!$A$1:$I$89,3,0)*VLOOKUP('Données projet'!$B$13,Paramètres!$A$1:$I$89,5,0)</f>
        <v>240.44592000000003</v>
      </c>
      <c r="CV66" s="14">
        <f t="shared" si="41"/>
        <v>58.535461974901317</v>
      </c>
      <c r="CW66" s="22">
        <f t="shared" si="13"/>
        <v>520.72590693961979</v>
      </c>
      <c r="CX66" s="60">
        <f t="shared" si="14"/>
        <v>814.05924027295305</v>
      </c>
      <c r="CY66" s="60">
        <f ca="1">AVERAGE(OFFSET($CX$3,0,0,'Données projet'!$E$13+1,1))-AVERAGE(OFFSET($H$3,0,0,'Données projet'!$E$13+1,1))</f>
        <v>293.44206058086951</v>
      </c>
      <c r="CZ66" s="60">
        <f t="shared" si="42"/>
        <v>182.15909509186827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8.1999999999999993</v>
      </c>
      <c r="DO66" s="13">
        <f>IF('Données projet'!$A$166&gt;35,DO65+DN66-DW65,IF(A66&lt;'Données projet'!$A$166,$DL$205^A66,IF(A66='Données projet'!$A$166,'Données projet'!$B$166,DO65+DN66-DW65)))</f>
        <v>248.60000000000002</v>
      </c>
      <c r="DP66" s="18">
        <f>DO66*VLOOKUP('Données projet'!$B$14,Paramètres!$A$1:$I$89,3,0)*VLOOKUP('Données projet'!$B$14,Paramètres!$A$1:$I$89,5,0)</f>
        <v>267.59303999999997</v>
      </c>
      <c r="DQ66" s="14">
        <f t="shared" si="43"/>
        <v>64.338185715488905</v>
      </c>
      <c r="DR66" s="22">
        <f t="shared" si="16"/>
        <v>578.11355145447646</v>
      </c>
      <c r="DS66" s="60">
        <f t="shared" si="17"/>
        <v>871.44688478780972</v>
      </c>
      <c r="DT66" s="60">
        <f ca="1">AVERAGE(OFFSET($DS$3,0,0,'Données projet'!$E$14+1,1))-AVERAGE(OFFSET($H$3,0,0,'Données projet'!$E$14+1,1))</f>
        <v>338.92444234934266</v>
      </c>
      <c r="DU66" s="60">
        <f t="shared" si="44"/>
        <v>208.91548891910895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10.4</v>
      </c>
      <c r="EJ66" s="13">
        <f>IF('Données projet'!$A$192&gt;35,EJ65+EI66-ER65,IF(A66&lt;'Données projet'!$A$192,$EG$205^A66,IF(A66='Données projet'!$A$192,'Données projet'!$B$192,EJ65+EI66-ER65)))</f>
        <v>273.2</v>
      </c>
      <c r="EK66" s="18">
        <f>EJ66*VLOOKUP('Données projet'!$B$15,Paramètres!$A$1:$I$89,3,0)*VLOOKUP('Données projet'!$B$15,Paramètres!$A$1:$I$89,5,0)</f>
        <v>221.61984000000001</v>
      </c>
      <c r="EL66" s="14">
        <f t="shared" si="45"/>
        <v>54.466799486030538</v>
      </c>
      <c r="EM66" s="22">
        <f t="shared" si="19"/>
        <v>480.85089710483652</v>
      </c>
      <c r="EN66" s="60">
        <f t="shared" si="20"/>
        <v>774.18423043816983</v>
      </c>
      <c r="EO66" s="60">
        <f ca="1">AVERAGE(OFFSET($EN$3,0,0,'Données projet'!$E$15+1,1))-AVERAGE(OFFSET($H$3,0,0,'Données projet'!$E$15+1,1))</f>
        <v>346.10839312896536</v>
      </c>
      <c r="EP66" s="60">
        <f t="shared" si="46"/>
        <v>196.24927250256087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5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8">
        <f t="shared" si="1"/>
        <v>420.98552955036087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projet'!$B$9,Paramètres!$A$1:$I$89,3,0)*VLOOKUP('Données projet'!$B$9,Paramètres!$A$1:$I$89,5,0)</f>
        <v>278.85935999999998</v>
      </c>
      <c r="P67" s="14">
        <f t="shared" si="33"/>
        <v>66.725901622172444</v>
      </c>
      <c r="Q67" s="22">
        <f t="shared" ref="Q67:Q98" si="54">(O67+P67)*0.475*44/12</f>
        <v>601.89433065861692</v>
      </c>
      <c r="R67" s="60">
        <f t="shared" ref="R67:R130" si="55">Q67+(I67+J67)*44/12</f>
        <v>895.22766399195029</v>
      </c>
      <c r="S67" s="60">
        <f ca="1">AVERAGE(OFFSET($R$3,0,0,'Données projet'!$E$9+1,1))-AVERAGE(OFFSET($H$3,0,0,'Données projet'!$E$9+1,1))</f>
        <v>327.62615088747526</v>
      </c>
      <c r="T67" s="60">
        <f t="shared" si="34"/>
        <v>180.48047802041276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308.2</v>
      </c>
      <c r="AJ67" s="14">
        <f>AI67*VLOOKUP('Données projet'!$B$10,Paramètres!$A$1:$I$89,3,0)*VLOOKUP('Données projet'!$B$10,Paramètres!$A$1:$I$89,5,0)</f>
        <v>259.62768</v>
      </c>
      <c r="AK67" s="14">
        <f t="shared" si="35"/>
        <v>62.643007760076095</v>
      </c>
      <c r="AL67" s="22">
        <f t="shared" si="4"/>
        <v>561.28811451546585</v>
      </c>
      <c r="AM67" s="60">
        <f t="shared" si="5"/>
        <v>854.62144784879911</v>
      </c>
      <c r="AN67" s="60">
        <f ca="1">AVERAGE(OFFSET($AM$3,0,0,'Données projet'!$E$10+1,1))-AVERAGE(OFFSET($H$3,0,0,'Données projet'!$E$10+1,1))</f>
        <v>295.5242128298583</v>
      </c>
      <c r="AO67" s="60">
        <f t="shared" si="36"/>
        <v>164.21740841327744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5.2564102564102537</v>
      </c>
      <c r="BD67" s="13">
        <f>IF('Données projet'!$A$88&gt;35,BD66+BC67-BL66,IF(A67&lt;'Données projet'!$A$88,$BA$205^A67,IF(A67='Données projet'!$A$88,'Données projet'!$B$88,BD66+BC67-BL66)))</f>
        <v>223.58974358974365</v>
      </c>
      <c r="BE67" s="14">
        <f>BD67*VLOOKUP('Données projet'!$B$11,Paramètres!$A$1:$I$89,3,0)*VLOOKUP('Données projet'!$B$11,Paramètres!$A$1:$I$89,5,0)</f>
        <v>212.76800000000006</v>
      </c>
      <c r="BF67" s="14">
        <f t="shared" si="37"/>
        <v>52.540001579827276</v>
      </c>
      <c r="BG67" s="22">
        <f t="shared" si="7"/>
        <v>462.07810275153253</v>
      </c>
      <c r="BH67" s="60">
        <f t="shared" si="8"/>
        <v>755.41143608486584</v>
      </c>
      <c r="BI67" s="60">
        <f ca="1">AVERAGE(OFFSET($BH$3,0,0,'Données projet'!$E$11+1,1))-AVERAGE(OFFSET($H$3,0,0,'Données projet'!$E$11+1,1))</f>
        <v>276.19649531804959</v>
      </c>
      <c r="BJ67" s="60">
        <f t="shared" si="38"/>
        <v>253.14970964973463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</v>
      </c>
      <c r="BY67" s="13">
        <f>IF('Données projet'!$A$114&gt;35,BY66+BX67-CG66,IF(A67&lt;'Données projet'!$A$114,$BV$205^A67,IF(A67='Données projet'!$A$114,'Données projet'!$B$114,BY66+BX67-CG66)))</f>
        <v>227.8</v>
      </c>
      <c r="BZ67" s="14">
        <f>BY67*VLOOKUP('Données projet'!$B$12,Paramètres!$A$1:$I$89,3,0)*VLOOKUP('Données projet'!$B$12,Paramètres!$A$1:$I$89,5,0)</f>
        <v>149.25456</v>
      </c>
      <c r="CA67" s="14">
        <f t="shared" si="39"/>
        <v>38.409132618275962</v>
      </c>
      <c r="CB67" s="22">
        <f t="shared" si="10"/>
        <v>326.84759797683063</v>
      </c>
      <c r="CC67" s="60">
        <f t="shared" si="11"/>
        <v>620.18093131016394</v>
      </c>
      <c r="CD67" s="60">
        <f ca="1">AVERAGE(OFFSET($CC$3,0,0,'Données projet'!$E$12+1,1))-AVERAGE(OFFSET($H$3,0,0,'Données projet'!$E$12+1,1))</f>
        <v>154.88061446835457</v>
      </c>
      <c r="CE67" s="60">
        <f t="shared" si="40"/>
        <v>201.47826692201693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1.0635501535374607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1.0635501535374607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8.1999999999999993</v>
      </c>
      <c r="CT67" s="13">
        <f>IF('Données projet'!$A$140&gt;35,CT66+CS67-DB66,IF(A67&lt;'Données projet'!$A$140,$CQ$205^A67,IF(A67='Données projet'!$A$140,'Données projet'!$B$140,CT66+CS67-DB66)))</f>
        <v>256.8</v>
      </c>
      <c r="CU67" s="18">
        <f>CT67*VLOOKUP('Données projet'!$B$13,Paramètres!$A$1:$I$89,3,0)*VLOOKUP('Données projet'!$B$13,Paramètres!$A$1:$I$89,5,0)</f>
        <v>248.37696000000003</v>
      </c>
      <c r="CV67" s="14">
        <f t="shared" si="41"/>
        <v>60.238259626372376</v>
      </c>
      <c r="CW67" s="22">
        <f t="shared" si="13"/>
        <v>537.50484084926518</v>
      </c>
      <c r="CX67" s="60">
        <f t="shared" si="14"/>
        <v>830.83817418259855</v>
      </c>
      <c r="CY67" s="60">
        <f ca="1">AVERAGE(OFFSET($CX$3,0,0,'Données projet'!$E$13+1,1))-AVERAGE(OFFSET($H$3,0,0,'Données projet'!$E$13+1,1))</f>
        <v>293.44206058086951</v>
      </c>
      <c r="CZ67" s="60">
        <f t="shared" si="42"/>
        <v>182.15909509186827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8.1999999999999993</v>
      </c>
      <c r="DO67" s="13">
        <f>IF('Données projet'!$A$166&gt;35,DO66+DN67-DW66,IF(A67&lt;'Données projet'!$A$166,$DL$205^A67,IF(A67='Données projet'!$A$166,'Données projet'!$B$166,DO66+DN67-DW66)))</f>
        <v>256.8</v>
      </c>
      <c r="DP67" s="18">
        <f>DO67*VLOOKUP('Données projet'!$B$14,Paramètres!$A$1:$I$89,3,0)*VLOOKUP('Données projet'!$B$14,Paramètres!$A$1:$I$89,5,0)</f>
        <v>276.41952000000003</v>
      </c>
      <c r="DQ67" s="14">
        <f t="shared" si="43"/>
        <v>66.209784705913165</v>
      </c>
      <c r="DR67" s="22">
        <f t="shared" si="16"/>
        <v>596.74603902946558</v>
      </c>
      <c r="DS67" s="60">
        <f t="shared" si="17"/>
        <v>890.07937236279895</v>
      </c>
      <c r="DT67" s="60">
        <f ca="1">AVERAGE(OFFSET($DS$3,0,0,'Données projet'!$E$14+1,1))-AVERAGE(OFFSET($H$3,0,0,'Données projet'!$E$14+1,1))</f>
        <v>338.92444234934266</v>
      </c>
      <c r="DU67" s="60">
        <f t="shared" si="44"/>
        <v>208.91548891910895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10.4</v>
      </c>
      <c r="EJ67" s="13">
        <f>IF('Données projet'!$A$192&gt;35,EJ66+EI67-ER66,IF(A67&lt;'Données projet'!$A$192,$EG$205^A67,IF(A67='Données projet'!$A$192,'Données projet'!$B$192,EJ66+EI67-ER66)))</f>
        <v>283.59999999999997</v>
      </c>
      <c r="EK67" s="18">
        <f>EJ67*VLOOKUP('Données projet'!$B$15,Paramètres!$A$1:$I$89,3,0)*VLOOKUP('Données projet'!$B$15,Paramètres!$A$1:$I$89,5,0)</f>
        <v>230.05631999999997</v>
      </c>
      <c r="EL67" s="14">
        <f t="shared" si="45"/>
        <v>56.294859058369248</v>
      </c>
      <c r="EM67" s="22">
        <f t="shared" si="19"/>
        <v>498.72830352665966</v>
      </c>
      <c r="EN67" s="60">
        <f t="shared" si="20"/>
        <v>792.06163685999297</v>
      </c>
      <c r="EO67" s="60">
        <f ca="1">AVERAGE(OFFSET($EN$3,0,0,'Données projet'!$E$15+1,1))-AVERAGE(OFFSET($H$3,0,0,'Données projet'!$E$15+1,1))</f>
        <v>346.10839312896536</v>
      </c>
      <c r="EP67" s="60">
        <f t="shared" si="46"/>
        <v>196.24927250256087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5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8">
        <f t="shared" ref="H68:H131" si="56">(B68+E68+F68)*44/12+(C68+D68)*0.475*44/12</f>
        <v>422.92783899491928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projet'!$B$9,Paramètres!$A$1:$I$89,3,0)*VLOOKUP('Données projet'!$B$9,Paramètres!$A$1:$I$89,5,0)</f>
        <v>286.82159999999999</v>
      </c>
      <c r="P68" s="14">
        <f t="shared" si="33"/>
        <v>68.406583284351484</v>
      </c>
      <c r="Q68" s="22">
        <f t="shared" si="54"/>
        <v>618.68908588691215</v>
      </c>
      <c r="R68" s="60">
        <f t="shared" si="55"/>
        <v>912.02241922024541</v>
      </c>
      <c r="S68" s="60">
        <f ca="1">AVERAGE(OFFSET($R$3,0,0,'Données projet'!$E$9+1,1))-AVERAGE(OFFSET($H$3,0,0,'Données projet'!$E$9+1,1))</f>
        <v>327.62615088747526</v>
      </c>
      <c r="T68" s="60">
        <f t="shared" si="34"/>
        <v>180.48047802041276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317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317</v>
      </c>
      <c r="AJ68" s="14">
        <f>AI68*VLOOKUP('Données projet'!$B$10,Paramètres!$A$1:$I$89,3,0)*VLOOKUP('Données projet'!$B$10,Paramètres!$A$1:$I$89,5,0)</f>
        <v>267.04080000000005</v>
      </c>
      <c r="AK68" s="14">
        <f t="shared" si="35"/>
        <v>64.220850124833518</v>
      </c>
      <c r="AL68" s="22">
        <f t="shared" ref="AL68:AL131" si="58">(AJ68+AK68)*0.475*44/12</f>
        <v>576.94737396741846</v>
      </c>
      <c r="AM68" s="60">
        <f t="shared" ref="AM68:AM131" si="59">AL68+(AD68+AE68)*44/12</f>
        <v>870.28070730075183</v>
      </c>
      <c r="AN68" s="60">
        <f ca="1">AVERAGE(OFFSET($AM$3,0,0,'Données projet'!$E$10+1,1))-AVERAGE(OFFSET($H$3,0,0,'Données projet'!$E$10+1,1))</f>
        <v>295.5242128298583</v>
      </c>
      <c r="AO68" s="60">
        <f t="shared" si="36"/>
        <v>164.21740841327744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56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228.84615384615384</v>
      </c>
      <c r="BB68" s="13">
        <f>VLOOKUP(A68,'Données projet'!$A$87:$I$107,9,0)</f>
        <v>5.2564102564102537</v>
      </c>
      <c r="BC68" s="13">
        <f t="array" ref="BC68">INDEX(BB:BB,MIN(IF(ISNUMBER(BB68:BB264),ROW(BB68:BB264),"")))</f>
        <v>5.2564102564102537</v>
      </c>
      <c r="BD68" s="13">
        <f>IF('Données projet'!$A$88&gt;35,BD67+BC68-BL67,IF(A68&lt;'Données projet'!$A$88,$BA$205^A68,IF(A68='Données projet'!$A$88,'Données projet'!$B$88,BD67+BC68-BL67)))</f>
        <v>228.8461538461539</v>
      </c>
      <c r="BE68" s="14">
        <f>BD68*VLOOKUP('Données projet'!$B$11,Paramètres!$A$1:$I$89,3,0)*VLOOKUP('Données projet'!$B$11,Paramètres!$A$1:$I$89,5,0)</f>
        <v>217.77000000000004</v>
      </c>
      <c r="BF68" s="14">
        <f t="shared" si="37"/>
        <v>53.629919224169953</v>
      </c>
      <c r="BG68" s="22">
        <f t="shared" ref="BG68:BG131" si="61">(BE68+BF68)*0.475*44/12</f>
        <v>472.68819264876271</v>
      </c>
      <c r="BH68" s="60">
        <f t="shared" ref="BH68:BH131" si="62">BG68+(AY68+AZ68)*44/12</f>
        <v>766.02152598209602</v>
      </c>
      <c r="BI68" s="60">
        <f ca="1">AVERAGE(OFFSET($BH$3,0,0,'Données projet'!$E$11+1,1))-AVERAGE(OFFSET($H$3,0,0,'Données projet'!$E$11+1,1))</f>
        <v>276.19649531804959</v>
      </c>
      <c r="BJ68" s="60">
        <f t="shared" si="38"/>
        <v>253.14970964973463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233</v>
      </c>
      <c r="BW68" s="13">
        <f>VLOOKUP(A68,'Données projet'!$A$113:$I$133,9,0)</f>
        <v>5.2</v>
      </c>
      <c r="BX68" s="13">
        <f t="array" ref="BX68">INDEX(BW:BW,MIN(IF(ISNUMBER(BW68:BW264),ROW(BW68:BW264),"")))</f>
        <v>5.2</v>
      </c>
      <c r="BY68" s="13">
        <f>IF('Données projet'!$A$114&gt;35,BY67+BX68-CG67,IF(A68&lt;'Données projet'!$A$114,$BV$205^A68,IF(A68='Données projet'!$A$114,'Données projet'!$B$114,BY67+BX68-CG67)))</f>
        <v>233</v>
      </c>
      <c r="BZ68" s="14">
        <f>BY68*VLOOKUP('Données projet'!$B$12,Paramètres!$A$1:$I$89,3,0)*VLOOKUP('Données projet'!$B$12,Paramètres!$A$1:$I$89,5,0)</f>
        <v>152.66159999999999</v>
      </c>
      <c r="CA68" s="14">
        <f t="shared" si="39"/>
        <v>39.182823220412118</v>
      </c>
      <c r="CB68" s="22">
        <f t="shared" ref="CB68:CB131" si="64">(BZ68+CA68)*0.475*44/12</f>
        <v>334.12903710888446</v>
      </c>
      <c r="CC68" s="60">
        <f t="shared" ref="CC68:CC131" si="65">CB68+(BT68+BU68)*44/12</f>
        <v>627.46237044221778</v>
      </c>
      <c r="CD68" s="60">
        <f ca="1">AVERAGE(OFFSET($CC$3,0,0,'Données projet'!$E$12+1,1))-AVERAGE(OFFSET($H$3,0,0,'Données projet'!$E$12+1,1))</f>
        <v>154.88061446835457</v>
      </c>
      <c r="CE68" s="60">
        <f t="shared" si="40"/>
        <v>201.47826692201693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1.0344673186593072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1.0344673186593072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265</v>
      </c>
      <c r="CR68" s="13">
        <f>VLOOKUP(A68,'Données projet'!$A$139:$I$159,9,0)</f>
        <v>8.1999999999999993</v>
      </c>
      <c r="CS68" s="13">
        <f t="array" ref="CS68">INDEX(CR:CR,MIN(IF(ISNUMBER(CR68:CR264),ROW(CR68:CR264),"")))</f>
        <v>8.1999999999999993</v>
      </c>
      <c r="CT68" s="13">
        <f>IF('Données projet'!$A$140&gt;35,CT67+CS68-DB67,IF(A68&lt;'Données projet'!$A$140,$CQ$205^A68,IF(A68='Données projet'!$A$140,'Données projet'!$B$140,CT67+CS68-DB67)))</f>
        <v>265</v>
      </c>
      <c r="CU68" s="18">
        <f>CT68*VLOOKUP('Données projet'!$B$13,Paramètres!$A$1:$I$89,3,0)*VLOOKUP('Données projet'!$B$13,Paramètres!$A$1:$I$89,5,0)</f>
        <v>256.30800000000005</v>
      </c>
      <c r="CV68" s="14">
        <f t="shared" si="41"/>
        <v>61.934738894273906</v>
      </c>
      <c r="CW68" s="22">
        <f t="shared" ref="CW68:CW131" si="67">(CU68+CV68)*0.475*44/12</f>
        <v>554.27277024086038</v>
      </c>
      <c r="CX68" s="60">
        <f t="shared" ref="CX68:CX131" si="68">CW68+(CO68+CP68)*44/12</f>
        <v>847.60610357419364</v>
      </c>
      <c r="CY68" s="60">
        <f ca="1">AVERAGE(OFFSET($CX$3,0,0,'Données projet'!$E$13+1,1))-AVERAGE(OFFSET($H$3,0,0,'Données projet'!$E$13+1,1))</f>
        <v>293.44206058086951</v>
      </c>
      <c r="CZ68" s="60">
        <f t="shared" si="42"/>
        <v>182.15909509186827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54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265</v>
      </c>
      <c r="DM68" s="13">
        <f>VLOOKUP(A68,'Données projet'!$A$165:$I$185,9,0)</f>
        <v>8.1999999999999993</v>
      </c>
      <c r="DN68" s="13">
        <f t="array" ref="DN68">INDEX(DM:DM,MIN(IF(ISNUMBER(DM68:DM264),ROW(DM68:DM264),"")))</f>
        <v>8.1999999999999993</v>
      </c>
      <c r="DO68" s="13">
        <f>IF('Données projet'!$A$166&gt;35,DO67+DN68-DW67,IF(A68&lt;'Données projet'!$A$166,$DL$205^A68,IF(A68='Données projet'!$A$166,'Données projet'!$B$166,DO67+DN68-DW67)))</f>
        <v>265</v>
      </c>
      <c r="DP68" s="18">
        <f>DO68*VLOOKUP('Données projet'!$B$14,Paramètres!$A$1:$I$89,3,0)*VLOOKUP('Données projet'!$B$14,Paramètres!$A$1:$I$89,5,0)</f>
        <v>285.24599999999998</v>
      </c>
      <c r="DQ68" s="14">
        <f t="shared" si="43"/>
        <v>68.07443896024408</v>
      </c>
      <c r="DR68" s="22">
        <f t="shared" ref="DR68:DR131" si="70">(DP68+DQ68)*0.475*44/12</f>
        <v>615.36643118909171</v>
      </c>
      <c r="DS68" s="60">
        <f t="shared" ref="DS68:DS131" si="71">DR68+(DJ68+DK68)*44/12</f>
        <v>908.69976452242508</v>
      </c>
      <c r="DT68" s="60">
        <f ca="1">AVERAGE(OFFSET($DS$3,0,0,'Données projet'!$E$14+1,1))-AVERAGE(OFFSET($H$3,0,0,'Données projet'!$E$14+1,1))</f>
        <v>338.92444234934266</v>
      </c>
      <c r="DU68" s="60">
        <f t="shared" si="44"/>
        <v>208.91548891910895</v>
      </c>
      <c r="DV68" s="16">
        <f>IF(ISNA(VLOOKUP(A68,'Données projet'!$A$165:$I$185,3,0)),0,VLOOKUP(A68,'Données projet'!$A$165:$I$185,3,0))</f>
        <v>5</v>
      </c>
      <c r="DW68" s="16">
        <f>IF(ISNA(VLOOKUP(A68,'Données projet'!$A$165:$I$185,4,0)),0,VLOOKUP(A68,'Données projet'!$A$165:$I$185,4,0))</f>
        <v>54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294</v>
      </c>
      <c r="EH68" s="13">
        <f>VLOOKUP(A68,'Données projet'!$A$191:$I$211,9,0)</f>
        <v>10.4</v>
      </c>
      <c r="EI68" s="13">
        <f t="array" ref="EI68">INDEX(EH:EH,MIN(IF(ISNUMBER(EH68:EH264),ROW(EH68:EH264),"")))</f>
        <v>10.4</v>
      </c>
      <c r="EJ68" s="13">
        <f>IF('Données projet'!$A$192&gt;35,EJ67+EI68-ER67,IF(A68&lt;'Données projet'!$A$192,$EG$205^A68,IF(A68='Données projet'!$A$192,'Données projet'!$B$192,EJ67+EI68-ER67)))</f>
        <v>293.99999999999994</v>
      </c>
      <c r="EK68" s="18">
        <f>EJ68*VLOOKUP('Données projet'!$B$15,Paramètres!$A$1:$I$89,3,0)*VLOOKUP('Données projet'!$B$15,Paramètres!$A$1:$I$89,5,0)</f>
        <v>238.49279999999996</v>
      </c>
      <c r="EL68" s="14">
        <f t="shared" si="45"/>
        <v>58.115130258576542</v>
      </c>
      <c r="EM68" s="22">
        <f t="shared" ref="EM68:EM131" si="73">(EK68+EL68)*0.475*44/12</f>
        <v>516.59214520035414</v>
      </c>
      <c r="EN68" s="60">
        <f t="shared" ref="EN68:EN131" si="74">EM68+(EE68+EF68)*44/12</f>
        <v>809.92547853368751</v>
      </c>
      <c r="EO68" s="60">
        <f ca="1">AVERAGE(OFFSET($EN$3,0,0,'Données projet'!$E$15+1,1))-AVERAGE(OFFSET($H$3,0,0,'Données projet'!$E$15+1,1))</f>
        <v>346.10839312896536</v>
      </c>
      <c r="EP68" s="60">
        <f t="shared" si="46"/>
        <v>196.24927250256087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5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8">
        <f t="shared" si="56"/>
        <v>424.86944415927678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0">
        <f t="shared" si="55"/>
        <v>820.67446302574353</v>
      </c>
      <c r="S69" s="60">
        <f ca="1">AVERAGE(OFFSET($R$3,0,0,'Données projet'!$E$9+1,1))-AVERAGE(OFFSET($H$3,0,0,'Données projet'!$E$9+1,1))</f>
        <v>327.62615088747526</v>
      </c>
      <c r="T69" s="60">
        <f t="shared" ref="T69:T132" si="88">$T$3</f>
        <v>180.48047802041276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226.77408</v>
      </c>
      <c r="AK69" s="14">
        <f t="shared" ref="AK69:AK132" si="89">EXP(-1.0587+0.8836*LN(AJ69)+0.284)</f>
        <v>55.584589827360034</v>
      </c>
      <c r="AL69" s="22">
        <f t="shared" si="58"/>
        <v>491.77468328265195</v>
      </c>
      <c r="AM69" s="60">
        <f t="shared" si="59"/>
        <v>785.10801661598521</v>
      </c>
      <c r="AN69" s="60">
        <f ca="1">AVERAGE(OFFSET($AM$3,0,0,'Données projet'!$E$10+1,1))-AVERAGE(OFFSET($H$3,0,0,'Données projet'!$E$10+1,1))</f>
        <v>295.5242128298583</v>
      </c>
      <c r="AO69" s="60">
        <f t="shared" ref="AO69:AO132" si="90">$AO$3</f>
        <v>164.21740841327744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</v>
      </c>
      <c r="BD69" s="13">
        <f>IF('Données projet'!$A$88&gt;35,BD68+BC69-BL68,IF(A69&lt;'Données projet'!$A$88,$BA$205^A69,IF(A69='Données projet'!$A$88,'Données projet'!$B$88,BD68+BC69-BL68)))</f>
        <v>233.8461538461539</v>
      </c>
      <c r="BE69" s="14">
        <f>BD69*VLOOKUP('Données projet'!$B$11,Paramètres!$A$1:$I$89,3,0)*VLOOKUP('Données projet'!$B$11,Paramètres!$A$1:$I$89,5,0)</f>
        <v>222.52800000000005</v>
      </c>
      <c r="BF69" s="14">
        <f t="shared" ref="BF69:BF132" si="91">EXP(-1.0587+0.8836*LN(BE69)+0.284)</f>
        <v>54.663968137001028</v>
      </c>
      <c r="BG69" s="22">
        <f t="shared" si="61"/>
        <v>482.77601117194354</v>
      </c>
      <c r="BH69" s="60">
        <f t="shared" si="62"/>
        <v>776.10934450527679</v>
      </c>
      <c r="BI69" s="60">
        <f ca="1">AVERAGE(OFFSET($BH$3,0,0,'Données projet'!$E$11+1,1))-AVERAGE(OFFSET($H$3,0,0,'Données projet'!$E$11+1,1))</f>
        <v>276.19649531804959</v>
      </c>
      <c r="BJ69" s="60">
        <f t="shared" ref="BJ69:BJ132" si="92">$BJ$3</f>
        <v>253.14970964973463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4.8</v>
      </c>
      <c r="BY69" s="13">
        <f>IF('Données projet'!$A$114&gt;35,BY68+BX69-CG68,IF(A69&lt;'Données projet'!$A$114,$BV$205^A69,IF(A69='Données projet'!$A$114,'Données projet'!$B$114,BY68+BX69-CG68)))</f>
        <v>237.8</v>
      </c>
      <c r="BZ69" s="14">
        <f>BY69*VLOOKUP('Données projet'!$B$12,Paramètres!$A$1:$I$89,3,0)*VLOOKUP('Données projet'!$B$12,Paramètres!$A$1:$I$89,5,0)</f>
        <v>155.80656000000002</v>
      </c>
      <c r="CA69" s="14">
        <f t="shared" ref="CA69:CA132" si="93">EXP(-1.0587+0.8836*LN(BZ69)+0.284)</f>
        <v>39.895216286209461</v>
      </c>
      <c r="CB69" s="22">
        <f t="shared" si="64"/>
        <v>340.84726036514814</v>
      </c>
      <c r="CC69" s="60">
        <f t="shared" si="65"/>
        <v>634.18059369848152</v>
      </c>
      <c r="CD69" s="60">
        <f ca="1">AVERAGE(OFFSET($CC$3,0,0,'Données projet'!$E$12+1,1))-AVERAGE(OFFSET($H$3,0,0,'Données projet'!$E$12+1,1))</f>
        <v>154.88061446835457</v>
      </c>
      <c r="CE69" s="60">
        <f t="shared" ref="CE69:CE132" si="94">$CE$3</f>
        <v>201.47826692201693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1.0061797554302965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1.0061797554302965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7.6</v>
      </c>
      <c r="CT69" s="13">
        <f>IF('Données projet'!$A$140&gt;35,CT68+CS69-DB68,IF(A69&lt;'Données projet'!$A$140,$CQ$205^A69,IF(A69='Données projet'!$A$140,'Données projet'!$B$140,CT68+CS69-DB68)))</f>
        <v>218.60000000000002</v>
      </c>
      <c r="CU69" s="18">
        <f>CT69*VLOOKUP('Données projet'!$B$13,Paramètres!$A$1:$I$89,3,0)*VLOOKUP('Données projet'!$B$13,Paramètres!$A$1:$I$89,5,0)</f>
        <v>211.42992000000001</v>
      </c>
      <c r="CV69" s="14">
        <f t="shared" ref="CV69:CV132" si="95">EXP(-1.0587+0.8836*LN(CU69)+0.284)</f>
        <v>52.247935676431773</v>
      </c>
      <c r="CW69" s="22">
        <f t="shared" si="67"/>
        <v>459.23893196978526</v>
      </c>
      <c r="CX69" s="60">
        <f t="shared" si="68"/>
        <v>752.57226530311857</v>
      </c>
      <c r="CY69" s="60">
        <f ca="1">AVERAGE(OFFSET($CX$3,0,0,'Données projet'!$E$13+1,1))-AVERAGE(OFFSET($H$3,0,0,'Données projet'!$E$13+1,1))</f>
        <v>293.44206058086951</v>
      </c>
      <c r="CZ69" s="60">
        <f t="shared" ref="CZ69:CZ132" si="96">$CZ$3</f>
        <v>182.15909509186827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7.6</v>
      </c>
      <c r="DO69" s="13">
        <f>IF('Données projet'!$A$166&gt;35,DO68+DN69-DW68,IF(A69&lt;'Données projet'!$A$166,$DL$205^A69,IF(A69='Données projet'!$A$166,'Données projet'!$B$166,DO68+DN69-DW68)))</f>
        <v>218.60000000000002</v>
      </c>
      <c r="DP69" s="18">
        <f>DO69*VLOOKUP('Données projet'!$B$14,Paramètres!$A$1:$I$89,3,0)*VLOOKUP('Données projet'!$B$14,Paramètres!$A$1:$I$89,5,0)</f>
        <v>235.30104</v>
      </c>
      <c r="DQ69" s="14">
        <f t="shared" ref="DQ69:DQ132" si="97">EXP(-1.0587+0.8836*LN(DP69)+0.284)</f>
        <v>57.427365828983014</v>
      </c>
      <c r="DR69" s="22">
        <f t="shared" si="70"/>
        <v>509.83530681881206</v>
      </c>
      <c r="DS69" s="60">
        <f t="shared" si="71"/>
        <v>803.16864015214537</v>
      </c>
      <c r="DT69" s="60">
        <f ca="1">AVERAGE(OFFSET($DS$3,0,0,'Données projet'!$E$14+1,1))-AVERAGE(OFFSET($H$3,0,0,'Données projet'!$E$14+1,1))</f>
        <v>338.92444234934266</v>
      </c>
      <c r="DU69" s="60">
        <f t="shared" ref="DU69:DU132" si="98">$DU$3</f>
        <v>208.91548891910895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10</v>
      </c>
      <c r="EJ69" s="13">
        <f>IF('Données projet'!$A$192&gt;35,EJ68+EI69-ER68,IF(A69&lt;'Données projet'!$A$192,$EG$205^A69,IF(A69='Données projet'!$A$192,'Données projet'!$B$192,EJ68+EI69-ER68)))</f>
        <v>303.99999999999994</v>
      </c>
      <c r="EK69" s="18">
        <f>EJ69*VLOOKUP('Données projet'!$B$15,Paramètres!$A$1:$I$89,3,0)*VLOOKUP('Données projet'!$B$15,Paramètres!$A$1:$I$89,5,0)</f>
        <v>246.60479999999998</v>
      </c>
      <c r="EL69" s="14">
        <f t="shared" ref="EL69:EL132" si="99">EXP(-1.0587+0.8836*LN(EK69)+0.284)</f>
        <v>59.858332299931121</v>
      </c>
      <c r="EM69" s="22">
        <f t="shared" si="73"/>
        <v>533.75662208904669</v>
      </c>
      <c r="EN69" s="60">
        <f t="shared" si="74"/>
        <v>827.08995542237994</v>
      </c>
      <c r="EO69" s="60">
        <f ca="1">AVERAGE(OFFSET($EN$3,0,0,'Données projet'!$E$15+1,1))-AVERAGE(OFFSET($H$3,0,0,'Données projet'!$E$15+1,1))</f>
        <v>346.10839312896536</v>
      </c>
      <c r="EP69" s="60">
        <f t="shared" ref="EP69:EP132" si="100">$EP$3</f>
        <v>196.24927250256087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5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8">
        <f t="shared" si="56"/>
        <v>426.81035694685789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0">
        <f t="shared" si="55"/>
        <v>836.36711482633996</v>
      </c>
      <c r="S70" s="60">
        <f ca="1">AVERAGE(OFFSET($R$3,0,0,'Données projet'!$E$9+1,1))-AVERAGE(OFFSET($H$3,0,0,'Données projet'!$E$9+1,1))</f>
        <v>327.62615088747526</v>
      </c>
      <c r="T70" s="60">
        <f t="shared" si="88"/>
        <v>180.48047802041276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233.68176</v>
      </c>
      <c r="AK70" s="14">
        <f t="shared" si="89"/>
        <v>57.078026837098335</v>
      </c>
      <c r="AL70" s="22">
        <f t="shared" si="58"/>
        <v>506.40662874127952</v>
      </c>
      <c r="AM70" s="60">
        <f t="shared" si="59"/>
        <v>799.73996207461278</v>
      </c>
      <c r="AN70" s="60">
        <f ca="1">AVERAGE(OFFSET($AM$3,0,0,'Données projet'!$E$10+1,1))-AVERAGE(OFFSET($H$3,0,0,'Données projet'!$E$10+1,1))</f>
        <v>295.5242128298583</v>
      </c>
      <c r="AO70" s="60">
        <f t="shared" si="90"/>
        <v>164.21740841327744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</v>
      </c>
      <c r="BD70" s="13">
        <f>IF('Données projet'!$A$88&gt;35,BD69+BC70-BL69,IF(A70&lt;'Données projet'!$A$88,$BA$205^A70,IF(A70='Données projet'!$A$88,'Données projet'!$B$88,BD69+BC70-BL69)))</f>
        <v>238.8461538461539</v>
      </c>
      <c r="BE70" s="14">
        <f>BD70*VLOOKUP('Données projet'!$B$11,Paramètres!$A$1:$I$89,3,0)*VLOOKUP('Données projet'!$B$11,Paramètres!$A$1:$I$89,5,0)</f>
        <v>227.28600000000003</v>
      </c>
      <c r="BF70" s="14">
        <f t="shared" si="91"/>
        <v>55.695446485441053</v>
      </c>
      <c r="BG70" s="22">
        <f t="shared" si="61"/>
        <v>492.85935262880986</v>
      </c>
      <c r="BH70" s="60">
        <f t="shared" si="62"/>
        <v>786.19268596214317</v>
      </c>
      <c r="BI70" s="60">
        <f ca="1">AVERAGE(OFFSET($BH$3,0,0,'Données projet'!$E$11+1,1))-AVERAGE(OFFSET($H$3,0,0,'Données projet'!$E$11+1,1))</f>
        <v>276.19649531804959</v>
      </c>
      <c r="BJ70" s="60">
        <f t="shared" si="92"/>
        <v>253.14970964973463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4.8</v>
      </c>
      <c r="BY70" s="13">
        <f>IF('Données projet'!$A$114&gt;35,BY69+BX70-CG69,IF(A70&lt;'Données projet'!$A$114,$BV$205^A70,IF(A70='Données projet'!$A$114,'Données projet'!$B$114,BY69+BX70-CG69)))</f>
        <v>242.60000000000002</v>
      </c>
      <c r="BZ70" s="14">
        <f>BY70*VLOOKUP('Données projet'!$B$12,Paramètres!$A$1:$I$89,3,0)*VLOOKUP('Données projet'!$B$12,Paramètres!$A$1:$I$89,5,0)</f>
        <v>158.95152000000002</v>
      </c>
      <c r="CA70" s="14">
        <f t="shared" si="93"/>
        <v>40.605937402604575</v>
      </c>
      <c r="CB70" s="22">
        <f t="shared" si="64"/>
        <v>347.56257164286967</v>
      </c>
      <c r="CC70" s="60">
        <f t="shared" si="65"/>
        <v>640.89590497620293</v>
      </c>
      <c r="CD70" s="60">
        <f ca="1">AVERAGE(OFFSET($CC$3,0,0,'Données projet'!$E$12+1,1))-AVERAGE(OFFSET($H$3,0,0,'Données projet'!$E$12+1,1))</f>
        <v>154.88061446835457</v>
      </c>
      <c r="CE70" s="60">
        <f t="shared" si="94"/>
        <v>201.47826692201693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0.97866571710536132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0.97866571710536132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7.6</v>
      </c>
      <c r="CT70" s="13">
        <f>IF('Données projet'!$A$140&gt;35,CT69+CS70-DB69,IF(A70&lt;'Données projet'!$A$140,$CQ$205^A70,IF(A70='Données projet'!$A$140,'Données projet'!$B$140,CT69+CS70-DB69)))</f>
        <v>226.20000000000002</v>
      </c>
      <c r="CU70" s="18">
        <f>CT70*VLOOKUP('Données projet'!$B$13,Paramètres!$A$1:$I$89,3,0)*VLOOKUP('Données projet'!$B$13,Paramètres!$A$1:$I$89,5,0)</f>
        <v>218.78064000000001</v>
      </c>
      <c r="CV70" s="14">
        <f t="shared" si="95"/>
        <v>53.849778182636136</v>
      </c>
      <c r="CW70" s="22">
        <f t="shared" si="67"/>
        <v>474.83131166809125</v>
      </c>
      <c r="CX70" s="60">
        <f t="shared" si="68"/>
        <v>768.16464500142456</v>
      </c>
      <c r="CY70" s="60">
        <f ca="1">AVERAGE(OFFSET($CX$3,0,0,'Données projet'!$E$13+1,1))-AVERAGE(OFFSET($H$3,0,0,'Données projet'!$E$13+1,1))</f>
        <v>293.44206058086951</v>
      </c>
      <c r="CZ70" s="60">
        <f t="shared" si="96"/>
        <v>182.15909509186827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7.6</v>
      </c>
      <c r="DO70" s="13">
        <f>IF('Données projet'!$A$166&gt;35,DO69+DN70-DW69,IF(A70&lt;'Données projet'!$A$166,$DL$205^A70,IF(A70='Données projet'!$A$166,'Données projet'!$B$166,DO69+DN70-DW69)))</f>
        <v>226.20000000000002</v>
      </c>
      <c r="DP70" s="18">
        <f>DO70*VLOOKUP('Données projet'!$B$14,Paramètres!$A$1:$I$89,3,0)*VLOOKUP('Données projet'!$B$14,Paramètres!$A$1:$I$89,5,0)</f>
        <v>243.48168000000001</v>
      </c>
      <c r="DQ70" s="14">
        <f t="shared" si="97"/>
        <v>59.188001812266734</v>
      </c>
      <c r="DR70" s="22">
        <f t="shared" si="70"/>
        <v>527.14969582303115</v>
      </c>
      <c r="DS70" s="60">
        <f t="shared" si="71"/>
        <v>820.48302915636441</v>
      </c>
      <c r="DT70" s="60">
        <f ca="1">AVERAGE(OFFSET($DS$3,0,0,'Données projet'!$E$14+1,1))-AVERAGE(OFFSET($H$3,0,0,'Données projet'!$E$14+1,1))</f>
        <v>338.92444234934266</v>
      </c>
      <c r="DU70" s="60">
        <f t="shared" si="98"/>
        <v>208.91548891910895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10</v>
      </c>
      <c r="EJ70" s="13">
        <f>IF('Données projet'!$A$192&gt;35,EJ69+EI70-ER69,IF(A70&lt;'Données projet'!$A$192,$EG$205^A70,IF(A70='Données projet'!$A$192,'Données projet'!$B$192,EJ69+EI70-ER69)))</f>
        <v>313.99999999999994</v>
      </c>
      <c r="EK70" s="18">
        <f>EJ70*VLOOKUP('Données projet'!$B$15,Paramètres!$A$1:$I$89,3,0)*VLOOKUP('Données projet'!$B$15,Paramètres!$A$1:$I$89,5,0)</f>
        <v>254.71679999999998</v>
      </c>
      <c r="EL70" s="14">
        <f t="shared" si="99"/>
        <v>61.594871205031538</v>
      </c>
      <c r="EM70" s="22">
        <f t="shared" si="73"/>
        <v>550.90949401542991</v>
      </c>
      <c r="EN70" s="60">
        <f t="shared" si="74"/>
        <v>844.24282734876329</v>
      </c>
      <c r="EO70" s="60">
        <f ca="1">AVERAGE(OFFSET($EN$3,0,0,'Données projet'!$E$15+1,1))-AVERAGE(OFFSET($H$3,0,0,'Données projet'!$E$15+1,1))</f>
        <v>346.10839312896536</v>
      </c>
      <c r="EP70" s="60">
        <f t="shared" si="100"/>
        <v>196.24927250256087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5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8">
        <f t="shared" si="56"/>
        <v>428.75058888536569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0">
        <f t="shared" si="55"/>
        <v>852.05024844371815</v>
      </c>
      <c r="S71" s="60">
        <f ca="1">AVERAGE(OFFSET($R$3,0,0,'Données projet'!$E$9+1,1))-AVERAGE(OFFSET($H$3,0,0,'Données projet'!$E$9+1,1))</f>
        <v>327.62615088747526</v>
      </c>
      <c r="T71" s="60">
        <f t="shared" si="88"/>
        <v>180.48047802041276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240.58944</v>
      </c>
      <c r="AK71" s="14">
        <f t="shared" si="89"/>
        <v>58.56633325847811</v>
      </c>
      <c r="AL71" s="22">
        <f t="shared" si="58"/>
        <v>521.02963842518272</v>
      </c>
      <c r="AM71" s="60">
        <f t="shared" si="59"/>
        <v>814.3629717585161</v>
      </c>
      <c r="AN71" s="60">
        <f ca="1">AVERAGE(OFFSET($AM$3,0,0,'Données projet'!$E$10+1,1))-AVERAGE(OFFSET($H$3,0,0,'Données projet'!$E$10+1,1))</f>
        <v>295.5242128298583</v>
      </c>
      <c r="AO71" s="60">
        <f t="shared" si="90"/>
        <v>164.21740841327744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</v>
      </c>
      <c r="BD71" s="13">
        <f>IF('Données projet'!$A$88&gt;35,BD70+BC71-BL70,IF(A71&lt;'Données projet'!$A$88,$BA$205^A71,IF(A71='Données projet'!$A$88,'Données projet'!$B$88,BD70+BC71-BL70)))</f>
        <v>243.8461538461539</v>
      </c>
      <c r="BE71" s="14">
        <f>BD71*VLOOKUP('Données projet'!$B$11,Paramètres!$A$1:$I$89,3,0)*VLOOKUP('Données projet'!$B$11,Paramètres!$A$1:$I$89,5,0)</f>
        <v>232.04400000000004</v>
      </c>
      <c r="BF71" s="14">
        <f t="shared" si="91"/>
        <v>56.724414281075624</v>
      </c>
      <c r="BG71" s="22">
        <f t="shared" si="61"/>
        <v>502.93832153954008</v>
      </c>
      <c r="BH71" s="60">
        <f t="shared" si="62"/>
        <v>796.27165487287334</v>
      </c>
      <c r="BI71" s="60">
        <f ca="1">AVERAGE(OFFSET($BH$3,0,0,'Données projet'!$E$11+1,1))-AVERAGE(OFFSET($H$3,0,0,'Données projet'!$E$11+1,1))</f>
        <v>276.19649531804959</v>
      </c>
      <c r="BJ71" s="60">
        <f t="shared" si="92"/>
        <v>253.14970964973463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4.8</v>
      </c>
      <c r="BY71" s="13">
        <f>IF('Données projet'!$A$114&gt;35,BY70+BX71-CG70,IF(A71&lt;'Données projet'!$A$114,$BV$205^A71,IF(A71='Données projet'!$A$114,'Données projet'!$B$114,BY70+BX71-CG70)))</f>
        <v>247.40000000000003</v>
      </c>
      <c r="BZ71" s="14">
        <f>BY71*VLOOKUP('Données projet'!$B$12,Paramètres!$A$1:$I$89,3,0)*VLOOKUP('Données projet'!$B$12,Paramètres!$A$1:$I$89,5,0)</f>
        <v>162.09648000000004</v>
      </c>
      <c r="CA71" s="14">
        <f t="shared" si="93"/>
        <v>41.315023463158887</v>
      </c>
      <c r="CB71" s="22">
        <f t="shared" si="64"/>
        <v>354.27503519833516</v>
      </c>
      <c r="CC71" s="60">
        <f t="shared" si="65"/>
        <v>647.60836853166848</v>
      </c>
      <c r="CD71" s="60">
        <f ca="1">AVERAGE(OFFSET($CC$3,0,0,'Données projet'!$E$12+1,1))-AVERAGE(OFFSET($H$3,0,0,'Données projet'!$E$12+1,1))</f>
        <v>154.88061446835457</v>
      </c>
      <c r="CE71" s="60">
        <f t="shared" si="94"/>
        <v>201.47826692201693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0.95190405160532188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0.95190405160532188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7.6</v>
      </c>
      <c r="CT71" s="13">
        <f>IF('Données projet'!$A$140&gt;35,CT70+CS71-DB70,IF(A71&lt;'Données projet'!$A$140,$CQ$205^A71,IF(A71='Données projet'!$A$140,'Données projet'!$B$140,CT70+CS71-DB70)))</f>
        <v>233.8</v>
      </c>
      <c r="CU71" s="18">
        <f>CT71*VLOOKUP('Données projet'!$B$13,Paramètres!$A$1:$I$89,3,0)*VLOOKUP('Données projet'!$B$13,Paramètres!$A$1:$I$89,5,0)</f>
        <v>226.13136000000003</v>
      </c>
      <c r="CV71" s="14">
        <f t="shared" si="95"/>
        <v>55.445367073626066</v>
      </c>
      <c r="CW71" s="22">
        <f t="shared" si="67"/>
        <v>490.41279965323207</v>
      </c>
      <c r="CX71" s="60">
        <f t="shared" si="68"/>
        <v>783.74613298656539</v>
      </c>
      <c r="CY71" s="60">
        <f ca="1">AVERAGE(OFFSET($CX$3,0,0,'Données projet'!$E$13+1,1))-AVERAGE(OFFSET($H$3,0,0,'Données projet'!$E$13+1,1))</f>
        <v>293.44206058086951</v>
      </c>
      <c r="CZ71" s="60">
        <f t="shared" si="96"/>
        <v>182.15909509186827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7.6</v>
      </c>
      <c r="DO71" s="13">
        <f>IF('Données projet'!$A$166&gt;35,DO70+DN71-DW70,IF(A71&lt;'Données projet'!$A$166,$DL$205^A71,IF(A71='Données projet'!$A$166,'Données projet'!$B$166,DO70+DN71-DW70)))</f>
        <v>233.8</v>
      </c>
      <c r="DP71" s="18">
        <f>DO71*VLOOKUP('Données projet'!$B$14,Paramètres!$A$1:$I$89,3,0)*VLOOKUP('Données projet'!$B$14,Paramètres!$A$1:$I$89,5,0)</f>
        <v>251.66232000000002</v>
      </c>
      <c r="DQ71" s="14">
        <f t="shared" si="97"/>
        <v>60.941764248413421</v>
      </c>
      <c r="DR71" s="22">
        <f t="shared" si="70"/>
        <v>544.45211339932007</v>
      </c>
      <c r="DS71" s="60">
        <f t="shared" si="71"/>
        <v>837.78544673265333</v>
      </c>
      <c r="DT71" s="60">
        <f ca="1">AVERAGE(OFFSET($DS$3,0,0,'Données projet'!$E$14+1,1))-AVERAGE(OFFSET($H$3,0,0,'Données projet'!$E$14+1,1))</f>
        <v>338.92444234934266</v>
      </c>
      <c r="DU71" s="60">
        <f t="shared" si="98"/>
        <v>208.91548891910895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10</v>
      </c>
      <c r="EJ71" s="13">
        <f>IF('Données projet'!$A$192&gt;35,EJ70+EI71-ER70,IF(A71&lt;'Données projet'!$A$192,$EG$205^A71,IF(A71='Données projet'!$A$192,'Données projet'!$B$192,EJ70+EI71-ER70)))</f>
        <v>323.99999999999994</v>
      </c>
      <c r="EK71" s="18">
        <f>EJ71*VLOOKUP('Données projet'!$B$15,Paramètres!$A$1:$I$89,3,0)*VLOOKUP('Données projet'!$B$15,Paramètres!$A$1:$I$89,5,0)</f>
        <v>262.8288</v>
      </c>
      <c r="EL71" s="14">
        <f t="shared" si="99"/>
        <v>63.324983518559485</v>
      </c>
      <c r="EM71" s="22">
        <f t="shared" si="73"/>
        <v>568.05117296149103</v>
      </c>
      <c r="EN71" s="60">
        <f t="shared" si="74"/>
        <v>861.3845062948244</v>
      </c>
      <c r="EO71" s="60">
        <f ca="1">AVERAGE(OFFSET($EN$3,0,0,'Données projet'!$E$15+1,1))-AVERAGE(OFFSET($H$3,0,0,'Données projet'!$E$15+1,1))</f>
        <v>346.10839312896536</v>
      </c>
      <c r="EP71" s="60">
        <f t="shared" si="100"/>
        <v>196.24927250256087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5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8">
        <f t="shared" si="56"/>
        <v>430.69015114398906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0">
        <f t="shared" si="55"/>
        <v>867.72416854456674</v>
      </c>
      <c r="S72" s="60">
        <f ca="1">AVERAGE(OFFSET($R$3,0,0,'Données projet'!$E$9+1,1))-AVERAGE(OFFSET($H$3,0,0,'Données projet'!$E$9+1,1))</f>
        <v>327.62615088747526</v>
      </c>
      <c r="T72" s="60">
        <f t="shared" si="88"/>
        <v>180.48047802041276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247.49712</v>
      </c>
      <c r="AK72" s="14">
        <f t="shared" si="89"/>
        <v>60.049673316050104</v>
      </c>
      <c r="AL72" s="22">
        <f t="shared" si="58"/>
        <v>535.64399835878714</v>
      </c>
      <c r="AM72" s="60">
        <f t="shared" si="59"/>
        <v>828.97733169212052</v>
      </c>
      <c r="AN72" s="60">
        <f ca="1">AVERAGE(OFFSET($AM$3,0,0,'Données projet'!$E$10+1,1))-AVERAGE(OFFSET($H$3,0,0,'Données projet'!$E$10+1,1))</f>
        <v>295.5242128298583</v>
      </c>
      <c r="AO72" s="60">
        <f t="shared" si="90"/>
        <v>164.21740841327744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</v>
      </c>
      <c r="BD72" s="13">
        <f>IF('Données projet'!$A$88&gt;35,BD71+BC72-BL71,IF(A72&lt;'Données projet'!$A$88,$BA$205^A72,IF(A72='Données projet'!$A$88,'Données projet'!$B$88,BD71+BC72-BL71)))</f>
        <v>248.8461538461539</v>
      </c>
      <c r="BE72" s="14">
        <f>BD72*VLOOKUP('Données projet'!$B$11,Paramètres!$A$1:$I$89,3,0)*VLOOKUP('Données projet'!$B$11,Paramètres!$A$1:$I$89,5,0)</f>
        <v>236.80200000000008</v>
      </c>
      <c r="BF72" s="14">
        <f t="shared" si="91"/>
        <v>57.750928933772677</v>
      </c>
      <c r="BG72" s="22">
        <f t="shared" si="61"/>
        <v>513.01301789298748</v>
      </c>
      <c r="BH72" s="60">
        <f t="shared" si="62"/>
        <v>806.34635122632085</v>
      </c>
      <c r="BI72" s="60">
        <f ca="1">AVERAGE(OFFSET($BH$3,0,0,'Données projet'!$E$11+1,1))-AVERAGE(OFFSET($H$3,0,0,'Données projet'!$E$11+1,1))</f>
        <v>276.19649531804959</v>
      </c>
      <c r="BJ72" s="60">
        <f t="shared" si="92"/>
        <v>253.14970964973463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4.8</v>
      </c>
      <c r="BY72" s="13">
        <f>IF('Données projet'!$A$114&gt;35,BY71+BX72-CG71,IF(A72&lt;'Données projet'!$A$114,$BV$205^A72,IF(A72='Données projet'!$A$114,'Données projet'!$B$114,BY71+BX72-CG71)))</f>
        <v>252.20000000000005</v>
      </c>
      <c r="BZ72" s="14">
        <f>BY72*VLOOKUP('Données projet'!$B$12,Paramètres!$A$1:$I$89,3,0)*VLOOKUP('Données projet'!$B$12,Paramètres!$A$1:$I$89,5,0)</f>
        <v>165.24144000000004</v>
      </c>
      <c r="CA72" s="14">
        <f t="shared" si="93"/>
        <v>42.022509847937883</v>
      </c>
      <c r="CB72" s="22">
        <f t="shared" si="64"/>
        <v>360.98471265182519</v>
      </c>
      <c r="CC72" s="60">
        <f t="shared" si="65"/>
        <v>654.31804598515851</v>
      </c>
      <c r="CD72" s="60">
        <f ca="1">AVERAGE(OFFSET($CC$3,0,0,'Données projet'!$E$12+1,1))-AVERAGE(OFFSET($H$3,0,0,'Données projet'!$E$12+1,1))</f>
        <v>154.88061446835457</v>
      </c>
      <c r="CE72" s="60">
        <f t="shared" si="94"/>
        <v>201.47826692201693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0.92587418525571585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0.92587418525571585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7.6</v>
      </c>
      <c r="CT72" s="13">
        <f>IF('Données projet'!$A$140&gt;35,CT71+CS72-DB71,IF(A72&lt;'Données projet'!$A$140,$CQ$205^A72,IF(A72='Données projet'!$A$140,'Données projet'!$B$140,CT71+CS72-DB71)))</f>
        <v>241.4</v>
      </c>
      <c r="CU72" s="18">
        <f>CT72*VLOOKUP('Données projet'!$B$13,Paramètres!$A$1:$I$89,3,0)*VLOOKUP('Données projet'!$B$13,Paramètres!$A$1:$I$89,5,0)</f>
        <v>233.48208000000002</v>
      </c>
      <c r="CV72" s="14">
        <f t="shared" si="95"/>
        <v>57.034928946327504</v>
      </c>
      <c r="CW72" s="22">
        <f t="shared" si="67"/>
        <v>505.9837905815204</v>
      </c>
      <c r="CX72" s="60">
        <f t="shared" si="68"/>
        <v>799.31712391485371</v>
      </c>
      <c r="CY72" s="60">
        <f ca="1">AVERAGE(OFFSET($CX$3,0,0,'Données projet'!$E$13+1,1))-AVERAGE(OFFSET($H$3,0,0,'Données projet'!$E$13+1,1))</f>
        <v>293.44206058086951</v>
      </c>
      <c r="CZ72" s="60">
        <f t="shared" si="96"/>
        <v>182.15909509186827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7.6</v>
      </c>
      <c r="DO72" s="13">
        <f>IF('Données projet'!$A$166&gt;35,DO71+DN72-DW71,IF(A72&lt;'Données projet'!$A$166,$DL$205^A72,IF(A72='Données projet'!$A$166,'Données projet'!$B$166,DO71+DN72-DW71)))</f>
        <v>241.4</v>
      </c>
      <c r="DP72" s="18">
        <f>DO72*VLOOKUP('Données projet'!$B$14,Paramètres!$A$1:$I$89,3,0)*VLOOKUP('Données projet'!$B$14,Paramètres!$A$1:$I$89,5,0)</f>
        <v>259.84296000000001</v>
      </c>
      <c r="DQ72" s="14">
        <f t="shared" si="97"/>
        <v>62.688902197302973</v>
      </c>
      <c r="DR72" s="22">
        <f t="shared" si="70"/>
        <v>561.74299332696933</v>
      </c>
      <c r="DS72" s="60">
        <f t="shared" si="71"/>
        <v>855.07632666030258</v>
      </c>
      <c r="DT72" s="60">
        <f ca="1">AVERAGE(OFFSET($DS$3,0,0,'Données projet'!$E$14+1,1))-AVERAGE(OFFSET($H$3,0,0,'Données projet'!$E$14+1,1))</f>
        <v>338.92444234934266</v>
      </c>
      <c r="DU72" s="60">
        <f t="shared" si="98"/>
        <v>208.91548891910895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10</v>
      </c>
      <c r="EJ72" s="13">
        <f>IF('Données projet'!$A$192&gt;35,EJ71+EI72-ER71,IF(A72&lt;'Données projet'!$A$192,$EG$205^A72,IF(A72='Données projet'!$A$192,'Données projet'!$B$192,EJ71+EI72-ER71)))</f>
        <v>333.99999999999994</v>
      </c>
      <c r="EK72" s="18">
        <f>EJ72*VLOOKUP('Données projet'!$B$15,Paramètres!$A$1:$I$89,3,0)*VLOOKUP('Données projet'!$B$15,Paramètres!$A$1:$I$89,5,0)</f>
        <v>270.94079999999997</v>
      </c>
      <c r="EL72" s="14">
        <f t="shared" si="99"/>
        <v>65.048890354155489</v>
      </c>
      <c r="EM72" s="22">
        <f t="shared" si="73"/>
        <v>585.18204403348739</v>
      </c>
      <c r="EN72" s="60">
        <f t="shared" si="74"/>
        <v>878.51537736682076</v>
      </c>
      <c r="EO72" s="60">
        <f ca="1">AVERAGE(OFFSET($EN$3,0,0,'Données projet'!$E$15+1,1))-AVERAGE(OFFSET($H$3,0,0,'Données projet'!$E$15+1,1))</f>
        <v>346.10839312896536</v>
      </c>
      <c r="EP72" s="60">
        <f t="shared" si="100"/>
        <v>196.24927250256087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5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8">
        <f t="shared" si="56"/>
        <v>432.62905454958332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0">
        <f t="shared" si="55"/>
        <v>883.38916182135404</v>
      </c>
      <c r="S73" s="60">
        <f ca="1">AVERAGE(OFFSET($R$3,0,0,'Données projet'!$E$9+1,1))-AVERAGE(OFFSET($H$3,0,0,'Données projet'!$E$9+1,1))</f>
        <v>327.62615088747526</v>
      </c>
      <c r="T73" s="60">
        <f t="shared" si="88"/>
        <v>180.48047802041276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254.40479999999999</v>
      </c>
      <c r="AK73" s="14">
        <f t="shared" si="89"/>
        <v>61.52820154571765</v>
      </c>
      <c r="AL73" s="22">
        <f t="shared" si="58"/>
        <v>550.24997769212484</v>
      </c>
      <c r="AM73" s="60">
        <f t="shared" si="59"/>
        <v>843.58331102545822</v>
      </c>
      <c r="AN73" s="60">
        <f ca="1">AVERAGE(OFFSET($AM$3,0,0,'Données projet'!$E$10+1,1))-AVERAGE(OFFSET($H$3,0,0,'Données projet'!$E$10+1,1))</f>
        <v>295.5242128298583</v>
      </c>
      <c r="AO73" s="60">
        <f t="shared" si="90"/>
        <v>164.21740841327744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253.84615384615384</v>
      </c>
      <c r="BB73" s="13">
        <f>VLOOKUP(A73,'Données projet'!$A$87:$I$107,9,0)</f>
        <v>5</v>
      </c>
      <c r="BC73" s="13">
        <f t="array" ref="BC73">INDEX(BB:BB,MIN(IF(ISNUMBER(BB73:BB269),ROW(BB73:BB269),"")))</f>
        <v>5</v>
      </c>
      <c r="BD73" s="13">
        <f>IF('Données projet'!$A$88&gt;35,BD72+BC73-BL72,IF(A73&lt;'Données projet'!$A$88,$BA$205^A73,IF(A73='Données projet'!$A$88,'Données projet'!$B$88,BD72+BC73-BL72)))</f>
        <v>253.8461538461539</v>
      </c>
      <c r="BE73" s="14">
        <f>BD73*VLOOKUP('Données projet'!$B$11,Paramètres!$A$1:$I$89,3,0)*VLOOKUP('Données projet'!$B$11,Paramètres!$A$1:$I$89,5,0)</f>
        <v>241.56000000000003</v>
      </c>
      <c r="BF73" s="14">
        <f t="shared" si="91"/>
        <v>58.775045414448314</v>
      </c>
      <c r="BG73" s="22">
        <f t="shared" si="61"/>
        <v>523.08353743016426</v>
      </c>
      <c r="BH73" s="60">
        <f t="shared" si="62"/>
        <v>816.41687076349763</v>
      </c>
      <c r="BI73" s="60">
        <f ca="1">AVERAGE(OFFSET($BH$3,0,0,'Données projet'!$E$11+1,1))-AVERAGE(OFFSET($H$3,0,0,'Données projet'!$E$11+1,1))</f>
        <v>276.19649531804959</v>
      </c>
      <c r="BJ73" s="60">
        <f t="shared" si="92"/>
        <v>253.14970964973463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33.974358974358971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257</v>
      </c>
      <c r="BW73" s="13">
        <f>VLOOKUP(A73,'Données projet'!$A$113:$I$133,9,0)</f>
        <v>4.8</v>
      </c>
      <c r="BX73" s="13">
        <f t="array" ref="BX73">INDEX(BW:BW,MIN(IF(ISNUMBER(BW73:BW269),ROW(BW73:BW269),"")))</f>
        <v>4.8</v>
      </c>
      <c r="BY73" s="13">
        <f>IF('Données projet'!$A$114&gt;35,BY72+BX73-CG72,IF(A73&lt;'Données projet'!$A$114,$BV$205^A73,IF(A73='Données projet'!$A$114,'Données projet'!$B$114,BY72+BX73-CG72)))</f>
        <v>257.00000000000006</v>
      </c>
      <c r="BZ73" s="14">
        <f>BY73*VLOOKUP('Données projet'!$B$12,Paramètres!$A$1:$I$89,3,0)*VLOOKUP('Données projet'!$B$12,Paramètres!$A$1:$I$89,5,0)</f>
        <v>168.38640000000004</v>
      </c>
      <c r="CA73" s="14">
        <f t="shared" si="93"/>
        <v>42.728430513203243</v>
      </c>
      <c r="CB73" s="22">
        <f t="shared" si="64"/>
        <v>367.69166314382898</v>
      </c>
      <c r="CC73" s="60">
        <f t="shared" si="65"/>
        <v>661.02499647716229</v>
      </c>
      <c r="CD73" s="60">
        <f ca="1">AVERAGE(OFFSET($CC$3,0,0,'Données projet'!$E$12+1,1))-AVERAGE(OFFSET($H$3,0,0,'Données projet'!$E$12+1,1))</f>
        <v>154.88061446835457</v>
      </c>
      <c r="CE73" s="60">
        <f t="shared" si="94"/>
        <v>201.47826692201693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34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0.90055610697029098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0.90055610697029098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249</v>
      </c>
      <c r="CR73" s="13">
        <f>VLOOKUP(A73,'Données projet'!$A$139:$I$159,9,0)</f>
        <v>7.6</v>
      </c>
      <c r="CS73" s="13">
        <f t="array" ref="CS73">INDEX(CR:CR,MIN(IF(ISNUMBER(CR73:CR269),ROW(CR73:CR269),"")))</f>
        <v>7.6</v>
      </c>
      <c r="CT73" s="13">
        <f>IF('Données projet'!$A$140&gt;35,CT72+CS73-DB72,IF(A73&lt;'Données projet'!$A$140,$CQ$205^A73,IF(A73='Données projet'!$A$140,'Données projet'!$B$140,CT72+CS73-DB72)))</f>
        <v>249</v>
      </c>
      <c r="CU73" s="18">
        <f>CT73*VLOOKUP('Données projet'!$B$13,Paramètres!$A$1:$I$89,3,0)*VLOOKUP('Données projet'!$B$13,Paramètres!$A$1:$I$89,5,0)</f>
        <v>240.83279999999999</v>
      </c>
      <c r="CV73" s="14">
        <f t="shared" si="95"/>
        <v>58.618675319436669</v>
      </c>
      <c r="CW73" s="22">
        <f t="shared" si="67"/>
        <v>521.54465284801881</v>
      </c>
      <c r="CX73" s="60">
        <f t="shared" si="68"/>
        <v>814.87798618135207</v>
      </c>
      <c r="CY73" s="60">
        <f ca="1">AVERAGE(OFFSET($CX$3,0,0,'Données projet'!$E$13+1,1))-AVERAGE(OFFSET($H$3,0,0,'Données projet'!$E$13+1,1))</f>
        <v>293.44206058086951</v>
      </c>
      <c r="CZ73" s="60">
        <f t="shared" si="96"/>
        <v>182.15909509186827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249</v>
      </c>
      <c r="DM73" s="13">
        <f>VLOOKUP(A73,'Données projet'!$A$165:$I$185,9,0)</f>
        <v>7.6</v>
      </c>
      <c r="DN73" s="13">
        <f t="array" ref="DN73">INDEX(DM:DM,MIN(IF(ISNUMBER(DM73:DM269),ROW(DM73:DM269),"")))</f>
        <v>7.6</v>
      </c>
      <c r="DO73" s="13">
        <f>IF('Données projet'!$A$166&gt;35,DO72+DN73-DW72,IF(A73&lt;'Données projet'!$A$166,$DL$205^A73,IF(A73='Données projet'!$A$166,'Données projet'!$B$166,DO72+DN73-DW72)))</f>
        <v>249</v>
      </c>
      <c r="DP73" s="18">
        <f>DO73*VLOOKUP('Données projet'!$B$14,Paramètres!$A$1:$I$89,3,0)*VLOOKUP('Données projet'!$B$14,Paramètres!$A$1:$I$89,5,0)</f>
        <v>268.02359999999999</v>
      </c>
      <c r="DQ73" s="14">
        <f t="shared" si="97"/>
        <v>64.429648145853221</v>
      </c>
      <c r="DR73" s="22">
        <f t="shared" si="70"/>
        <v>579.02274052069424</v>
      </c>
      <c r="DS73" s="60">
        <f t="shared" si="71"/>
        <v>872.3560738540275</v>
      </c>
      <c r="DT73" s="60">
        <f ca="1">AVERAGE(OFFSET($DS$3,0,0,'Données projet'!$E$14+1,1))-AVERAGE(OFFSET($H$3,0,0,'Données projet'!$E$14+1,1))</f>
        <v>338.92444234934266</v>
      </c>
      <c r="DU73" s="60">
        <f t="shared" si="98"/>
        <v>208.91548891910895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344</v>
      </c>
      <c r="EH73" s="13">
        <f>VLOOKUP(A73,'Données projet'!$A$191:$I$211,9,0)</f>
        <v>10</v>
      </c>
      <c r="EI73" s="13">
        <f t="array" ref="EI73">INDEX(EH:EH,MIN(IF(ISNUMBER(EH73:EH269),ROW(EH73:EH269),"")))</f>
        <v>10</v>
      </c>
      <c r="EJ73" s="13">
        <f>IF('Données projet'!$A$192&gt;35,EJ72+EI73-ER72,IF(A73&lt;'Données projet'!$A$192,$EG$205^A73,IF(A73='Données projet'!$A$192,'Données projet'!$B$192,EJ72+EI73-ER72)))</f>
        <v>343.99999999999994</v>
      </c>
      <c r="EK73" s="18">
        <f>EJ73*VLOOKUP('Données projet'!$B$15,Paramètres!$A$1:$I$89,3,0)*VLOOKUP('Données projet'!$B$15,Paramètres!$A$1:$I$89,5,0)</f>
        <v>279.05279999999993</v>
      </c>
      <c r="EL73" s="14">
        <f t="shared" si="99"/>
        <v>66.766798832586332</v>
      </c>
      <c r="EM73" s="22">
        <f t="shared" si="73"/>
        <v>602.30246796675453</v>
      </c>
      <c r="EN73" s="60">
        <f t="shared" si="74"/>
        <v>895.63580130008791</v>
      </c>
      <c r="EO73" s="60">
        <f ca="1">AVERAGE(OFFSET($EN$3,0,0,'Données projet'!$E$15+1,1))-AVERAGE(OFFSET($H$3,0,0,'Données projet'!$E$15+1,1))</f>
        <v>346.10839312896536</v>
      </c>
      <c r="EP73" s="60">
        <f t="shared" si="100"/>
        <v>196.24927250256087</v>
      </c>
      <c r="EQ73" s="16">
        <f>IF(ISNA(VLOOKUP(A73,'Données projet'!$A$191:$I$211,3,0)),0,VLOOKUP(A73,'Données projet'!$A$191:$I$211,3,0))</f>
        <v>5</v>
      </c>
      <c r="ER73" s="16">
        <f>IF(ISNA(VLOOKUP(A73,'Données projet'!$A$191:$I$211,4,0)),0,VLOOKUP(A73,'Données projet'!$A$191:$I$211,4,0))</f>
        <v>56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5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8">
        <f t="shared" si="56"/>
        <v>434.56730960190009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projet'!$B$9,Paramètres!$A$1:$I$89,3,0)*VLOOKUP('Données projet'!$B$9,Paramètres!$A$1:$I$89,5,0)</f>
        <v>280.12607999999994</v>
      </c>
      <c r="P74" s="14">
        <f t="shared" si="87"/>
        <v>66.993652511337999</v>
      </c>
      <c r="Q74" s="22">
        <f t="shared" si="54"/>
        <v>604.56686745724687</v>
      </c>
      <c r="R74" s="60">
        <f t="shared" si="55"/>
        <v>897.90020079058013</v>
      </c>
      <c r="S74" s="60">
        <f ca="1">AVERAGE(OFFSET($R$3,0,0,'Données projet'!$E$9+1,1))-AVERAGE(OFFSET($H$3,0,0,'Données projet'!$E$9+1,1))</f>
        <v>327.62615088747526</v>
      </c>
      <c r="T74" s="60">
        <f t="shared" si="88"/>
        <v>180.48047802041276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309.59999999999997</v>
      </c>
      <c r="AJ74" s="14">
        <f>AI74*VLOOKUP('Données projet'!$B$10,Paramètres!$A$1:$I$89,3,0)*VLOOKUP('Données projet'!$B$10,Paramètres!$A$1:$I$89,5,0)</f>
        <v>260.80704000000003</v>
      </c>
      <c r="AK74" s="14">
        <f t="shared" si="89"/>
        <v>62.89437522937974</v>
      </c>
      <c r="AL74" s="22">
        <f t="shared" si="58"/>
        <v>563.77996485783649</v>
      </c>
      <c r="AM74" s="60">
        <f t="shared" si="59"/>
        <v>857.11329819116986</v>
      </c>
      <c r="AN74" s="60">
        <f ca="1">AVERAGE(OFFSET($AM$3,0,0,'Données projet'!$E$10+1,1))-AVERAGE(OFFSET($H$3,0,0,'Données projet'!$E$10+1,1))</f>
        <v>295.5242128298583</v>
      </c>
      <c r="AO74" s="60">
        <f t="shared" si="90"/>
        <v>164.21740841327744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4.8717948717948731</v>
      </c>
      <c r="BD74" s="13">
        <f>IF('Données projet'!$A$88&gt;35,BD73+BC74-BL73,IF(A74&lt;'Données projet'!$A$88,$BA$205^A74,IF(A74='Données projet'!$A$88,'Données projet'!$B$88,BD73+BC74-BL73)))</f>
        <v>224.74358974358981</v>
      </c>
      <c r="BE74" s="14">
        <f>BD74*VLOOKUP('Données projet'!$B$11,Paramètres!$A$1:$I$89,3,0)*VLOOKUP('Données projet'!$B$11,Paramètres!$A$1:$I$89,5,0)</f>
        <v>213.86600000000004</v>
      </c>
      <c r="BF74" s="14">
        <f t="shared" si="91"/>
        <v>52.779504939587291</v>
      </c>
      <c r="BG74" s="22">
        <f t="shared" si="61"/>
        <v>464.40758776978123</v>
      </c>
      <c r="BH74" s="60">
        <f t="shared" si="62"/>
        <v>757.74092110311449</v>
      </c>
      <c r="BI74" s="60">
        <f ca="1">AVERAGE(OFFSET($BH$3,0,0,'Données projet'!$E$11+1,1))-AVERAGE(OFFSET($H$3,0,0,'Données projet'!$E$11+1,1))</f>
        <v>276.19649531804959</v>
      </c>
      <c r="BJ74" s="60">
        <f t="shared" si="92"/>
        <v>253.14970964973463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3.6</v>
      </c>
      <c r="BY74" s="13">
        <f>IF('Données projet'!$A$114&gt;35,BY73+BX74-CG73,IF(A74&lt;'Données projet'!$A$114,$BV$205^A74,IF(A74='Données projet'!$A$114,'Données projet'!$B$114,BY73+BX74-CG73)))</f>
        <v>226.60000000000008</v>
      </c>
      <c r="BZ74" s="14">
        <f>BY74*VLOOKUP('Données projet'!$B$12,Paramètres!$A$1:$I$89,3,0)*VLOOKUP('Données projet'!$B$12,Paramètres!$A$1:$I$89,5,0)</f>
        <v>148.46832000000003</v>
      </c>
      <c r="CA74" s="14">
        <f t="shared" si="93"/>
        <v>38.230298193326924</v>
      </c>
      <c r="CB74" s="22">
        <f t="shared" si="64"/>
        <v>325.16676002004442</v>
      </c>
      <c r="CC74" s="60">
        <f t="shared" si="65"/>
        <v>618.50009335337768</v>
      </c>
      <c r="CD74" s="60">
        <f ca="1">AVERAGE(OFFSET($CC$3,0,0,'Données projet'!$E$12+1,1))-AVERAGE(OFFSET($H$3,0,0,'Données projet'!$E$12+1,1))</f>
        <v>154.88061446835457</v>
      </c>
      <c r="CE74" s="60">
        <f t="shared" si="94"/>
        <v>201.47826692201693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0.87593035286700094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0.87593035286700094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7.6</v>
      </c>
      <c r="CT74" s="13">
        <f>IF('Données projet'!$A$140&gt;35,CT73+CS74-DB73,IF(A74&lt;'Données projet'!$A$140,$CQ$205^A74,IF(A74='Données projet'!$A$140,'Données projet'!$B$140,CT73+CS74-DB73)))</f>
        <v>256.60000000000002</v>
      </c>
      <c r="CU74" s="18">
        <f>CT74*VLOOKUP('Données projet'!$B$13,Paramètres!$A$1:$I$89,3,0)*VLOOKUP('Données projet'!$B$13,Paramètres!$A$1:$I$89,5,0)</f>
        <v>248.18352000000002</v>
      </c>
      <c r="CV74" s="14">
        <f t="shared" si="95"/>
        <v>60.196804066006628</v>
      </c>
      <c r="CW74" s="22">
        <f t="shared" si="67"/>
        <v>537.09573108162817</v>
      </c>
      <c r="CX74" s="60">
        <f t="shared" si="68"/>
        <v>830.42906441496143</v>
      </c>
      <c r="CY74" s="60">
        <f ca="1">AVERAGE(OFFSET($CX$3,0,0,'Données projet'!$E$13+1,1))-AVERAGE(OFFSET($H$3,0,0,'Données projet'!$E$13+1,1))</f>
        <v>293.44206058086951</v>
      </c>
      <c r="CZ74" s="60">
        <f t="shared" si="96"/>
        <v>182.15909509186827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7.6</v>
      </c>
      <c r="DO74" s="13">
        <f>IF('Données projet'!$A$166&gt;35,DO73+DN74-DW73,IF(A74&lt;'Données projet'!$A$166,$DL$205^A74,IF(A74='Données projet'!$A$166,'Données projet'!$B$166,DO73+DN74-DW73)))</f>
        <v>256.60000000000002</v>
      </c>
      <c r="DP74" s="18">
        <f>DO74*VLOOKUP('Données projet'!$B$14,Paramètres!$A$1:$I$89,3,0)*VLOOKUP('Données projet'!$B$14,Paramètres!$A$1:$I$89,5,0)</f>
        <v>276.20424000000003</v>
      </c>
      <c r="DQ74" s="14">
        <f t="shared" si="97"/>
        <v>66.164219582622692</v>
      </c>
      <c r="DR74" s="22">
        <f t="shared" si="70"/>
        <v>596.2917337730679</v>
      </c>
      <c r="DS74" s="60">
        <f t="shared" si="71"/>
        <v>889.62506710640127</v>
      </c>
      <c r="DT74" s="60">
        <f ca="1">AVERAGE(OFFSET($DS$3,0,0,'Données projet'!$E$14+1,1))-AVERAGE(OFFSET($H$3,0,0,'Données projet'!$E$14+1,1))</f>
        <v>338.92444234934266</v>
      </c>
      <c r="DU74" s="60">
        <f t="shared" si="98"/>
        <v>208.91548891910895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9.4</v>
      </c>
      <c r="EJ74" s="13">
        <f>IF('Données projet'!$A$192&gt;35,EJ73+EI74-ER73,IF(A74&lt;'Données projet'!$A$192,$EG$205^A74,IF(A74='Données projet'!$A$192,'Données projet'!$B$192,EJ73+EI74-ER73)))</f>
        <v>297.39999999999992</v>
      </c>
      <c r="EK74" s="18">
        <f>EJ74*VLOOKUP('Données projet'!$B$15,Paramètres!$A$1:$I$89,3,0)*VLOOKUP('Données projet'!$B$15,Paramètres!$A$1:$I$89,5,0)</f>
        <v>241.25087999999997</v>
      </c>
      <c r="EL74" s="14">
        <f t="shared" si="99"/>
        <v>58.708581927297487</v>
      </c>
      <c r="EM74" s="22">
        <f t="shared" si="73"/>
        <v>522.42939619004312</v>
      </c>
      <c r="EN74" s="60">
        <f t="shared" si="74"/>
        <v>815.76272952337649</v>
      </c>
      <c r="EO74" s="60">
        <f ca="1">AVERAGE(OFFSET($EN$3,0,0,'Données projet'!$E$15+1,1))-AVERAGE(OFFSET($H$3,0,0,'Données projet'!$E$15+1,1))</f>
        <v>346.10839312896536</v>
      </c>
      <c r="EP74" s="60">
        <f t="shared" si="100"/>
        <v>196.24927250256087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5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8">
        <f t="shared" si="56"/>
        <v>436.50492648793568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projet'!$B$9,Paramètres!$A$1:$I$89,3,0)*VLOOKUP('Données projet'!$B$9,Paramètres!$A$1:$I$89,5,0)</f>
        <v>287.00255999999996</v>
      </c>
      <c r="P75" s="14">
        <f t="shared" si="87"/>
        <v>68.444716936118553</v>
      </c>
      <c r="Q75" s="22">
        <f t="shared" si="54"/>
        <v>619.07067399707296</v>
      </c>
      <c r="R75" s="60">
        <f t="shared" si="55"/>
        <v>912.40400733040633</v>
      </c>
      <c r="S75" s="60">
        <f ca="1">AVERAGE(OFFSET($R$3,0,0,'Données projet'!$E$9+1,1))-AVERAGE(OFFSET($H$3,0,0,'Données projet'!$E$9+1,1))</f>
        <v>327.62615088747526</v>
      </c>
      <c r="T75" s="60">
        <f t="shared" si="88"/>
        <v>180.48047802041276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317.2</v>
      </c>
      <c r="AJ75" s="14">
        <f>AI75*VLOOKUP('Données projet'!$B$10,Paramètres!$A$1:$I$89,3,0)*VLOOKUP('Données projet'!$B$10,Paramètres!$A$1:$I$89,5,0)</f>
        <v>267.20928000000004</v>
      </c>
      <c r="AK75" s="14">
        <f t="shared" si="89"/>
        <v>64.256650415058076</v>
      </c>
      <c r="AL75" s="22">
        <f t="shared" si="58"/>
        <v>577.3031621395595</v>
      </c>
      <c r="AM75" s="60">
        <f t="shared" si="59"/>
        <v>870.63649547289288</v>
      </c>
      <c r="AN75" s="60">
        <f ca="1">AVERAGE(OFFSET($AM$3,0,0,'Données projet'!$E$10+1,1))-AVERAGE(OFFSET($H$3,0,0,'Données projet'!$E$10+1,1))</f>
        <v>295.5242128298583</v>
      </c>
      <c r="AO75" s="60">
        <f t="shared" si="90"/>
        <v>164.21740841327744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4.8717948717948731</v>
      </c>
      <c r="BD75" s="13">
        <f>IF('Données projet'!$A$88&gt;35,BD74+BC75-BL74,IF(A75&lt;'Données projet'!$A$88,$BA$205^A75,IF(A75='Données projet'!$A$88,'Données projet'!$B$88,BD74+BC75-BL74)))</f>
        <v>229.61538461538467</v>
      </c>
      <c r="BE75" s="14">
        <f>BD75*VLOOKUP('Données projet'!$B$11,Paramètres!$A$1:$I$89,3,0)*VLOOKUP('Données projet'!$B$11,Paramètres!$A$1:$I$89,5,0)</f>
        <v>218.50200000000007</v>
      </c>
      <c r="BF75" s="14">
        <f t="shared" si="91"/>
        <v>53.789173468854308</v>
      </c>
      <c r="BG75" s="22">
        <f t="shared" si="61"/>
        <v>474.24046045825463</v>
      </c>
      <c r="BH75" s="60">
        <f t="shared" si="62"/>
        <v>767.57379379158795</v>
      </c>
      <c r="BI75" s="60">
        <f ca="1">AVERAGE(OFFSET($BH$3,0,0,'Données projet'!$E$11+1,1))-AVERAGE(OFFSET($H$3,0,0,'Données projet'!$E$11+1,1))</f>
        <v>276.19649531804959</v>
      </c>
      <c r="BJ75" s="60">
        <f t="shared" si="92"/>
        <v>253.14970964973463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3.6</v>
      </c>
      <c r="BY75" s="13">
        <f>IF('Données projet'!$A$114&gt;35,BY74+BX75-CG74,IF(A75&lt;'Données projet'!$A$114,$BV$205^A75,IF(A75='Données projet'!$A$114,'Données projet'!$B$114,BY74+BX75-CG74)))</f>
        <v>230.20000000000007</v>
      </c>
      <c r="BZ75" s="14">
        <f>BY75*VLOOKUP('Données projet'!$B$12,Paramètres!$A$1:$I$89,3,0)*VLOOKUP('Données projet'!$B$12,Paramètres!$A$1:$I$89,5,0)</f>
        <v>150.82704000000004</v>
      </c>
      <c r="CA75" s="14">
        <f t="shared" si="93"/>
        <v>38.766473241102211</v>
      </c>
      <c r="CB75" s="22">
        <f t="shared" si="64"/>
        <v>330.20870222825306</v>
      </c>
      <c r="CC75" s="60">
        <f t="shared" si="65"/>
        <v>623.54203556158632</v>
      </c>
      <c r="CD75" s="60">
        <f ca="1">AVERAGE(OFFSET($CC$3,0,0,'Données projet'!$E$12+1,1))-AVERAGE(OFFSET($H$3,0,0,'Données projet'!$E$12+1,1))</f>
        <v>154.88061446835457</v>
      </c>
      <c r="CE75" s="60">
        <f t="shared" si="94"/>
        <v>201.47826692201693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0.85197799130467755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0.85197799130467755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7.6</v>
      </c>
      <c r="CT75" s="13">
        <f>IF('Données projet'!$A$140&gt;35,CT74+CS75-DB74,IF(A75&lt;'Données projet'!$A$140,$CQ$205^A75,IF(A75='Données projet'!$A$140,'Données projet'!$B$140,CT74+CS75-DB74)))</f>
        <v>264.20000000000005</v>
      </c>
      <c r="CU75" s="18">
        <f>CT75*VLOOKUP('Données projet'!$B$13,Paramètres!$A$1:$I$89,3,0)*VLOOKUP('Données projet'!$B$13,Paramètres!$A$1:$I$89,5,0)</f>
        <v>255.53424000000007</v>
      </c>
      <c r="CV75" s="14">
        <f t="shared" si="95"/>
        <v>61.769500671543469</v>
      </c>
      <c r="CW75" s="22">
        <f t="shared" si="67"/>
        <v>552.63734833627166</v>
      </c>
      <c r="CX75" s="60">
        <f t="shared" si="68"/>
        <v>845.97068166960503</v>
      </c>
      <c r="CY75" s="60">
        <f ca="1">AVERAGE(OFFSET($CX$3,0,0,'Données projet'!$E$13+1,1))-AVERAGE(OFFSET($H$3,0,0,'Données projet'!$E$13+1,1))</f>
        <v>293.44206058086951</v>
      </c>
      <c r="CZ75" s="60">
        <f t="shared" si="96"/>
        <v>182.15909509186827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7.6</v>
      </c>
      <c r="DO75" s="13">
        <f>IF('Données projet'!$A$166&gt;35,DO74+DN75-DW74,IF(A75&lt;'Données projet'!$A$166,$DL$205^A75,IF(A75='Données projet'!$A$166,'Données projet'!$B$166,DO74+DN75-DW74)))</f>
        <v>264.20000000000005</v>
      </c>
      <c r="DP75" s="18">
        <f>DO75*VLOOKUP('Données projet'!$B$14,Paramètres!$A$1:$I$89,3,0)*VLOOKUP('Données projet'!$B$14,Paramètres!$A$1:$I$89,5,0)</f>
        <v>284.38488000000007</v>
      </c>
      <c r="DQ75" s="14">
        <f t="shared" si="97"/>
        <v>67.892820380623348</v>
      </c>
      <c r="DR75" s="22">
        <f t="shared" si="70"/>
        <v>613.55032816291907</v>
      </c>
      <c r="DS75" s="60">
        <f t="shared" si="71"/>
        <v>906.88366149625244</v>
      </c>
      <c r="DT75" s="60">
        <f ca="1">AVERAGE(OFFSET($DS$3,0,0,'Données projet'!$E$14+1,1))-AVERAGE(OFFSET($H$3,0,0,'Données projet'!$E$14+1,1))</f>
        <v>338.92444234934266</v>
      </c>
      <c r="DU75" s="60">
        <f t="shared" si="98"/>
        <v>208.91548891910895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9.4</v>
      </c>
      <c r="EJ75" s="13">
        <f>IF('Données projet'!$A$192&gt;35,EJ74+EI75-ER74,IF(A75&lt;'Données projet'!$A$192,$EG$205^A75,IF(A75='Données projet'!$A$192,'Données projet'!$B$192,EJ74+EI75-ER74)))</f>
        <v>306.7999999999999</v>
      </c>
      <c r="EK75" s="18">
        <f>EJ75*VLOOKUP('Données projet'!$B$15,Paramètres!$A$1:$I$89,3,0)*VLOOKUP('Données projet'!$B$15,Paramètres!$A$1:$I$89,5,0)</f>
        <v>248.87615999999991</v>
      </c>
      <c r="EL75" s="14">
        <f t="shared" si="99"/>
        <v>60.345224363146883</v>
      </c>
      <c r="EM75" s="22">
        <f t="shared" si="73"/>
        <v>538.56057776581395</v>
      </c>
      <c r="EN75" s="60">
        <f t="shared" si="74"/>
        <v>831.89391109914732</v>
      </c>
      <c r="EO75" s="60">
        <f ca="1">AVERAGE(OFFSET($EN$3,0,0,'Données projet'!$E$15+1,1))-AVERAGE(OFFSET($H$3,0,0,'Données projet'!$E$15+1,1))</f>
        <v>346.10839312896536</v>
      </c>
      <c r="EP75" s="60">
        <f t="shared" si="100"/>
        <v>196.24927250256087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5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8">
        <f t="shared" si="56"/>
        <v>438.44191509545817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projet'!$B$9,Paramètres!$A$1:$I$89,3,0)*VLOOKUP('Données projet'!$B$9,Paramètres!$A$1:$I$89,5,0)</f>
        <v>293.87903999999997</v>
      </c>
      <c r="P76" s="14">
        <f t="shared" si="87"/>
        <v>69.891739712361669</v>
      </c>
      <c r="Q76" s="22">
        <f t="shared" si="54"/>
        <v>633.56744133236327</v>
      </c>
      <c r="R76" s="60">
        <f t="shared" si="55"/>
        <v>926.90077466569664</v>
      </c>
      <c r="S76" s="60">
        <f ca="1">AVERAGE(OFFSET($R$3,0,0,'Données projet'!$E$9+1,1))-AVERAGE(OFFSET($H$3,0,0,'Données projet'!$E$9+1,1))</f>
        <v>327.62615088747526</v>
      </c>
      <c r="T76" s="60">
        <f t="shared" si="88"/>
        <v>180.48047802041276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324.8</v>
      </c>
      <c r="AJ76" s="14">
        <f>AI76*VLOOKUP('Données projet'!$B$10,Paramètres!$A$1:$I$89,3,0)*VLOOKUP('Données projet'!$B$10,Paramètres!$A$1:$I$89,5,0)</f>
        <v>273.61152000000004</v>
      </c>
      <c r="AK76" s="14">
        <f t="shared" si="89"/>
        <v>65.615131256792893</v>
      </c>
      <c r="AL76" s="22">
        <f t="shared" si="58"/>
        <v>590.81975093891435</v>
      </c>
      <c r="AM76" s="60">
        <f t="shared" si="59"/>
        <v>884.15308427224772</v>
      </c>
      <c r="AN76" s="60">
        <f ca="1">AVERAGE(OFFSET($AM$3,0,0,'Données projet'!$E$10+1,1))-AVERAGE(OFFSET($H$3,0,0,'Données projet'!$E$10+1,1))</f>
        <v>295.5242128298583</v>
      </c>
      <c r="AO76" s="60">
        <f t="shared" si="90"/>
        <v>164.21740841327744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4.8717948717948731</v>
      </c>
      <c r="BD76" s="13">
        <f>IF('Données projet'!$A$88&gt;35,BD75+BC76-BL75,IF(A76&lt;'Données projet'!$A$88,$BA$205^A76,IF(A76='Données projet'!$A$88,'Données projet'!$B$88,BD75+BC76-BL75)))</f>
        <v>234.48717948717953</v>
      </c>
      <c r="BE76" s="14">
        <f>BD76*VLOOKUP('Données projet'!$B$11,Paramètres!$A$1:$I$89,3,0)*VLOOKUP('Données projet'!$B$11,Paramètres!$A$1:$I$89,5,0)</f>
        <v>223.13800000000006</v>
      </c>
      <c r="BF76" s="14">
        <f t="shared" si="91"/>
        <v>54.796351317280866</v>
      </c>
      <c r="BG76" s="22">
        <f t="shared" si="61"/>
        <v>484.06899521093095</v>
      </c>
      <c r="BH76" s="60">
        <f t="shared" si="62"/>
        <v>777.40232854426426</v>
      </c>
      <c r="BI76" s="60">
        <f ca="1">AVERAGE(OFFSET($BH$3,0,0,'Données projet'!$E$11+1,1))-AVERAGE(OFFSET($H$3,0,0,'Données projet'!$E$11+1,1))</f>
        <v>276.19649531804959</v>
      </c>
      <c r="BJ76" s="60">
        <f t="shared" si="92"/>
        <v>253.14970964973463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3.6</v>
      </c>
      <c r="BY76" s="13">
        <f>IF('Données projet'!$A$114&gt;35,BY75+BX76-CG75,IF(A76&lt;'Données projet'!$A$114,$BV$205^A76,IF(A76='Données projet'!$A$114,'Données projet'!$B$114,BY75+BX76-CG75)))</f>
        <v>233.80000000000007</v>
      </c>
      <c r="BZ76" s="14">
        <f>BY76*VLOOKUP('Données projet'!$B$12,Paramètres!$A$1:$I$89,3,0)*VLOOKUP('Données projet'!$B$12,Paramètres!$A$1:$I$89,5,0)</f>
        <v>153.18576000000004</v>
      </c>
      <c r="CA76" s="14">
        <f t="shared" si="93"/>
        <v>39.301673119043755</v>
      </c>
      <c r="CB76" s="22">
        <f t="shared" si="64"/>
        <v>335.24894601566797</v>
      </c>
      <c r="CC76" s="60">
        <f t="shared" si="65"/>
        <v>628.58227934900128</v>
      </c>
      <c r="CD76" s="60">
        <f ca="1">AVERAGE(OFFSET($CC$3,0,0,'Données projet'!$E$12+1,1))-AVERAGE(OFFSET($H$3,0,0,'Données projet'!$E$12+1,1))</f>
        <v>154.88061446835457</v>
      </c>
      <c r="CE76" s="60">
        <f t="shared" si="94"/>
        <v>201.47826692201693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0.8286806083288758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0.8286806083288758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7.6</v>
      </c>
      <c r="CT76" s="13">
        <f>IF('Données projet'!$A$140&gt;35,CT75+CS76-DB75,IF(A76&lt;'Données projet'!$A$140,$CQ$205^A76,IF(A76='Données projet'!$A$140,'Données projet'!$B$140,CT75+CS76-DB75)))</f>
        <v>271.80000000000007</v>
      </c>
      <c r="CU76" s="18">
        <f>CT76*VLOOKUP('Données projet'!$B$13,Paramètres!$A$1:$I$89,3,0)*VLOOKUP('Données projet'!$B$13,Paramètres!$A$1:$I$89,5,0)</f>
        <v>262.88496000000009</v>
      </c>
      <c r="CV76" s="14">
        <f t="shared" si="95"/>
        <v>63.336939343272014</v>
      </c>
      <c r="CW76" s="22">
        <f t="shared" si="67"/>
        <v>568.1698080228656</v>
      </c>
      <c r="CX76" s="60">
        <f t="shared" si="68"/>
        <v>861.50314135619897</v>
      </c>
      <c r="CY76" s="60">
        <f ca="1">AVERAGE(OFFSET($CX$3,0,0,'Données projet'!$E$13+1,1))-AVERAGE(OFFSET($H$3,0,0,'Données projet'!$E$13+1,1))</f>
        <v>293.44206058086951</v>
      </c>
      <c r="CZ76" s="60">
        <f t="shared" si="96"/>
        <v>182.15909509186827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7.6</v>
      </c>
      <c r="DO76" s="13">
        <f>IF('Données projet'!$A$166&gt;35,DO75+DN76-DW75,IF(A76&lt;'Données projet'!$A$166,$DL$205^A76,IF(A76='Données projet'!$A$166,'Données projet'!$B$166,DO75+DN76-DW75)))</f>
        <v>271.80000000000007</v>
      </c>
      <c r="DP76" s="18">
        <f>DO76*VLOOKUP('Données projet'!$B$14,Paramètres!$A$1:$I$89,3,0)*VLOOKUP('Données projet'!$B$14,Paramètres!$A$1:$I$89,5,0)</f>
        <v>292.56552000000005</v>
      </c>
      <c r="DQ76" s="14">
        <f t="shared" si="97"/>
        <v>69.615642016549756</v>
      </c>
      <c r="DR76" s="22">
        <f t="shared" si="70"/>
        <v>630.79885717882428</v>
      </c>
      <c r="DS76" s="60">
        <f t="shared" si="71"/>
        <v>924.13219051215765</v>
      </c>
      <c r="DT76" s="60">
        <f ca="1">AVERAGE(OFFSET($DS$3,0,0,'Données projet'!$E$14+1,1))-AVERAGE(OFFSET($H$3,0,0,'Données projet'!$E$14+1,1))</f>
        <v>338.92444234934266</v>
      </c>
      <c r="DU76" s="60">
        <f t="shared" si="98"/>
        <v>208.91548891910895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9.4</v>
      </c>
      <c r="EJ76" s="13">
        <f>IF('Données projet'!$A$192&gt;35,EJ75+EI76-ER75,IF(A76&lt;'Données projet'!$A$192,$EG$205^A76,IF(A76='Données projet'!$A$192,'Données projet'!$B$192,EJ75+EI76-ER75)))</f>
        <v>316.19999999999987</v>
      </c>
      <c r="EK76" s="18">
        <f>EJ76*VLOOKUP('Données projet'!$B$15,Paramètres!$A$1:$I$89,3,0)*VLOOKUP('Données projet'!$B$15,Paramètres!$A$1:$I$89,5,0)</f>
        <v>256.50143999999995</v>
      </c>
      <c r="EL76" s="14">
        <f t="shared" si="99"/>
        <v>61.976039371382214</v>
      </c>
      <c r="EM76" s="22">
        <f t="shared" si="73"/>
        <v>554.68160990515719</v>
      </c>
      <c r="EN76" s="60">
        <f t="shared" si="74"/>
        <v>848.01494323849056</v>
      </c>
      <c r="EO76" s="60">
        <f ca="1">AVERAGE(OFFSET($EN$3,0,0,'Données projet'!$E$15+1,1))-AVERAGE(OFFSET($H$3,0,0,'Données projet'!$E$15+1,1))</f>
        <v>346.10839312896536</v>
      </c>
      <c r="EP76" s="60">
        <f t="shared" si="100"/>
        <v>196.24927250256087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5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8">
        <f t="shared" si="56"/>
        <v>440.37828502577372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projet'!$B$9,Paramètres!$A$1:$I$89,3,0)*VLOOKUP('Données projet'!$B$9,Paramètres!$A$1:$I$89,5,0)</f>
        <v>300.75551999999999</v>
      </c>
      <c r="P77" s="14">
        <f t="shared" si="87"/>
        <v>71.334826294482014</v>
      </c>
      <c r="Q77" s="22">
        <f t="shared" si="54"/>
        <v>648.05735312955619</v>
      </c>
      <c r="R77" s="60">
        <f t="shared" si="55"/>
        <v>941.39068646288956</v>
      </c>
      <c r="S77" s="60">
        <f ca="1">AVERAGE(OFFSET($R$3,0,0,'Données projet'!$E$9+1,1))-AVERAGE(OFFSET($H$3,0,0,'Données projet'!$E$9+1,1))</f>
        <v>327.62615088747526</v>
      </c>
      <c r="T77" s="60">
        <f t="shared" si="88"/>
        <v>180.48047802041276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332.40000000000003</v>
      </c>
      <c r="AJ77" s="14">
        <f>AI77*VLOOKUP('Données projet'!$B$10,Paramètres!$A$1:$I$89,3,0)*VLOOKUP('Données projet'!$B$10,Paramètres!$A$1:$I$89,5,0)</f>
        <v>280.01376000000005</v>
      </c>
      <c r="AK77" s="14">
        <f t="shared" si="89"/>
        <v>66.969916756344503</v>
      </c>
      <c r="AL77" s="22">
        <f t="shared" si="58"/>
        <v>604.32990368396679</v>
      </c>
      <c r="AM77" s="60">
        <f t="shared" si="59"/>
        <v>897.66323701730016</v>
      </c>
      <c r="AN77" s="60">
        <f ca="1">AVERAGE(OFFSET($AM$3,0,0,'Données projet'!$E$10+1,1))-AVERAGE(OFFSET($H$3,0,0,'Données projet'!$E$10+1,1))</f>
        <v>295.5242128298583</v>
      </c>
      <c r="AO77" s="60">
        <f t="shared" si="90"/>
        <v>164.21740841327744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4.8717948717948731</v>
      </c>
      <c r="BD77" s="13">
        <f>IF('Données projet'!$A$88&gt;35,BD76+BC77-BL76,IF(A77&lt;'Données projet'!$A$88,$BA$205^A77,IF(A77='Données projet'!$A$88,'Données projet'!$B$88,BD76+BC77-BL76)))</f>
        <v>239.35897435897439</v>
      </c>
      <c r="BE77" s="14">
        <f>BD77*VLOOKUP('Données projet'!$B$11,Paramètres!$A$1:$I$89,3,0)*VLOOKUP('Données projet'!$B$11,Paramètres!$A$1:$I$89,5,0)</f>
        <v>227.77400000000003</v>
      </c>
      <c r="BF77" s="14">
        <f t="shared" si="91"/>
        <v>55.801096194172317</v>
      </c>
      <c r="BG77" s="22">
        <f t="shared" si="61"/>
        <v>493.89329253818352</v>
      </c>
      <c r="BH77" s="60">
        <f t="shared" si="62"/>
        <v>787.22662587151683</v>
      </c>
      <c r="BI77" s="60">
        <f ca="1">AVERAGE(OFFSET($BH$3,0,0,'Données projet'!$E$11+1,1))-AVERAGE(OFFSET($H$3,0,0,'Données projet'!$E$11+1,1))</f>
        <v>276.19649531804959</v>
      </c>
      <c r="BJ77" s="60">
        <f t="shared" si="92"/>
        <v>253.14970964973463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3.6</v>
      </c>
      <c r="BY77" s="13">
        <f>IF('Données projet'!$A$114&gt;35,BY76+BX77-CG76,IF(A77&lt;'Données projet'!$A$114,$BV$205^A77,IF(A77='Données projet'!$A$114,'Données projet'!$B$114,BY76+BX77-CG76)))</f>
        <v>237.40000000000006</v>
      </c>
      <c r="BZ77" s="14">
        <f>BY77*VLOOKUP('Données projet'!$B$12,Paramètres!$A$1:$I$89,3,0)*VLOOKUP('Données projet'!$B$12,Paramètres!$A$1:$I$89,5,0)</f>
        <v>155.54448000000005</v>
      </c>
      <c r="CA77" s="14">
        <f t="shared" si="93"/>
        <v>39.835914576715666</v>
      </c>
      <c r="CB77" s="22">
        <f t="shared" si="64"/>
        <v>340.28752055444653</v>
      </c>
      <c r="CC77" s="60">
        <f t="shared" si="65"/>
        <v>633.62085388777984</v>
      </c>
      <c r="CD77" s="60">
        <f ca="1">AVERAGE(OFFSET($CC$3,0,0,'Données projet'!$E$12+1,1))-AVERAGE(OFFSET($H$3,0,0,'Données projet'!$E$12+1,1))</f>
        <v>154.88061446835457</v>
      </c>
      <c r="CE77" s="60">
        <f t="shared" si="94"/>
        <v>201.47826692201693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0.80602029351570348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0.80602029351570348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7.6</v>
      </c>
      <c r="CT77" s="13">
        <f>IF('Données projet'!$A$140&gt;35,CT76+CS77-DB76,IF(A77&lt;'Données projet'!$A$140,$CQ$205^A77,IF(A77='Données projet'!$A$140,'Données projet'!$B$140,CT76+CS77-DB76)))</f>
        <v>279.40000000000009</v>
      </c>
      <c r="CU77" s="18">
        <f>CT77*VLOOKUP('Données projet'!$B$13,Paramètres!$A$1:$I$89,3,0)*VLOOKUP('Données projet'!$B$13,Paramètres!$A$1:$I$89,5,0)</f>
        <v>270.23568000000012</v>
      </c>
      <c r="CV77" s="14">
        <f t="shared" si="95"/>
        <v>64.899283991845081</v>
      </c>
      <c r="CW77" s="22">
        <f t="shared" si="67"/>
        <v>583.69339561913046</v>
      </c>
      <c r="CX77" s="60">
        <f t="shared" si="68"/>
        <v>877.02672895246383</v>
      </c>
      <c r="CY77" s="60">
        <f ca="1">AVERAGE(OFFSET($CX$3,0,0,'Données projet'!$E$13+1,1))-AVERAGE(OFFSET($H$3,0,0,'Données projet'!$E$13+1,1))</f>
        <v>293.44206058086951</v>
      </c>
      <c r="CZ77" s="60">
        <f t="shared" si="96"/>
        <v>182.15909509186827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7.6</v>
      </c>
      <c r="DO77" s="13">
        <f>IF('Données projet'!$A$166&gt;35,DO76+DN77-DW76,IF(A77&lt;'Données projet'!$A$166,$DL$205^A77,IF(A77='Données projet'!$A$166,'Données projet'!$B$166,DO76+DN77-DW76)))</f>
        <v>279.40000000000009</v>
      </c>
      <c r="DP77" s="18">
        <f>DO77*VLOOKUP('Données projet'!$B$14,Paramètres!$A$1:$I$89,3,0)*VLOOKUP('Données projet'!$B$14,Paramètres!$A$1:$I$89,5,0)</f>
        <v>300.74616000000009</v>
      </c>
      <c r="DQ77" s="14">
        <f t="shared" si="97"/>
        <v>71.332864649807433</v>
      </c>
      <c r="DR77" s="22">
        <f t="shared" si="70"/>
        <v>648.0376345984148</v>
      </c>
      <c r="DS77" s="60">
        <f t="shared" si="71"/>
        <v>941.37096793174805</v>
      </c>
      <c r="DT77" s="60">
        <f ca="1">AVERAGE(OFFSET($DS$3,0,0,'Données projet'!$E$14+1,1))-AVERAGE(OFFSET($H$3,0,0,'Données projet'!$E$14+1,1))</f>
        <v>338.92444234934266</v>
      </c>
      <c r="DU77" s="60">
        <f t="shared" si="98"/>
        <v>208.91548891910895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9.4</v>
      </c>
      <c r="EJ77" s="13">
        <f>IF('Données projet'!$A$192&gt;35,EJ76+EI77-ER76,IF(A77&lt;'Données projet'!$A$192,$EG$205^A77,IF(A77='Données projet'!$A$192,'Données projet'!$B$192,EJ76+EI77-ER76)))</f>
        <v>325.59999999999985</v>
      </c>
      <c r="EK77" s="18">
        <f>EJ77*VLOOKUP('Données projet'!$B$15,Paramètres!$A$1:$I$89,3,0)*VLOOKUP('Données projet'!$B$15,Paramètres!$A$1:$I$89,5,0)</f>
        <v>264.12671999999992</v>
      </c>
      <c r="EL77" s="14">
        <f t="shared" si="99"/>
        <v>63.601220078222639</v>
      </c>
      <c r="EM77" s="22">
        <f t="shared" si="73"/>
        <v>570.79282896957091</v>
      </c>
      <c r="EN77" s="60">
        <f t="shared" si="74"/>
        <v>864.12616230290428</v>
      </c>
      <c r="EO77" s="60">
        <f ca="1">AVERAGE(OFFSET($EN$3,0,0,'Données projet'!$E$15+1,1))-AVERAGE(OFFSET($H$3,0,0,'Données projet'!$E$15+1,1))</f>
        <v>346.10839312896536</v>
      </c>
      <c r="EP77" s="60">
        <f t="shared" si="100"/>
        <v>196.24927250256087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5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8">
        <f t="shared" si="56"/>
        <v>442.31404560578176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projet'!$B$9,Paramètres!$A$1:$I$89,3,0)*VLOOKUP('Données projet'!$B$9,Paramètres!$A$1:$I$89,5,0)</f>
        <v>307.63200000000006</v>
      </c>
      <c r="P78" s="14">
        <f t="shared" si="87"/>
        <v>72.774077039465567</v>
      </c>
      <c r="Q78" s="22">
        <f t="shared" si="54"/>
        <v>662.54058417706926</v>
      </c>
      <c r="R78" s="60">
        <f t="shared" si="55"/>
        <v>955.87391751040263</v>
      </c>
      <c r="S78" s="60">
        <f ca="1">AVERAGE(OFFSET($R$3,0,0,'Données projet'!$E$9+1,1))-AVERAGE(OFFSET($H$3,0,0,'Données projet'!$E$9+1,1))</f>
        <v>327.62615088747526</v>
      </c>
      <c r="T78" s="60">
        <f t="shared" si="88"/>
        <v>180.48047802041276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340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340.00000000000006</v>
      </c>
      <c r="AJ78" s="14">
        <f>AI78*VLOOKUP('Données projet'!$B$10,Paramètres!$A$1:$I$89,3,0)*VLOOKUP('Données projet'!$B$10,Paramètres!$A$1:$I$89,5,0)</f>
        <v>286.41600000000011</v>
      </c>
      <c r="AK78" s="14">
        <f t="shared" si="89"/>
        <v>68.321101129951245</v>
      </c>
      <c r="AL78" s="22">
        <f t="shared" si="58"/>
        <v>617.83378446799861</v>
      </c>
      <c r="AM78" s="60">
        <f t="shared" si="59"/>
        <v>911.16711780133187</v>
      </c>
      <c r="AN78" s="60">
        <f ca="1">AVERAGE(OFFSET($AM$3,0,0,'Données projet'!$E$10+1,1))-AVERAGE(OFFSET($H$3,0,0,'Données projet'!$E$10+1,1))</f>
        <v>295.5242128298583</v>
      </c>
      <c r="AO78" s="60">
        <f t="shared" si="90"/>
        <v>164.21740841327744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56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244.23076923076923</v>
      </c>
      <c r="BB78" s="13">
        <f>VLOOKUP(A78,'Données projet'!$A$87:$I$107,9,0)</f>
        <v>4.8717948717948731</v>
      </c>
      <c r="BC78" s="13">
        <f t="array" ref="BC78">INDEX(BB:BB,MIN(IF(ISNUMBER(BB78:BB274),ROW(BB78:BB274),"")))</f>
        <v>4.8717948717948731</v>
      </c>
      <c r="BD78" s="13">
        <f>IF('Données projet'!$A$88&gt;35,BD77+BC78-BL77,IF(A78&lt;'Données projet'!$A$88,$BA$205^A78,IF(A78='Données projet'!$A$88,'Données projet'!$B$88,BD77+BC78-BL77)))</f>
        <v>244.23076923076925</v>
      </c>
      <c r="BE78" s="14">
        <f>BD78*VLOOKUP('Données projet'!$B$11,Paramètres!$A$1:$I$89,3,0)*VLOOKUP('Données projet'!$B$11,Paramètres!$A$1:$I$89,5,0)</f>
        <v>232.41000000000005</v>
      </c>
      <c r="BF78" s="14">
        <f t="shared" si="91"/>
        <v>56.803463325366828</v>
      </c>
      <c r="BG78" s="22">
        <f t="shared" si="61"/>
        <v>503.713448625014</v>
      </c>
      <c r="BH78" s="60">
        <f t="shared" si="62"/>
        <v>797.04678195834731</v>
      </c>
      <c r="BI78" s="60">
        <f ca="1">AVERAGE(OFFSET($BH$3,0,0,'Données projet'!$E$11+1,1))-AVERAGE(OFFSET($H$3,0,0,'Données projet'!$E$11+1,1))</f>
        <v>276.19649531804959</v>
      </c>
      <c r="BJ78" s="60">
        <f t="shared" si="92"/>
        <v>253.14970964973463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241</v>
      </c>
      <c r="BW78" s="13">
        <f>VLOOKUP(A78,'Données projet'!$A$113:$I$133,9,0)</f>
        <v>3.6</v>
      </c>
      <c r="BX78" s="13">
        <f t="array" ref="BX78">INDEX(BW:BW,MIN(IF(ISNUMBER(BW78:BW274),ROW(BW78:BW274),"")))</f>
        <v>3.6</v>
      </c>
      <c r="BY78" s="13">
        <f>IF('Données projet'!$A$114&gt;35,BY77+BX78-CG77,IF(A78&lt;'Données projet'!$A$114,$BV$205^A78,IF(A78='Données projet'!$A$114,'Données projet'!$B$114,BY77+BX78-CG77)))</f>
        <v>241.00000000000006</v>
      </c>
      <c r="BZ78" s="14">
        <f>BY78*VLOOKUP('Données projet'!$B$12,Paramètres!$A$1:$I$89,3,0)*VLOOKUP('Données projet'!$B$12,Paramètres!$A$1:$I$89,5,0)</f>
        <v>157.90320000000003</v>
      </c>
      <c r="CA78" s="14">
        <f t="shared" si="93"/>
        <v>40.369213826539486</v>
      </c>
      <c r="CB78" s="22">
        <f t="shared" si="64"/>
        <v>345.32445408122294</v>
      </c>
      <c r="CC78" s="60">
        <f t="shared" si="65"/>
        <v>638.6577874145562</v>
      </c>
      <c r="CD78" s="60">
        <f ca="1">AVERAGE(OFFSET($CC$3,0,0,'Données projet'!$E$12+1,1))-AVERAGE(OFFSET($H$3,0,0,'Données projet'!$E$12+1,1))</f>
        <v>154.88061446835457</v>
      </c>
      <c r="CE78" s="60">
        <f t="shared" si="94"/>
        <v>201.47826692201693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0.78397962620275152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0.78397962620275152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287</v>
      </c>
      <c r="CR78" s="13">
        <f>VLOOKUP(A78,'Données projet'!$A$139:$I$159,9,0)</f>
        <v>7.6</v>
      </c>
      <c r="CS78" s="13">
        <f t="array" ref="CS78">INDEX(CR:CR,MIN(IF(ISNUMBER(CR78:CR274),ROW(CR78:CR274),"")))</f>
        <v>7.6</v>
      </c>
      <c r="CT78" s="13">
        <f>IF('Données projet'!$A$140&gt;35,CT77+CS78-DB77,IF(A78&lt;'Données projet'!$A$140,$CQ$205^A78,IF(A78='Données projet'!$A$140,'Données projet'!$B$140,CT77+CS78-DB77)))</f>
        <v>287.00000000000011</v>
      </c>
      <c r="CU78" s="18">
        <f>CT78*VLOOKUP('Données projet'!$B$13,Paramètres!$A$1:$I$89,3,0)*VLOOKUP('Données projet'!$B$13,Paramètres!$A$1:$I$89,5,0)</f>
        <v>277.58640000000014</v>
      </c>
      <c r="CV78" s="14">
        <f t="shared" si="95"/>
        <v>66.456689103235576</v>
      </c>
      <c r="CW78" s="22">
        <f t="shared" si="67"/>
        <v>599.20838018813549</v>
      </c>
      <c r="CX78" s="60">
        <f t="shared" si="68"/>
        <v>892.54171352146886</v>
      </c>
      <c r="CY78" s="60">
        <f ca="1">AVERAGE(OFFSET($CX$3,0,0,'Données projet'!$E$13+1,1))-AVERAGE(OFFSET($H$3,0,0,'Données projet'!$E$13+1,1))</f>
        <v>293.44206058086951</v>
      </c>
      <c r="CZ78" s="60">
        <f t="shared" si="96"/>
        <v>182.15909509186827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52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287</v>
      </c>
      <c r="DM78" s="13">
        <f>VLOOKUP(A78,'Données projet'!$A$165:$I$185,9,0)</f>
        <v>7.6</v>
      </c>
      <c r="DN78" s="13">
        <f t="array" ref="DN78">INDEX(DM:DM,MIN(IF(ISNUMBER(DM78:DM274),ROW(DM78:DM274),"")))</f>
        <v>7.6</v>
      </c>
      <c r="DO78" s="13">
        <f>IF('Données projet'!$A$166&gt;35,DO77+DN78-DW77,IF(A78&lt;'Données projet'!$A$166,$DL$205^A78,IF(A78='Données projet'!$A$166,'Données projet'!$B$166,DO77+DN78-DW77)))</f>
        <v>287.00000000000011</v>
      </c>
      <c r="DP78" s="18">
        <f>DO78*VLOOKUP('Données projet'!$B$14,Paramètres!$A$1:$I$89,3,0)*VLOOKUP('Données projet'!$B$14,Paramètres!$A$1:$I$89,5,0)</f>
        <v>308.92680000000013</v>
      </c>
      <c r="DQ78" s="14">
        <f t="shared" si="97"/>
        <v>73.044658080836655</v>
      </c>
      <c r="DR78" s="22">
        <f t="shared" si="70"/>
        <v>665.26695615745734</v>
      </c>
      <c r="DS78" s="60">
        <f t="shared" si="71"/>
        <v>958.6002894907906</v>
      </c>
      <c r="DT78" s="60">
        <f ca="1">AVERAGE(OFFSET($DS$3,0,0,'Données projet'!$E$14+1,1))-AVERAGE(OFFSET($H$3,0,0,'Données projet'!$E$14+1,1))</f>
        <v>338.92444234934266</v>
      </c>
      <c r="DU78" s="60">
        <f t="shared" si="98"/>
        <v>208.91548891910895</v>
      </c>
      <c r="DV78" s="16">
        <f>IF(ISNA(VLOOKUP(A78,'Données projet'!$A$165:$I$185,3,0)),0,VLOOKUP(A78,'Données projet'!$A$165:$I$185,3,0))</f>
        <v>6</v>
      </c>
      <c r="DW78" s="16">
        <f>IF(ISNA(VLOOKUP(A78,'Données projet'!$A$165:$I$185,4,0)),0,VLOOKUP(A78,'Données projet'!$A$165:$I$185,4,0))</f>
        <v>52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335</v>
      </c>
      <c r="EH78" s="13">
        <f>VLOOKUP(A78,'Données projet'!$A$191:$I$211,9,0)</f>
        <v>9.4</v>
      </c>
      <c r="EI78" s="13">
        <f t="array" ref="EI78">INDEX(EH:EH,MIN(IF(ISNUMBER(EH78:EH274),ROW(EH78:EH274),"")))</f>
        <v>9.4</v>
      </c>
      <c r="EJ78" s="13">
        <f>IF('Données projet'!$A$192&gt;35,EJ77+EI78-ER77,IF(A78&lt;'Données projet'!$A$192,$EG$205^A78,IF(A78='Données projet'!$A$192,'Données projet'!$B$192,EJ77+EI78-ER77)))</f>
        <v>334.99999999999983</v>
      </c>
      <c r="EK78" s="18">
        <f>EJ78*VLOOKUP('Données projet'!$B$15,Paramètres!$A$1:$I$89,3,0)*VLOOKUP('Données projet'!$B$15,Paramètres!$A$1:$I$89,5,0)</f>
        <v>271.75199999999984</v>
      </c>
      <c r="EL78" s="14">
        <f t="shared" si="99"/>
        <v>65.220947824724931</v>
      </c>
      <c r="EM78" s="22">
        <f t="shared" si="73"/>
        <v>586.89455079472907</v>
      </c>
      <c r="EN78" s="60">
        <f t="shared" si="74"/>
        <v>880.22788412806244</v>
      </c>
      <c r="EO78" s="60">
        <f ca="1">AVERAGE(OFFSET($EN$3,0,0,'Données projet'!$E$15+1,1))-AVERAGE(OFFSET($H$3,0,0,'Données projet'!$E$15+1,1))</f>
        <v>346.10839312896536</v>
      </c>
      <c r="EP78" s="60">
        <f t="shared" si="100"/>
        <v>196.24927250256087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5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8">
        <f t="shared" si="56"/>
        <v>444.24920589937017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</v>
      </c>
      <c r="N79" s="14">
        <f>IF('Données projet'!$A$36&gt;35,N78+M79-V78,IF(A79&lt;'Données projet'!$A$36,$K$205^A79,IF(A79='Données projet'!$A$36,'Données projet'!$B$36,N78+M79-V78)))</f>
        <v>291.00000000000006</v>
      </c>
      <c r="O79" s="14">
        <f>N79*VLOOKUP('Données projet'!$B$9,Paramètres!$A$1:$I$89,3,0)*VLOOKUP('Données projet'!$B$9,Paramètres!$A$1:$I$89,5,0)</f>
        <v>263.29680000000008</v>
      </c>
      <c r="P79" s="14">
        <f t="shared" si="87"/>
        <v>63.424606311701645</v>
      </c>
      <c r="Q79" s="22">
        <f t="shared" si="54"/>
        <v>569.03978265954709</v>
      </c>
      <c r="R79" s="60">
        <f t="shared" si="55"/>
        <v>862.37311599288046</v>
      </c>
      <c r="S79" s="60">
        <f ca="1">AVERAGE(OFFSET($R$3,0,0,'Données projet'!$E$9+1,1))-AVERAGE(OFFSET($H$3,0,0,'Données projet'!$E$9+1,1))</f>
        <v>327.62615088747526</v>
      </c>
      <c r="T79" s="60">
        <f t="shared" si="88"/>
        <v>180.48047802041276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</v>
      </c>
      <c r="AI79" s="14">
        <f>IF('Données projet'!$A$62&gt;35,AI78+AH79-AQ78,IF(A79&lt;'Données projet'!$A$62,$AF$205^A79,IF(A79='Données projet'!$A$62,'Données projet'!$B$62,AI78+AH79-AQ78)))</f>
        <v>291.00000000000006</v>
      </c>
      <c r="AJ79" s="14">
        <f>AI79*VLOOKUP('Données projet'!$B$10,Paramètres!$A$1:$I$89,3,0)*VLOOKUP('Données projet'!$B$10,Paramètres!$A$1:$I$89,5,0)</f>
        <v>245.13840000000008</v>
      </c>
      <c r="AK79" s="14">
        <f t="shared" si="89"/>
        <v>59.543715540345303</v>
      </c>
      <c r="AL79" s="22">
        <f t="shared" si="58"/>
        <v>530.65468456610142</v>
      </c>
      <c r="AM79" s="60">
        <f t="shared" si="59"/>
        <v>823.98801789943468</v>
      </c>
      <c r="AN79" s="60">
        <f ca="1">AVERAGE(OFFSET($AM$3,0,0,'Données projet'!$E$10+1,1))-AVERAGE(OFFSET($H$3,0,0,'Données projet'!$E$10+1,1))</f>
        <v>295.5242128298583</v>
      </c>
      <c r="AO79" s="60">
        <f t="shared" si="90"/>
        <v>164.21740841327744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4.4871794871794917</v>
      </c>
      <c r="BD79" s="13">
        <f>IF('Données projet'!$A$88&gt;35,BD78+BC79-BL78,IF(A79&lt;'Données projet'!$A$88,$BA$205^A79,IF(A79='Données projet'!$A$88,'Données projet'!$B$88,BD78+BC79-BL78)))</f>
        <v>248.71794871794876</v>
      </c>
      <c r="BE79" s="14">
        <f>BD79*VLOOKUP('Données projet'!$B$11,Paramètres!$A$1:$I$89,3,0)*VLOOKUP('Données projet'!$B$11,Paramètres!$A$1:$I$89,5,0)</f>
        <v>236.68000000000004</v>
      </c>
      <c r="BF79" s="14">
        <f t="shared" si="91"/>
        <v>57.724638232498961</v>
      </c>
      <c r="BG79" s="22">
        <f t="shared" si="61"/>
        <v>512.75474492160231</v>
      </c>
      <c r="BH79" s="60">
        <f t="shared" si="62"/>
        <v>806.08807825493568</v>
      </c>
      <c r="BI79" s="60">
        <f ca="1">AVERAGE(OFFSET($BH$3,0,0,'Données projet'!$E$11+1,1))-AVERAGE(OFFSET($H$3,0,0,'Données projet'!$E$11+1,1))</f>
        <v>276.19649531804959</v>
      </c>
      <c r="BJ79" s="60">
        <f t="shared" si="92"/>
        <v>253.14970964973463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4.2</v>
      </c>
      <c r="BY79" s="13">
        <f>IF('Données projet'!$A$114&gt;35,BY78+BX79-CG78,IF(A79&lt;'Données projet'!$A$114,$BV$205^A79,IF(A79='Données projet'!$A$114,'Données projet'!$B$114,BY78+BX79-CG78)))</f>
        <v>245.20000000000005</v>
      </c>
      <c r="BZ79" s="14">
        <f>BY79*VLOOKUP('Données projet'!$B$12,Paramètres!$A$1:$I$89,3,0)*VLOOKUP('Données projet'!$B$12,Paramètres!$A$1:$I$89,5,0)</f>
        <v>160.65504000000001</v>
      </c>
      <c r="CA79" s="14">
        <f t="shared" si="93"/>
        <v>40.990226357066611</v>
      </c>
      <c r="CB79" s="22">
        <f t="shared" si="64"/>
        <v>351.19883890522436</v>
      </c>
      <c r="CC79" s="60">
        <f t="shared" si="65"/>
        <v>644.53217223855768</v>
      </c>
      <c r="CD79" s="60">
        <f ca="1">AVERAGE(OFFSET($CC$3,0,0,'Données projet'!$E$12+1,1))-AVERAGE(OFFSET($H$3,0,0,'Données projet'!$E$12+1,1))</f>
        <v>154.88061446835457</v>
      </c>
      <c r="CE79" s="60">
        <f t="shared" si="94"/>
        <v>201.47826692201693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0.76254166209654051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0.76254166209654051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7</v>
      </c>
      <c r="CT79" s="13">
        <f>IF('Données projet'!$A$140&gt;35,CT78+CS79-DB78,IF(A79&lt;'Données projet'!$A$140,$CQ$205^A79,IF(A79='Données projet'!$A$140,'Données projet'!$B$140,CT78+CS79-DB78)))</f>
        <v>242.00000000000011</v>
      </c>
      <c r="CU79" s="18">
        <f>CT79*VLOOKUP('Données projet'!$B$13,Paramètres!$A$1:$I$89,3,0)*VLOOKUP('Données projet'!$B$13,Paramètres!$A$1:$I$89,5,0)</f>
        <v>234.06240000000014</v>
      </c>
      <c r="CV79" s="14">
        <f t="shared" si="95"/>
        <v>57.160170321263926</v>
      </c>
      <c r="CW79" s="22">
        <f t="shared" si="67"/>
        <v>507.21264330953494</v>
      </c>
      <c r="CX79" s="60">
        <f t="shared" si="68"/>
        <v>800.54597664286825</v>
      </c>
      <c r="CY79" s="60">
        <f ca="1">AVERAGE(OFFSET($CX$3,0,0,'Données projet'!$E$13+1,1))-AVERAGE(OFFSET($H$3,0,0,'Données projet'!$E$13+1,1))</f>
        <v>293.44206058086951</v>
      </c>
      <c r="CZ79" s="60">
        <f t="shared" si="96"/>
        <v>182.15909509186827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7</v>
      </c>
      <c r="DO79" s="13">
        <f>IF('Données projet'!$A$166&gt;35,DO78+DN79-DW78,IF(A79&lt;'Données projet'!$A$166,$DL$205^A79,IF(A79='Données projet'!$A$166,'Données projet'!$B$166,DO78+DN79-DW78)))</f>
        <v>242.00000000000011</v>
      </c>
      <c r="DP79" s="18">
        <f>DO79*VLOOKUP('Données projet'!$B$14,Paramètres!$A$1:$I$89,3,0)*VLOOKUP('Données projet'!$B$14,Paramètres!$A$1:$I$89,5,0)</f>
        <v>260.48880000000014</v>
      </c>
      <c r="DQ79" s="14">
        <f t="shared" si="97"/>
        <v>62.826558970958821</v>
      </c>
      <c r="DR79" s="22">
        <f t="shared" si="70"/>
        <v>563.10758354108691</v>
      </c>
      <c r="DS79" s="60">
        <f t="shared" si="71"/>
        <v>856.44091687442028</v>
      </c>
      <c r="DT79" s="60">
        <f ca="1">AVERAGE(OFFSET($DS$3,0,0,'Données projet'!$E$14+1,1))-AVERAGE(OFFSET($H$3,0,0,'Données projet'!$E$14+1,1))</f>
        <v>338.92444234934266</v>
      </c>
      <c r="DU79" s="60">
        <f t="shared" si="98"/>
        <v>208.91548891910895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8.8000000000000007</v>
      </c>
      <c r="EJ79" s="13">
        <f>IF('Données projet'!$A$192&gt;35,EJ78+EI79-ER78,IF(A79&lt;'Données projet'!$A$192,$EG$205^A79,IF(A79='Données projet'!$A$192,'Données projet'!$B$192,EJ78+EI79-ER78)))</f>
        <v>343.79999999999984</v>
      </c>
      <c r="EK79" s="18">
        <f>EJ79*VLOOKUP('Données projet'!$B$15,Paramètres!$A$1:$I$89,3,0)*VLOOKUP('Données projet'!$B$15,Paramètres!$A$1:$I$89,5,0)</f>
        <v>278.89055999999988</v>
      </c>
      <c r="EL79" s="14">
        <f t="shared" si="99"/>
        <v>66.732498169730803</v>
      </c>
      <c r="EM79" s="22">
        <f t="shared" si="73"/>
        <v>601.96015964561423</v>
      </c>
      <c r="EN79" s="60">
        <f t="shared" si="74"/>
        <v>895.2934929789476</v>
      </c>
      <c r="EO79" s="60">
        <f ca="1">AVERAGE(OFFSET($EN$3,0,0,'Données projet'!$E$15+1,1))-AVERAGE(OFFSET($H$3,0,0,'Données projet'!$E$15+1,1))</f>
        <v>346.10839312896536</v>
      </c>
      <c r="EP79" s="60">
        <f t="shared" si="100"/>
        <v>196.24927250256087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5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8">
        <f t="shared" si="56"/>
        <v>446.18377471819281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</v>
      </c>
      <c r="N80" s="14">
        <f>IF('Données projet'!$A$36&gt;35,N79+M80-V79,IF(A80&lt;'Données projet'!$A$36,$K$205^A80,IF(A80='Données projet'!$A$36,'Données projet'!$B$36,N79+M80-V79)))</f>
        <v>298.00000000000006</v>
      </c>
      <c r="O80" s="14">
        <f>N80*VLOOKUP('Données projet'!$B$9,Paramètres!$A$1:$I$89,3,0)*VLOOKUP('Données projet'!$B$9,Paramètres!$A$1:$I$89,5,0)</f>
        <v>269.63040000000007</v>
      </c>
      <c r="P80" s="14">
        <f t="shared" si="87"/>
        <v>64.770824587436138</v>
      </c>
      <c r="Q80" s="22">
        <f t="shared" si="54"/>
        <v>582.41546615645132</v>
      </c>
      <c r="R80" s="60">
        <f t="shared" si="55"/>
        <v>875.74879948978469</v>
      </c>
      <c r="S80" s="60">
        <f ca="1">AVERAGE(OFFSET($R$3,0,0,'Données projet'!$E$9+1,1))-AVERAGE(OFFSET($H$3,0,0,'Données projet'!$E$9+1,1))</f>
        <v>327.62615088747526</v>
      </c>
      <c r="T80" s="60">
        <f t="shared" si="88"/>
        <v>180.48047802041276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</v>
      </c>
      <c r="AI80" s="14">
        <f>IF('Données projet'!$A$62&gt;35,AI79+AH80-AQ79,IF(A80&lt;'Données projet'!$A$62,$AF$205^A80,IF(A80='Données projet'!$A$62,'Données projet'!$B$62,AI79+AH80-AQ79)))</f>
        <v>298.00000000000006</v>
      </c>
      <c r="AJ80" s="14">
        <f>AI80*VLOOKUP('Données projet'!$B$10,Paramètres!$A$1:$I$89,3,0)*VLOOKUP('Données projet'!$B$10,Paramètres!$A$1:$I$89,5,0)</f>
        <v>251.03520000000009</v>
      </c>
      <c r="AK80" s="14">
        <f t="shared" si="89"/>
        <v>60.807560012183352</v>
      </c>
      <c r="AL80" s="22">
        <f t="shared" si="58"/>
        <v>543.12614035455283</v>
      </c>
      <c r="AM80" s="60">
        <f t="shared" si="59"/>
        <v>836.4594736878862</v>
      </c>
      <c r="AN80" s="60">
        <f ca="1">AVERAGE(OFFSET($AM$3,0,0,'Données projet'!$E$10+1,1))-AVERAGE(OFFSET($H$3,0,0,'Données projet'!$E$10+1,1))</f>
        <v>295.5242128298583</v>
      </c>
      <c r="AO80" s="60">
        <f t="shared" si="90"/>
        <v>164.21740841327744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4.4871794871794917</v>
      </c>
      <c r="BD80" s="13">
        <f>IF('Données projet'!$A$88&gt;35,BD79+BC80-BL79,IF(A80&lt;'Données projet'!$A$88,$BA$205^A80,IF(A80='Données projet'!$A$88,'Données projet'!$B$88,BD79+BC80-BL79)))</f>
        <v>253.20512820512826</v>
      </c>
      <c r="BE80" s="14">
        <f>BD80*VLOOKUP('Données projet'!$B$11,Paramètres!$A$1:$I$89,3,0)*VLOOKUP('Données projet'!$B$11,Paramètres!$A$1:$I$89,5,0)</f>
        <v>240.95000000000005</v>
      </c>
      <c r="BF80" s="14">
        <f t="shared" si="91"/>
        <v>58.643880591265635</v>
      </c>
      <c r="BG80" s="22">
        <f t="shared" si="61"/>
        <v>521.79267536312102</v>
      </c>
      <c r="BH80" s="60">
        <f t="shared" si="62"/>
        <v>815.12600869645439</v>
      </c>
      <c r="BI80" s="60">
        <f ca="1">AVERAGE(OFFSET($BH$3,0,0,'Données projet'!$E$11+1,1))-AVERAGE(OFFSET($H$3,0,0,'Données projet'!$E$11+1,1))</f>
        <v>276.19649531804959</v>
      </c>
      <c r="BJ80" s="60">
        <f t="shared" si="92"/>
        <v>253.14970964973463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4.2</v>
      </c>
      <c r="BY80" s="13">
        <f>IF('Données projet'!$A$114&gt;35,BY79+BX80-CG79,IF(A80&lt;'Données projet'!$A$114,$BV$205^A80,IF(A80='Données projet'!$A$114,'Données projet'!$B$114,BY79+BX80-CG79)))</f>
        <v>249.40000000000003</v>
      </c>
      <c r="BZ80" s="14">
        <f>BY80*VLOOKUP('Données projet'!$B$12,Paramètres!$A$1:$I$89,3,0)*VLOOKUP('Données projet'!$B$12,Paramètres!$A$1:$I$89,5,0)</f>
        <v>163.40688</v>
      </c>
      <c r="CA80" s="14">
        <f t="shared" si="93"/>
        <v>41.610001881769797</v>
      </c>
      <c r="CB80" s="22">
        <f t="shared" si="64"/>
        <v>357.07106927741569</v>
      </c>
      <c r="CC80" s="60">
        <f t="shared" si="65"/>
        <v>650.404402610749</v>
      </c>
      <c r="CD80" s="60">
        <f ca="1">AVERAGE(OFFSET($CC$3,0,0,'Données projet'!$E$12+1,1))-AVERAGE(OFFSET($H$3,0,0,'Données projet'!$E$12+1,1))</f>
        <v>154.88061446835457</v>
      </c>
      <c r="CE80" s="60">
        <f t="shared" si="94"/>
        <v>201.47826692201693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0.74168992024618741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0.74168992024618741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7</v>
      </c>
      <c r="CT80" s="13">
        <f>IF('Données projet'!$A$140&gt;35,CT79+CS80-DB79,IF(A80&lt;'Données projet'!$A$140,$CQ$205^A80,IF(A80='Données projet'!$A$140,'Données projet'!$B$140,CT79+CS80-DB79)))</f>
        <v>249.00000000000011</v>
      </c>
      <c r="CU80" s="18">
        <f>CT80*VLOOKUP('Données projet'!$B$13,Paramètres!$A$1:$I$89,3,0)*VLOOKUP('Données projet'!$B$13,Paramètres!$A$1:$I$89,5,0)</f>
        <v>240.83280000000013</v>
      </c>
      <c r="CV80" s="14">
        <f t="shared" si="95"/>
        <v>58.618675319436718</v>
      </c>
      <c r="CW80" s="22">
        <f t="shared" si="67"/>
        <v>521.54465284801915</v>
      </c>
      <c r="CX80" s="60">
        <f t="shared" si="68"/>
        <v>814.87798618135253</v>
      </c>
      <c r="CY80" s="60">
        <f ca="1">AVERAGE(OFFSET($CX$3,0,0,'Données projet'!$E$13+1,1))-AVERAGE(OFFSET($H$3,0,0,'Données projet'!$E$13+1,1))</f>
        <v>293.44206058086951</v>
      </c>
      <c r="CZ80" s="60">
        <f t="shared" si="96"/>
        <v>182.15909509186827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7</v>
      </c>
      <c r="DO80" s="13">
        <f>IF('Données projet'!$A$166&gt;35,DO79+DN80-DW79,IF(A80&lt;'Données projet'!$A$166,$DL$205^A80,IF(A80='Données projet'!$A$166,'Données projet'!$B$166,DO79+DN80-DW79)))</f>
        <v>249.00000000000011</v>
      </c>
      <c r="DP80" s="18">
        <f>DO80*VLOOKUP('Données projet'!$B$14,Paramètres!$A$1:$I$89,3,0)*VLOOKUP('Données projet'!$B$14,Paramètres!$A$1:$I$89,5,0)</f>
        <v>268.0236000000001</v>
      </c>
      <c r="DQ80" s="14">
        <f t="shared" si="97"/>
        <v>64.429648145853221</v>
      </c>
      <c r="DR80" s="22">
        <f t="shared" si="70"/>
        <v>579.02274052069447</v>
      </c>
      <c r="DS80" s="60">
        <f t="shared" si="71"/>
        <v>872.35607385402773</v>
      </c>
      <c r="DT80" s="60">
        <f ca="1">AVERAGE(OFFSET($DS$3,0,0,'Données projet'!$E$14+1,1))-AVERAGE(OFFSET($H$3,0,0,'Données projet'!$E$14+1,1))</f>
        <v>338.92444234934266</v>
      </c>
      <c r="DU80" s="60">
        <f t="shared" si="98"/>
        <v>208.91548891910895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8.8000000000000007</v>
      </c>
      <c r="EJ80" s="13">
        <f>IF('Données projet'!$A$192&gt;35,EJ79+EI80-ER79,IF(A80&lt;'Données projet'!$A$192,$EG$205^A80,IF(A80='Données projet'!$A$192,'Données projet'!$B$192,EJ79+EI80-ER79)))</f>
        <v>352.59999999999985</v>
      </c>
      <c r="EK80" s="18">
        <f>EJ80*VLOOKUP('Données projet'!$B$15,Paramètres!$A$1:$I$89,3,0)*VLOOKUP('Données projet'!$B$15,Paramètres!$A$1:$I$89,5,0)</f>
        <v>286.02911999999986</v>
      </c>
      <c r="EL80" s="14">
        <f t="shared" si="99"/>
        <v>68.239551174893492</v>
      </c>
      <c r="EM80" s="22">
        <f t="shared" si="73"/>
        <v>617.01793562960597</v>
      </c>
      <c r="EN80" s="60">
        <f t="shared" si="74"/>
        <v>910.35126896293923</v>
      </c>
      <c r="EO80" s="60">
        <f ca="1">AVERAGE(OFFSET($EN$3,0,0,'Données projet'!$E$15+1,1))-AVERAGE(OFFSET($H$3,0,0,'Données projet'!$E$15+1,1))</f>
        <v>346.10839312896536</v>
      </c>
      <c r="EP80" s="60">
        <f t="shared" si="100"/>
        <v>196.24927250256087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5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8">
        <f t="shared" si="56"/>
        <v>448.11776063187176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</v>
      </c>
      <c r="N81" s="14">
        <f>IF('Données projet'!$A$36&gt;35,N80+M81-V80,IF(A81&lt;'Données projet'!$A$36,$K$205^A81,IF(A81='Données projet'!$A$36,'Données projet'!$B$36,N80+M81-V80)))</f>
        <v>305.00000000000006</v>
      </c>
      <c r="O81" s="14">
        <f>N81*VLOOKUP('Données projet'!$B$9,Paramètres!$A$1:$I$89,3,0)*VLOOKUP('Données projet'!$B$9,Paramètres!$A$1:$I$89,5,0)</f>
        <v>275.96400000000006</v>
      </c>
      <c r="P81" s="14">
        <f t="shared" si="87"/>
        <v>66.113366665488911</v>
      </c>
      <c r="Q81" s="22">
        <f t="shared" si="54"/>
        <v>595.78474694239321</v>
      </c>
      <c r="R81" s="60">
        <f t="shared" si="55"/>
        <v>889.11808027572647</v>
      </c>
      <c r="S81" s="60">
        <f ca="1">AVERAGE(OFFSET($R$3,0,0,'Données projet'!$E$9+1,1))-AVERAGE(OFFSET($H$3,0,0,'Données projet'!$E$9+1,1))</f>
        <v>327.62615088747526</v>
      </c>
      <c r="T81" s="60">
        <f t="shared" si="88"/>
        <v>180.48047802041276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</v>
      </c>
      <c r="AI81" s="14">
        <f>IF('Données projet'!$A$62&gt;35,AI80+AH81-AQ80,IF(A81&lt;'Données projet'!$A$62,$AF$205^A81,IF(A81='Données projet'!$A$62,'Données projet'!$B$62,AI80+AH81-AQ80)))</f>
        <v>305.00000000000006</v>
      </c>
      <c r="AJ81" s="14">
        <f>AI81*VLOOKUP('Données projet'!$B$10,Paramètres!$A$1:$I$89,3,0)*VLOOKUP('Données projet'!$B$10,Paramètres!$A$1:$I$89,5,0)</f>
        <v>256.93200000000007</v>
      </c>
      <c r="AK81" s="14">
        <f t="shared" si="89"/>
        <v>62.067953229346614</v>
      </c>
      <c r="AL81" s="22">
        <f t="shared" si="58"/>
        <v>555.59158520777885</v>
      </c>
      <c r="AM81" s="60">
        <f t="shared" si="59"/>
        <v>848.92491854111222</v>
      </c>
      <c r="AN81" s="60">
        <f ca="1">AVERAGE(OFFSET($AM$3,0,0,'Données projet'!$E$10+1,1))-AVERAGE(OFFSET($H$3,0,0,'Données projet'!$E$10+1,1))</f>
        <v>295.5242128298583</v>
      </c>
      <c r="AO81" s="60">
        <f t="shared" si="90"/>
        <v>164.21740841327744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4.4871794871794917</v>
      </c>
      <c r="BD81" s="13">
        <f>IF('Données projet'!$A$88&gt;35,BD80+BC81-BL80,IF(A81&lt;'Données projet'!$A$88,$BA$205^A81,IF(A81='Données projet'!$A$88,'Données projet'!$B$88,BD80+BC81-BL80)))</f>
        <v>257.69230769230774</v>
      </c>
      <c r="BE81" s="14">
        <f>BD81*VLOOKUP('Données projet'!$B$11,Paramètres!$A$1:$I$89,3,0)*VLOOKUP('Données projet'!$B$11,Paramètres!$A$1:$I$89,5,0)</f>
        <v>245.22000000000003</v>
      </c>
      <c r="BF81" s="14">
        <f t="shared" si="91"/>
        <v>59.561228600414459</v>
      </c>
      <c r="BG81" s="22">
        <f t="shared" si="61"/>
        <v>530.82730647905521</v>
      </c>
      <c r="BH81" s="60">
        <f t="shared" si="62"/>
        <v>824.16063981238858</v>
      </c>
      <c r="BI81" s="60">
        <f ca="1">AVERAGE(OFFSET($BH$3,0,0,'Données projet'!$E$11+1,1))-AVERAGE(OFFSET($H$3,0,0,'Données projet'!$E$11+1,1))</f>
        <v>276.19649531804959</v>
      </c>
      <c r="BJ81" s="60">
        <f t="shared" si="92"/>
        <v>253.14970964973463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4.2</v>
      </c>
      <c r="BY81" s="13">
        <f>IF('Données projet'!$A$114&gt;35,BY80+BX81-CG80,IF(A81&lt;'Données projet'!$A$114,$BV$205^A81,IF(A81='Données projet'!$A$114,'Données projet'!$B$114,BY80+BX81-CG80)))</f>
        <v>253.60000000000002</v>
      </c>
      <c r="BZ81" s="14">
        <f>BY81*VLOOKUP('Données projet'!$B$12,Paramètres!$A$1:$I$89,3,0)*VLOOKUP('Données projet'!$B$12,Paramètres!$A$1:$I$89,5,0)</f>
        <v>166.15872000000002</v>
      </c>
      <c r="CA81" s="14">
        <f t="shared" si="93"/>
        <v>42.228563636586422</v>
      </c>
      <c r="CB81" s="22">
        <f t="shared" si="64"/>
        <v>362.9411856670547</v>
      </c>
      <c r="CC81" s="60">
        <f t="shared" si="65"/>
        <v>656.27451900038795</v>
      </c>
      <c r="CD81" s="60">
        <f ca="1">AVERAGE(OFFSET($CC$3,0,0,'Données projet'!$E$12+1,1))-AVERAGE(OFFSET($H$3,0,0,'Données projet'!$E$12+1,1))</f>
        <v>154.88061446835457</v>
      </c>
      <c r="CE81" s="60">
        <f t="shared" si="94"/>
        <v>201.47826692201693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0.72140837037327765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0.72140837037327765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7</v>
      </c>
      <c r="CT81" s="13">
        <f>IF('Données projet'!$A$140&gt;35,CT80+CS81-DB80,IF(A81&lt;'Données projet'!$A$140,$CQ$205^A81,IF(A81='Données projet'!$A$140,'Données projet'!$B$140,CT80+CS81-DB80)))</f>
        <v>256.00000000000011</v>
      </c>
      <c r="CU81" s="18">
        <f>CT81*VLOOKUP('Données projet'!$B$13,Paramètres!$A$1:$I$89,3,0)*VLOOKUP('Données projet'!$B$13,Paramètres!$A$1:$I$89,5,0)</f>
        <v>247.6032000000001</v>
      </c>
      <c r="CV81" s="14">
        <f t="shared" si="95"/>
        <v>60.072414804475414</v>
      </c>
      <c r="CW81" s="22">
        <f t="shared" si="67"/>
        <v>535.86836245112806</v>
      </c>
      <c r="CX81" s="60">
        <f t="shared" si="68"/>
        <v>829.20169578446144</v>
      </c>
      <c r="CY81" s="60">
        <f ca="1">AVERAGE(OFFSET($CX$3,0,0,'Données projet'!$E$13+1,1))-AVERAGE(OFFSET($H$3,0,0,'Données projet'!$E$13+1,1))</f>
        <v>293.44206058086951</v>
      </c>
      <c r="CZ81" s="60">
        <f t="shared" si="96"/>
        <v>182.15909509186827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7</v>
      </c>
      <c r="DO81" s="13">
        <f>IF('Données projet'!$A$166&gt;35,DO80+DN81-DW80,IF(A81&lt;'Données projet'!$A$166,$DL$205^A81,IF(A81='Données projet'!$A$166,'Données projet'!$B$166,DO80+DN81-DW80)))</f>
        <v>256.00000000000011</v>
      </c>
      <c r="DP81" s="18">
        <f>DO81*VLOOKUP('Données projet'!$B$14,Paramètres!$A$1:$I$89,3,0)*VLOOKUP('Données projet'!$B$14,Paramètres!$A$1:$I$89,5,0)</f>
        <v>275.55840000000012</v>
      </c>
      <c r="DQ81" s="14">
        <f t="shared" si="97"/>
        <v>66.027499393879069</v>
      </c>
      <c r="DR81" s="22">
        <f t="shared" si="70"/>
        <v>594.92877477767286</v>
      </c>
      <c r="DS81" s="60">
        <f t="shared" si="71"/>
        <v>888.26210811100623</v>
      </c>
      <c r="DT81" s="60">
        <f ca="1">AVERAGE(OFFSET($DS$3,0,0,'Données projet'!$E$14+1,1))-AVERAGE(OFFSET($H$3,0,0,'Données projet'!$E$14+1,1))</f>
        <v>338.92444234934266</v>
      </c>
      <c r="DU81" s="60">
        <f t="shared" si="98"/>
        <v>208.91548891910895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8.8000000000000007</v>
      </c>
      <c r="EJ81" s="13">
        <f>IF('Données projet'!$A$192&gt;35,EJ80+EI81-ER80,IF(A81&lt;'Données projet'!$A$192,$EG$205^A81,IF(A81='Données projet'!$A$192,'Données projet'!$B$192,EJ80+EI81-ER80)))</f>
        <v>361.39999999999986</v>
      </c>
      <c r="EK81" s="18">
        <f>EJ81*VLOOKUP('Données projet'!$B$15,Paramètres!$A$1:$I$89,3,0)*VLOOKUP('Données projet'!$B$15,Paramètres!$A$1:$I$89,5,0)</f>
        <v>293.1676799999999</v>
      </c>
      <c r="EL81" s="14">
        <f t="shared" si="99"/>
        <v>69.742231991823857</v>
      </c>
      <c r="EM81" s="22">
        <f t="shared" si="73"/>
        <v>632.06809671909309</v>
      </c>
      <c r="EN81" s="60">
        <f t="shared" si="74"/>
        <v>925.40143005242635</v>
      </c>
      <c r="EO81" s="60">
        <f ca="1">AVERAGE(OFFSET($EN$3,0,0,'Données projet'!$E$15+1,1))-AVERAGE(OFFSET($H$3,0,0,'Données projet'!$E$15+1,1))</f>
        <v>346.10839312896536</v>
      </c>
      <c r="EP81" s="60">
        <f t="shared" si="100"/>
        <v>196.24927250256087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5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8">
        <f t="shared" si="56"/>
        <v>450.05117197766094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</v>
      </c>
      <c r="N82" s="14">
        <f>IF('Données projet'!$A$36&gt;35,N81+M82-V81,IF(A82&lt;'Données projet'!$A$36,$K$205^A82,IF(A82='Données projet'!$A$36,'Données projet'!$B$36,N81+M82-V81)))</f>
        <v>312.00000000000006</v>
      </c>
      <c r="O82" s="14">
        <f>N82*VLOOKUP('Données projet'!$B$9,Paramètres!$A$1:$I$89,3,0)*VLOOKUP('Données projet'!$B$9,Paramètres!$A$1:$I$89,5,0)</f>
        <v>282.29760000000005</v>
      </c>
      <c r="P82" s="14">
        <f t="shared" si="87"/>
        <v>67.452326629470178</v>
      </c>
      <c r="Q82" s="22">
        <f t="shared" si="54"/>
        <v>609.14778887966054</v>
      </c>
      <c r="R82" s="60">
        <f t="shared" si="55"/>
        <v>902.4811222129938</v>
      </c>
      <c r="S82" s="60">
        <f ca="1">AVERAGE(OFFSET($R$3,0,0,'Données projet'!$E$9+1,1))-AVERAGE(OFFSET($H$3,0,0,'Données projet'!$E$9+1,1))</f>
        <v>327.62615088747526</v>
      </c>
      <c r="T82" s="60">
        <f t="shared" si="88"/>
        <v>180.48047802041276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</v>
      </c>
      <c r="AI82" s="14">
        <f>IF('Données projet'!$A$62&gt;35,AI81+AH82-AQ81,IF(A82&lt;'Données projet'!$A$62,$AF$205^A82,IF(A82='Données projet'!$A$62,'Données projet'!$B$62,AI81+AH82-AQ81)))</f>
        <v>312.00000000000006</v>
      </c>
      <c r="AJ82" s="14">
        <f>AI82*VLOOKUP('Données projet'!$B$10,Paramètres!$A$1:$I$89,3,0)*VLOOKUP('Données projet'!$B$10,Paramètres!$A$1:$I$89,5,0)</f>
        <v>262.82880000000006</v>
      </c>
      <c r="AK82" s="14">
        <f t="shared" si="89"/>
        <v>63.324983518559485</v>
      </c>
      <c r="AL82" s="22">
        <f t="shared" si="58"/>
        <v>568.05117296149115</v>
      </c>
      <c r="AM82" s="60">
        <f t="shared" si="59"/>
        <v>861.3845062948244</v>
      </c>
      <c r="AN82" s="60">
        <f ca="1">AVERAGE(OFFSET($AM$3,0,0,'Données projet'!$E$10+1,1))-AVERAGE(OFFSET($H$3,0,0,'Données projet'!$E$10+1,1))</f>
        <v>295.5242128298583</v>
      </c>
      <c r="AO82" s="60">
        <f t="shared" si="90"/>
        <v>164.21740841327744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4.4871794871794917</v>
      </c>
      <c r="BD82" s="13">
        <f>IF('Données projet'!$A$88&gt;35,BD81+BC82-BL81,IF(A82&lt;'Données projet'!$A$88,$BA$205^A82,IF(A82='Données projet'!$A$88,'Données projet'!$B$88,BD81+BC82-BL81)))</f>
        <v>262.17948717948724</v>
      </c>
      <c r="BE82" s="14">
        <f>BD82*VLOOKUP('Données projet'!$B$11,Paramètres!$A$1:$I$89,3,0)*VLOOKUP('Données projet'!$B$11,Paramètres!$A$1:$I$89,5,0)</f>
        <v>249.49000000000007</v>
      </c>
      <c r="BF82" s="14">
        <f t="shared" si="91"/>
        <v>60.476719052177842</v>
      </c>
      <c r="BG82" s="22">
        <f t="shared" si="61"/>
        <v>539.85870234920981</v>
      </c>
      <c r="BH82" s="60">
        <f t="shared" si="62"/>
        <v>833.19203568254306</v>
      </c>
      <c r="BI82" s="60">
        <f ca="1">AVERAGE(OFFSET($BH$3,0,0,'Données projet'!$E$11+1,1))-AVERAGE(OFFSET($H$3,0,0,'Données projet'!$E$11+1,1))</f>
        <v>276.19649531804959</v>
      </c>
      <c r="BJ82" s="60">
        <f t="shared" si="92"/>
        <v>253.14970964973463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4.2</v>
      </c>
      <c r="BY82" s="13">
        <f>IF('Données projet'!$A$114&gt;35,BY81+BX82-CG81,IF(A82&lt;'Données projet'!$A$114,$BV$205^A82,IF(A82='Données projet'!$A$114,'Données projet'!$B$114,BY81+BX82-CG81)))</f>
        <v>257.8</v>
      </c>
      <c r="BZ82" s="14">
        <f>BY82*VLOOKUP('Données projet'!$B$12,Paramètres!$A$1:$I$89,3,0)*VLOOKUP('Données projet'!$B$12,Paramètres!$A$1:$I$89,5,0)</f>
        <v>168.91056</v>
      </c>
      <c r="CA82" s="14">
        <f t="shared" si="93"/>
        <v>42.845934043689041</v>
      </c>
      <c r="CB82" s="22">
        <f t="shared" si="64"/>
        <v>368.80922712609168</v>
      </c>
      <c r="CC82" s="60">
        <f t="shared" si="65"/>
        <v>662.142560459425</v>
      </c>
      <c r="CD82" s="60">
        <f ca="1">AVERAGE(OFFSET($CC$3,0,0,'Données projet'!$E$12+1,1))-AVERAGE(OFFSET($H$3,0,0,'Données projet'!$E$12+1,1))</f>
        <v>154.88061446835457</v>
      </c>
      <c r="CE82" s="60">
        <f t="shared" si="94"/>
        <v>201.47826692201693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0.70168142054820293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0.70168142054820293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7</v>
      </c>
      <c r="CT82" s="13">
        <f>IF('Données projet'!$A$140&gt;35,CT81+CS82-DB81,IF(A82&lt;'Données projet'!$A$140,$CQ$205^A82,IF(A82='Données projet'!$A$140,'Données projet'!$B$140,CT81+CS82-DB81)))</f>
        <v>263.00000000000011</v>
      </c>
      <c r="CU82" s="18">
        <f>CT82*VLOOKUP('Données projet'!$B$13,Paramètres!$A$1:$I$89,3,0)*VLOOKUP('Données projet'!$B$13,Paramètres!$A$1:$I$89,5,0)</f>
        <v>254.3736000000001</v>
      </c>
      <c r="CV82" s="14">
        <f t="shared" si="95"/>
        <v>61.521534056516209</v>
      </c>
      <c r="CW82" s="22">
        <f t="shared" si="67"/>
        <v>550.18402514843251</v>
      </c>
      <c r="CX82" s="60">
        <f t="shared" si="68"/>
        <v>843.51735848176577</v>
      </c>
      <c r="CY82" s="60">
        <f ca="1">AVERAGE(OFFSET($CX$3,0,0,'Données projet'!$E$13+1,1))-AVERAGE(OFFSET($H$3,0,0,'Données projet'!$E$13+1,1))</f>
        <v>293.44206058086951</v>
      </c>
      <c r="CZ82" s="60">
        <f t="shared" si="96"/>
        <v>182.15909509186827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7</v>
      </c>
      <c r="DO82" s="13">
        <f>IF('Données projet'!$A$166&gt;35,DO81+DN82-DW81,IF(A82&lt;'Données projet'!$A$166,$DL$205^A82,IF(A82='Données projet'!$A$166,'Données projet'!$B$166,DO81+DN82-DW81)))</f>
        <v>263.00000000000011</v>
      </c>
      <c r="DP82" s="18">
        <f>DO82*VLOOKUP('Données projet'!$B$14,Paramètres!$A$1:$I$89,3,0)*VLOOKUP('Données projet'!$B$14,Paramètres!$A$1:$I$89,5,0)</f>
        <v>283.09320000000008</v>
      </c>
      <c r="DQ82" s="14">
        <f t="shared" si="97"/>
        <v>67.620272397048737</v>
      </c>
      <c r="DR82" s="22">
        <f t="shared" si="70"/>
        <v>610.82596442485999</v>
      </c>
      <c r="DS82" s="60">
        <f t="shared" si="71"/>
        <v>904.15929775819336</v>
      </c>
      <c r="DT82" s="60">
        <f ca="1">AVERAGE(OFFSET($DS$3,0,0,'Données projet'!$E$14+1,1))-AVERAGE(OFFSET($H$3,0,0,'Données projet'!$E$14+1,1))</f>
        <v>338.92444234934266</v>
      </c>
      <c r="DU82" s="60">
        <f t="shared" si="98"/>
        <v>208.91548891910895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8.8000000000000007</v>
      </c>
      <c r="EJ82" s="13">
        <f>IF('Données projet'!$A$192&gt;35,EJ81+EI82-ER81,IF(A82&lt;'Données projet'!$A$192,$EG$205^A82,IF(A82='Données projet'!$A$192,'Données projet'!$B$192,EJ81+EI82-ER81)))</f>
        <v>370.19999999999987</v>
      </c>
      <c r="EK82" s="18">
        <f>EJ82*VLOOKUP('Données projet'!$B$15,Paramètres!$A$1:$I$89,3,0)*VLOOKUP('Données projet'!$B$15,Paramètres!$A$1:$I$89,5,0)</f>
        <v>300.30623999999989</v>
      </c>
      <c r="EL82" s="14">
        <f t="shared" si="99"/>
        <v>71.240659329806377</v>
      </c>
      <c r="EM82" s="22">
        <f t="shared" si="73"/>
        <v>647.11084966607916</v>
      </c>
      <c r="EN82" s="60">
        <f t="shared" si="74"/>
        <v>940.44418299941253</v>
      </c>
      <c r="EO82" s="60">
        <f ca="1">AVERAGE(OFFSET($EN$3,0,0,'Données projet'!$E$15+1,1))-AVERAGE(OFFSET($H$3,0,0,'Données projet'!$E$15+1,1))</f>
        <v>346.10839312896536</v>
      </c>
      <c r="EP82" s="60">
        <f t="shared" si="100"/>
        <v>196.24927250256087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5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8">
        <f t="shared" si="56"/>
        <v>451.98401686960722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7</v>
      </c>
      <c r="N83" s="14">
        <f>IF('Données projet'!$A$36&gt;35,N82+M83-V82,IF(A83&lt;'Données projet'!$A$36,$K$205^A83,IF(A83='Données projet'!$A$36,'Données projet'!$B$36,N82+M83-V82)))</f>
        <v>319.00000000000006</v>
      </c>
      <c r="O83" s="14">
        <f>N83*VLOOKUP('Données projet'!$B$9,Paramètres!$A$1:$I$89,3,0)*VLOOKUP('Données projet'!$B$9,Paramètres!$A$1:$I$89,5,0)</f>
        <v>288.63120000000004</v>
      </c>
      <c r="P83" s="14">
        <f t="shared" si="87"/>
        <v>68.787794100289275</v>
      </c>
      <c r="Q83" s="22">
        <f t="shared" si="54"/>
        <v>622.50474805800388</v>
      </c>
      <c r="R83" s="60">
        <f t="shared" si="55"/>
        <v>915.83808139133725</v>
      </c>
      <c r="S83" s="60">
        <f ca="1">AVERAGE(OFFSET($R$3,0,0,'Données projet'!$E$9+1,1))-AVERAGE(OFFSET($H$3,0,0,'Données projet'!$E$9+1,1))</f>
        <v>327.62615088747526</v>
      </c>
      <c r="T83" s="60">
        <f t="shared" si="88"/>
        <v>180.48047802041276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7</v>
      </c>
      <c r="AI83" s="14">
        <f>IF('Données projet'!$A$62&gt;35,AI82+AH83-AQ82,IF(A83&lt;'Données projet'!$A$62,$AF$205^A83,IF(A83='Données projet'!$A$62,'Données projet'!$B$62,AI82+AH83-AQ82)))</f>
        <v>319.00000000000006</v>
      </c>
      <c r="AJ83" s="14">
        <f>AI83*VLOOKUP('Données projet'!$B$10,Paramètres!$A$1:$I$89,3,0)*VLOOKUP('Données projet'!$B$10,Paramètres!$A$1:$I$89,5,0)</f>
        <v>268.7256000000001</v>
      </c>
      <c r="AK83" s="14">
        <f t="shared" si="89"/>
        <v>64.578735016913868</v>
      </c>
      <c r="AL83" s="22">
        <f t="shared" si="58"/>
        <v>580.50505015445844</v>
      </c>
      <c r="AM83" s="60">
        <f t="shared" si="59"/>
        <v>873.83838348779182</v>
      </c>
      <c r="AN83" s="60">
        <f ca="1">AVERAGE(OFFSET($AM$3,0,0,'Données projet'!$E$10+1,1))-AVERAGE(OFFSET($H$3,0,0,'Données projet'!$E$10+1,1))</f>
        <v>295.5242128298583</v>
      </c>
      <c r="AO83" s="60">
        <f t="shared" si="90"/>
        <v>164.21740841327744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266.66666666666669</v>
      </c>
      <c r="BB83" s="13">
        <f>VLOOKUP(A83,'Données projet'!$A$87:$I$107,9,0)</f>
        <v>4.4871794871794917</v>
      </c>
      <c r="BC83" s="13">
        <f t="array" ref="BC83">INDEX(BB:BB,MIN(IF(ISNUMBER(BB83:BB279),ROW(BB83:BB279),"")))</f>
        <v>4.4871794871794917</v>
      </c>
      <c r="BD83" s="13">
        <f>IF('Données projet'!$A$88&gt;35,BD82+BC83-BL82,IF(A83&lt;'Données projet'!$A$88,$BA$205^A83,IF(A83='Données projet'!$A$88,'Données projet'!$B$88,BD82+BC83-BL82)))</f>
        <v>266.66666666666674</v>
      </c>
      <c r="BE83" s="14">
        <f>BD83*VLOOKUP('Données projet'!$B$11,Paramètres!$A$1:$I$89,3,0)*VLOOKUP('Données projet'!$B$11,Paramètres!$A$1:$I$89,5,0)</f>
        <v>253.76000000000008</v>
      </c>
      <c r="BF83" s="14">
        <f t="shared" si="91"/>
        <v>61.390387407231827</v>
      </c>
      <c r="BG83" s="22">
        <f t="shared" si="61"/>
        <v>548.88692473426227</v>
      </c>
      <c r="BH83" s="60">
        <f t="shared" si="62"/>
        <v>842.22025806759552</v>
      </c>
      <c r="BI83" s="60">
        <f ca="1">AVERAGE(OFFSET($BH$3,0,0,'Données projet'!$E$11+1,1))-AVERAGE(OFFSET($H$3,0,0,'Données projet'!$E$11+1,1))</f>
        <v>276.19649531804959</v>
      </c>
      <c r="BJ83" s="60">
        <f t="shared" si="92"/>
        <v>253.14970964973463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31.410256410256409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262</v>
      </c>
      <c r="BW83" s="13">
        <f>VLOOKUP(A83,'Données projet'!$A$113:$I$133,9,0)</f>
        <v>4.2</v>
      </c>
      <c r="BX83" s="13">
        <f t="array" ref="BX83">INDEX(BW:BW,MIN(IF(ISNUMBER(BW83:BW279),ROW(BW83:BW279),"")))</f>
        <v>4.2</v>
      </c>
      <c r="BY83" s="13">
        <f>IF('Données projet'!$A$114&gt;35,BY82+BX83-CG82,IF(A83&lt;'Données projet'!$A$114,$BV$205^A83,IF(A83='Données projet'!$A$114,'Données projet'!$B$114,BY82+BX83-CG82)))</f>
        <v>262</v>
      </c>
      <c r="BZ83" s="14">
        <f>BY83*VLOOKUP('Données projet'!$B$12,Paramètres!$A$1:$I$89,3,0)*VLOOKUP('Données projet'!$B$12,Paramètres!$A$1:$I$89,5,0)</f>
        <v>171.66239999999999</v>
      </c>
      <c r="CA83" s="14">
        <f t="shared" si="93"/>
        <v>43.462134752770041</v>
      </c>
      <c r="CB83" s="22">
        <f t="shared" si="64"/>
        <v>374.67523136107451</v>
      </c>
      <c r="CC83" s="60">
        <f t="shared" si="65"/>
        <v>668.00856469440782</v>
      </c>
      <c r="CD83" s="60">
        <f ca="1">AVERAGE(OFFSET($CC$3,0,0,'Données projet'!$E$12+1,1))-AVERAGE(OFFSET($H$3,0,0,'Données projet'!$E$12+1,1))</f>
        <v>154.88061446835457</v>
      </c>
      <c r="CE83" s="60">
        <f t="shared" si="94"/>
        <v>201.47826692201693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34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0.68249390520349018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0.68249390520349018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270</v>
      </c>
      <c r="CR83" s="13">
        <f>VLOOKUP(A83,'Données projet'!$A$139:$I$159,9,0)</f>
        <v>7</v>
      </c>
      <c r="CS83" s="13">
        <f t="array" ref="CS83">INDEX(CR:CR,MIN(IF(ISNUMBER(CR83:CR279),ROW(CR83:CR279),"")))</f>
        <v>7</v>
      </c>
      <c r="CT83" s="13">
        <f>IF('Données projet'!$A$140&gt;35,CT82+CS83-DB82,IF(A83&lt;'Données projet'!$A$140,$CQ$205^A83,IF(A83='Données projet'!$A$140,'Données projet'!$B$140,CT82+CS83-DB82)))</f>
        <v>270.00000000000011</v>
      </c>
      <c r="CU83" s="18">
        <f>CT83*VLOOKUP('Données projet'!$B$13,Paramètres!$A$1:$I$89,3,0)*VLOOKUP('Données projet'!$B$13,Paramètres!$A$1:$I$89,5,0)</f>
        <v>261.14400000000012</v>
      </c>
      <c r="CV83" s="14">
        <f t="shared" si="95"/>
        <v>62.966170181808863</v>
      </c>
      <c r="CW83" s="22">
        <f t="shared" si="67"/>
        <v>564.49187973331732</v>
      </c>
      <c r="CX83" s="60">
        <f t="shared" si="68"/>
        <v>857.82521306665058</v>
      </c>
      <c r="CY83" s="60">
        <f ca="1">AVERAGE(OFFSET($CX$3,0,0,'Données projet'!$E$13+1,1))-AVERAGE(OFFSET($H$3,0,0,'Données projet'!$E$13+1,1))</f>
        <v>293.44206058086951</v>
      </c>
      <c r="CZ83" s="60">
        <f t="shared" si="96"/>
        <v>182.15909509186827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270</v>
      </c>
      <c r="DM83" s="13">
        <f>VLOOKUP(A83,'Données projet'!$A$165:$I$185,9,0)</f>
        <v>7</v>
      </c>
      <c r="DN83" s="13">
        <f t="array" ref="DN83">INDEX(DM:DM,MIN(IF(ISNUMBER(DM83:DM279),ROW(DM83:DM279),"")))</f>
        <v>7</v>
      </c>
      <c r="DO83" s="13">
        <f>IF('Données projet'!$A$166&gt;35,DO82+DN83-DW82,IF(A83&lt;'Données projet'!$A$166,$DL$205^A83,IF(A83='Données projet'!$A$166,'Données projet'!$B$166,DO82+DN83-DW82)))</f>
        <v>270.00000000000011</v>
      </c>
      <c r="DP83" s="18">
        <f>DO83*VLOOKUP('Données projet'!$B$14,Paramètres!$A$1:$I$89,3,0)*VLOOKUP('Données projet'!$B$14,Paramètres!$A$1:$I$89,5,0)</f>
        <v>290.6280000000001</v>
      </c>
      <c r="DQ83" s="14">
        <f t="shared" si="97"/>
        <v>69.208117853196939</v>
      </c>
      <c r="DR83" s="22">
        <f t="shared" si="70"/>
        <v>626.71457192765149</v>
      </c>
      <c r="DS83" s="60">
        <f t="shared" si="71"/>
        <v>920.04790526098486</v>
      </c>
      <c r="DT83" s="60">
        <f ca="1">AVERAGE(OFFSET($DS$3,0,0,'Données projet'!$E$14+1,1))-AVERAGE(OFFSET($H$3,0,0,'Données projet'!$E$14+1,1))</f>
        <v>338.92444234934266</v>
      </c>
      <c r="DU83" s="60">
        <f t="shared" si="98"/>
        <v>208.91548891910895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379</v>
      </c>
      <c r="EH83" s="13">
        <f>VLOOKUP(A83,'Données projet'!$A$191:$I$211,9,0)</f>
        <v>8.8000000000000007</v>
      </c>
      <c r="EI83" s="13">
        <f t="array" ref="EI83">INDEX(EH:EH,MIN(IF(ISNUMBER(EH83:EH279),ROW(EH83:EH279),"")))</f>
        <v>8.8000000000000007</v>
      </c>
      <c r="EJ83" s="13">
        <f>IF('Données projet'!$A$192&gt;35,EJ82+EI83-ER82,IF(A83&lt;'Données projet'!$A$192,$EG$205^A83,IF(A83='Données projet'!$A$192,'Données projet'!$B$192,EJ82+EI83-ER82)))</f>
        <v>378.99999999999989</v>
      </c>
      <c r="EK83" s="18">
        <f>EJ83*VLOOKUP('Données projet'!$B$15,Paramètres!$A$1:$I$89,3,0)*VLOOKUP('Données projet'!$B$15,Paramètres!$A$1:$I$89,5,0)</f>
        <v>307.44479999999993</v>
      </c>
      <c r="EL83" s="14">
        <f t="shared" si="99"/>
        <v>72.734945932566347</v>
      </c>
      <c r="EM83" s="22">
        <f t="shared" si="73"/>
        <v>662.14639083255292</v>
      </c>
      <c r="EN83" s="60">
        <f t="shared" si="74"/>
        <v>955.47972416588618</v>
      </c>
      <c r="EO83" s="60">
        <f ca="1">AVERAGE(OFFSET($EN$3,0,0,'Données projet'!$E$15+1,1))-AVERAGE(OFFSET($H$3,0,0,'Données projet'!$E$15+1,1))</f>
        <v>346.10839312896536</v>
      </c>
      <c r="EP83" s="60">
        <f t="shared" si="100"/>
        <v>196.24927250256087</v>
      </c>
      <c r="EQ83" s="16">
        <f>IF(ISNA(VLOOKUP(A83,'Données projet'!$A$191:$I$211,3,0)),0,VLOOKUP(A83,'Données projet'!$A$191:$I$211,3,0))</f>
        <v>6</v>
      </c>
      <c r="ER83" s="16">
        <f>IF(ISNA(VLOOKUP(A83,'Données projet'!$A$191:$I$211,4,0)),0,VLOOKUP(A83,'Données projet'!$A$191:$I$211,4,0))</f>
        <v>56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5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8">
        <f t="shared" si="56"/>
        <v>453.91630320723971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7</v>
      </c>
      <c r="N84" s="14">
        <f>IF('Données projet'!$A$36&gt;35,N83+M84-V83,IF(A84&lt;'Données projet'!$A$36,$K$205^A84,IF(A84='Données projet'!$A$36,'Données projet'!$B$36,N83+M84-V83)))</f>
        <v>326.00000000000006</v>
      </c>
      <c r="O84" s="14">
        <f>N84*VLOOKUP('Données projet'!$B$9,Paramètres!$A$1:$I$89,3,0)*VLOOKUP('Données projet'!$B$9,Paramètres!$A$1:$I$89,5,0)</f>
        <v>294.96480000000003</v>
      </c>
      <c r="P84" s="14">
        <f t="shared" si="87"/>
        <v>70.119854541045001</v>
      </c>
      <c r="Q84" s="22">
        <f t="shared" si="54"/>
        <v>635.85577332565333</v>
      </c>
      <c r="R84" s="60">
        <f t="shared" si="55"/>
        <v>929.1891066589867</v>
      </c>
      <c r="S84" s="60">
        <f ca="1">AVERAGE(OFFSET($R$3,0,0,'Données projet'!$E$9+1,1))-AVERAGE(OFFSET($H$3,0,0,'Données projet'!$E$9+1,1))</f>
        <v>327.62615088747526</v>
      </c>
      <c r="T84" s="60">
        <f t="shared" si="88"/>
        <v>180.48047802041276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7</v>
      </c>
      <c r="AI84" s="14">
        <f>IF('Données projet'!$A$62&gt;35,AI83+AH84-AQ83,IF(A84&lt;'Données projet'!$A$62,$AF$205^A84,IF(A84='Données projet'!$A$62,'Données projet'!$B$62,AI83+AH84-AQ83)))</f>
        <v>326.00000000000006</v>
      </c>
      <c r="AJ84" s="14">
        <f>AI84*VLOOKUP('Données projet'!$B$10,Paramètres!$A$1:$I$89,3,0)*VLOOKUP('Données projet'!$B$10,Paramètres!$A$1:$I$89,5,0)</f>
        <v>274.62240000000008</v>
      </c>
      <c r="AK84" s="14">
        <f t="shared" si="89"/>
        <v>65.829287958103762</v>
      </c>
      <c r="AL84" s="22">
        <f t="shared" si="58"/>
        <v>592.95335652703079</v>
      </c>
      <c r="AM84" s="60">
        <f t="shared" si="59"/>
        <v>886.28668986036405</v>
      </c>
      <c r="AN84" s="60">
        <f ca="1">AVERAGE(OFFSET($AM$3,0,0,'Données projet'!$E$10+1,1))-AVERAGE(OFFSET($H$3,0,0,'Données projet'!$E$10+1,1))</f>
        <v>295.5242128298583</v>
      </c>
      <c r="AO84" s="60">
        <f t="shared" si="90"/>
        <v>164.21740841327744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4.3589743589743533</v>
      </c>
      <c r="BD84" s="13">
        <f>IF('Données projet'!$A$88&gt;35,BD83+BC84-BL83,IF(A84&lt;'Données projet'!$A$88,$BA$205^A84,IF(A84='Données projet'!$A$88,'Données projet'!$B$88,BD83+BC84-BL83)))</f>
        <v>239.6153846153847</v>
      </c>
      <c r="BE84" s="14">
        <f>BD84*VLOOKUP('Données projet'!$B$11,Paramètres!$A$1:$I$89,3,0)*VLOOKUP('Données projet'!$B$11,Paramètres!$A$1:$I$89,5,0)</f>
        <v>228.01800000000006</v>
      </c>
      <c r="BF84" s="14">
        <f t="shared" si="91"/>
        <v>55.853911165569251</v>
      </c>
      <c r="BG84" s="22">
        <f t="shared" si="61"/>
        <v>494.41024528003317</v>
      </c>
      <c r="BH84" s="60">
        <f t="shared" si="62"/>
        <v>787.74357861336648</v>
      </c>
      <c r="BI84" s="60">
        <f ca="1">AVERAGE(OFFSET($BH$3,0,0,'Données projet'!$E$11+1,1))-AVERAGE(OFFSET($H$3,0,0,'Données projet'!$E$11+1,1))</f>
        <v>276.19649531804959</v>
      </c>
      <c r="BJ84" s="60">
        <f t="shared" si="92"/>
        <v>253.14970964973463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3.8</v>
      </c>
      <c r="BY84" s="13">
        <f>IF('Données projet'!$A$114&gt;35,BY83+BX84-CG83,IF(A84&lt;'Données projet'!$A$114,$BV$205^A84,IF(A84='Données projet'!$A$114,'Données projet'!$B$114,BY83+BX84-CG83)))</f>
        <v>231.8</v>
      </c>
      <c r="BZ84" s="14">
        <f>BY84*VLOOKUP('Données projet'!$B$12,Paramètres!$A$1:$I$89,3,0)*VLOOKUP('Données projet'!$B$12,Paramètres!$A$1:$I$89,5,0)</f>
        <v>151.87536</v>
      </c>
      <c r="CA84" s="14">
        <f t="shared" si="93"/>
        <v>39.004459236504758</v>
      </c>
      <c r="CB84" s="22">
        <f t="shared" si="64"/>
        <v>332.44901850357911</v>
      </c>
      <c r="CC84" s="60">
        <f t="shared" si="65"/>
        <v>625.78235183691243</v>
      </c>
      <c r="CD84" s="60">
        <f ca="1">AVERAGE(OFFSET($CC$3,0,0,'Données projet'!$E$12+1,1))-AVERAGE(OFFSET($H$3,0,0,'Données projet'!$E$12+1,1))</f>
        <v>154.88061446835457</v>
      </c>
      <c r="CE84" s="60">
        <f t="shared" si="94"/>
        <v>201.47826692201693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0.66383107347490611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0.66383107347490611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6.8</v>
      </c>
      <c r="CT84" s="13">
        <f>IF('Données projet'!$A$140&gt;35,CT83+CS84-DB83,IF(A84&lt;'Données projet'!$A$140,$CQ$205^A84,IF(A84='Données projet'!$A$140,'Données projet'!$B$140,CT83+CS84-DB83)))</f>
        <v>276.80000000000013</v>
      </c>
      <c r="CU84" s="18">
        <f>CT84*VLOOKUP('Données projet'!$B$13,Paramètres!$A$1:$I$89,3,0)*VLOOKUP('Données projet'!$B$13,Paramètres!$A$1:$I$89,5,0)</f>
        <v>267.7209600000001</v>
      </c>
      <c r="CV84" s="14">
        <f t="shared" si="95"/>
        <v>64.365361123520003</v>
      </c>
      <c r="CW84" s="22">
        <f t="shared" si="67"/>
        <v>578.38367595679756</v>
      </c>
      <c r="CX84" s="60">
        <f t="shared" si="68"/>
        <v>871.71700929013082</v>
      </c>
      <c r="CY84" s="60">
        <f ca="1">AVERAGE(OFFSET($CX$3,0,0,'Données projet'!$E$13+1,1))-AVERAGE(OFFSET($H$3,0,0,'Données projet'!$E$13+1,1))</f>
        <v>293.44206058086951</v>
      </c>
      <c r="CZ84" s="60">
        <f t="shared" si="96"/>
        <v>182.15909509186827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6.8</v>
      </c>
      <c r="DO84" s="13">
        <f>IF('Données projet'!$A$166&gt;35,DO83+DN84-DW83,IF(A84&lt;'Données projet'!$A$166,$DL$205^A84,IF(A84='Données projet'!$A$166,'Données projet'!$B$166,DO83+DN84-DW83)))</f>
        <v>276.80000000000013</v>
      </c>
      <c r="DP84" s="18">
        <f>DO84*VLOOKUP('Données projet'!$B$14,Paramètres!$A$1:$I$89,3,0)*VLOOKUP('Données projet'!$B$14,Paramètres!$A$1:$I$89,5,0)</f>
        <v>297.94752000000011</v>
      </c>
      <c r="DQ84" s="14">
        <f t="shared" si="97"/>
        <v>70.746013064442337</v>
      </c>
      <c r="DR84" s="22">
        <f t="shared" si="70"/>
        <v>642.14123675390397</v>
      </c>
      <c r="DS84" s="60">
        <f t="shared" si="71"/>
        <v>935.47457008723723</v>
      </c>
      <c r="DT84" s="60">
        <f ca="1">AVERAGE(OFFSET($DS$3,0,0,'Données projet'!$E$14+1,1))-AVERAGE(OFFSET($H$3,0,0,'Données projet'!$E$14+1,1))</f>
        <v>338.92444234934266</v>
      </c>
      <c r="DU84" s="60">
        <f t="shared" si="98"/>
        <v>208.91548891910895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8</v>
      </c>
      <c r="EJ84" s="13">
        <f>IF('Données projet'!$A$192&gt;35,EJ83+EI84-ER83,IF(A84&lt;'Données projet'!$A$192,$EG$205^A84,IF(A84='Données projet'!$A$192,'Données projet'!$B$192,EJ83+EI84-ER83)))</f>
        <v>330.99999999999989</v>
      </c>
      <c r="EK84" s="18">
        <f>EJ84*VLOOKUP('Données projet'!$B$15,Paramètres!$A$1:$I$89,3,0)*VLOOKUP('Données projet'!$B$15,Paramètres!$A$1:$I$89,5,0)</f>
        <v>268.50719999999995</v>
      </c>
      <c r="EL84" s="14">
        <f t="shared" si="99"/>
        <v>64.532357298240697</v>
      </c>
      <c r="EM84" s="22">
        <f t="shared" si="73"/>
        <v>580.04389562776907</v>
      </c>
      <c r="EN84" s="60">
        <f t="shared" si="74"/>
        <v>873.37722896110245</v>
      </c>
      <c r="EO84" s="60">
        <f ca="1">AVERAGE(OFFSET($EN$3,0,0,'Données projet'!$E$15+1,1))-AVERAGE(OFFSET($H$3,0,0,'Données projet'!$E$15+1,1))</f>
        <v>346.10839312896536</v>
      </c>
      <c r="EP84" s="60">
        <f t="shared" si="100"/>
        <v>196.24927250256087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5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8">
        <f t="shared" si="56"/>
        <v>455.84803868381812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7</v>
      </c>
      <c r="N85" s="14">
        <f>IF('Données projet'!$A$36&gt;35,N84+M85-V84,IF(A85&lt;'Données projet'!$A$36,$K$205^A85,IF(A85='Données projet'!$A$36,'Données projet'!$B$36,N84+M85-V84)))</f>
        <v>333.00000000000006</v>
      </c>
      <c r="O85" s="14">
        <f>N85*VLOOKUP('Données projet'!$B$9,Paramètres!$A$1:$I$89,3,0)*VLOOKUP('Données projet'!$B$9,Paramètres!$A$1:$I$89,5,0)</f>
        <v>301.29840000000002</v>
      </c>
      <c r="P85" s="14">
        <f t="shared" si="87"/>
        <v>71.448589534990518</v>
      </c>
      <c r="Q85" s="22">
        <f t="shared" si="54"/>
        <v>649.2010067734418</v>
      </c>
      <c r="R85" s="60">
        <f t="shared" si="55"/>
        <v>942.53434010677506</v>
      </c>
      <c r="S85" s="60">
        <f ca="1">AVERAGE(OFFSET($R$3,0,0,'Données projet'!$E$9+1,1))-AVERAGE(OFFSET($H$3,0,0,'Données projet'!$E$9+1,1))</f>
        <v>327.62615088747526</v>
      </c>
      <c r="T85" s="60">
        <f t="shared" si="88"/>
        <v>180.48047802041276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7</v>
      </c>
      <c r="AI85" s="14">
        <f>IF('Données projet'!$A$62&gt;35,AI84+AH85-AQ84,IF(A85&lt;'Données projet'!$A$62,$AF$205^A85,IF(A85='Données projet'!$A$62,'Données projet'!$B$62,AI84+AH85-AQ84)))</f>
        <v>333.00000000000006</v>
      </c>
      <c r="AJ85" s="14">
        <f>AI85*VLOOKUP('Données projet'!$B$10,Paramètres!$A$1:$I$89,3,0)*VLOOKUP('Données projet'!$B$10,Paramètres!$A$1:$I$89,5,0)</f>
        <v>280.51920000000007</v>
      </c>
      <c r="AK85" s="14">
        <f t="shared" si="89"/>
        <v>67.07671893338123</v>
      </c>
      <c r="AL85" s="22">
        <f t="shared" si="58"/>
        <v>605.39622547563897</v>
      </c>
      <c r="AM85" s="60">
        <f t="shared" si="59"/>
        <v>898.72955880897234</v>
      </c>
      <c r="AN85" s="60">
        <f ca="1">AVERAGE(OFFSET($AM$3,0,0,'Données projet'!$E$10+1,1))-AVERAGE(OFFSET($H$3,0,0,'Données projet'!$E$10+1,1))</f>
        <v>295.5242128298583</v>
      </c>
      <c r="AO85" s="60">
        <f t="shared" si="90"/>
        <v>164.21740841327744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4.3589743589743533</v>
      </c>
      <c r="BD85" s="13">
        <f>IF('Données projet'!$A$88&gt;35,BD84+BC85-BL84,IF(A85&lt;'Données projet'!$A$88,$BA$205^A85,IF(A85='Données projet'!$A$88,'Données projet'!$B$88,BD84+BC85-BL84)))</f>
        <v>243.97435897435906</v>
      </c>
      <c r="BE85" s="14">
        <f>BD85*VLOOKUP('Données projet'!$B$11,Paramètres!$A$1:$I$89,3,0)*VLOOKUP('Données projet'!$B$11,Paramètres!$A$1:$I$89,5,0)</f>
        <v>232.16600000000008</v>
      </c>
      <c r="BF85" s="14">
        <f t="shared" si="91"/>
        <v>56.750765573960223</v>
      </c>
      <c r="BG85" s="22">
        <f t="shared" si="61"/>
        <v>503.19670004131422</v>
      </c>
      <c r="BH85" s="60">
        <f t="shared" si="62"/>
        <v>796.53003337464747</v>
      </c>
      <c r="BI85" s="60">
        <f ca="1">AVERAGE(OFFSET($BH$3,0,0,'Données projet'!$E$11+1,1))-AVERAGE(OFFSET($H$3,0,0,'Données projet'!$E$11+1,1))</f>
        <v>276.19649531804959</v>
      </c>
      <c r="BJ85" s="60">
        <f t="shared" si="92"/>
        <v>253.14970964973463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3.8</v>
      </c>
      <c r="BY85" s="13">
        <f>IF('Données projet'!$A$114&gt;35,BY84+BX85-CG84,IF(A85&lt;'Données projet'!$A$114,$BV$205^A85,IF(A85='Données projet'!$A$114,'Données projet'!$B$114,BY84+BX85-CG84)))</f>
        <v>235.60000000000002</v>
      </c>
      <c r="BZ85" s="14">
        <f>BY85*VLOOKUP('Données projet'!$B$12,Paramètres!$A$1:$I$89,3,0)*VLOOKUP('Données projet'!$B$12,Paramètres!$A$1:$I$89,5,0)</f>
        <v>154.36512000000002</v>
      </c>
      <c r="CA85" s="14">
        <f t="shared" si="93"/>
        <v>39.568912624848309</v>
      </c>
      <c r="CB85" s="22">
        <f t="shared" si="64"/>
        <v>337.76844015494413</v>
      </c>
      <c r="CC85" s="60">
        <f t="shared" si="65"/>
        <v>631.10177348827744</v>
      </c>
      <c r="CD85" s="60">
        <f ca="1">AVERAGE(OFFSET($CC$3,0,0,'Données projet'!$E$12+1,1))-AVERAGE(OFFSET($H$3,0,0,'Données projet'!$E$12+1,1))</f>
        <v>154.88061446835457</v>
      </c>
      <c r="CE85" s="60">
        <f t="shared" si="94"/>
        <v>201.47826692201693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0.64567857786137584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0.64567857786137584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6.8</v>
      </c>
      <c r="CT85" s="13">
        <f>IF('Données projet'!$A$140&gt;35,CT84+CS85-DB84,IF(A85&lt;'Données projet'!$A$140,$CQ$205^A85,IF(A85='Données projet'!$A$140,'Données projet'!$B$140,CT84+CS85-DB84)))</f>
        <v>283.60000000000014</v>
      </c>
      <c r="CU85" s="18">
        <f>CT85*VLOOKUP('Données projet'!$B$13,Paramètres!$A$1:$I$89,3,0)*VLOOKUP('Données projet'!$B$13,Paramètres!$A$1:$I$89,5,0)</f>
        <v>274.29792000000015</v>
      </c>
      <c r="CV85" s="14">
        <f t="shared" si="95"/>
        <v>65.76055631651532</v>
      </c>
      <c r="CW85" s="22">
        <f t="shared" si="67"/>
        <v>592.26851291793105</v>
      </c>
      <c r="CX85" s="60">
        <f t="shared" si="68"/>
        <v>885.60184625126431</v>
      </c>
      <c r="CY85" s="60">
        <f ca="1">AVERAGE(OFFSET($CX$3,0,0,'Données projet'!$E$13+1,1))-AVERAGE(OFFSET($H$3,0,0,'Données projet'!$E$13+1,1))</f>
        <v>293.44206058086951</v>
      </c>
      <c r="CZ85" s="60">
        <f t="shared" si="96"/>
        <v>182.15909509186827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6.8</v>
      </c>
      <c r="DO85" s="13">
        <f>IF('Données projet'!$A$166&gt;35,DO84+DN85-DW84,IF(A85&lt;'Données projet'!$A$166,$DL$205^A85,IF(A85='Données projet'!$A$166,'Données projet'!$B$166,DO84+DN85-DW84)))</f>
        <v>283.60000000000014</v>
      </c>
      <c r="DP85" s="18">
        <f>DO85*VLOOKUP('Données projet'!$B$14,Paramètres!$A$1:$I$89,3,0)*VLOOKUP('Données projet'!$B$14,Paramètres!$A$1:$I$89,5,0)</f>
        <v>305.26704000000012</v>
      </c>
      <c r="DQ85" s="14">
        <f t="shared" si="97"/>
        <v>72.279516421343814</v>
      </c>
      <c r="DR85" s="22">
        <f t="shared" si="70"/>
        <v>657.56025243384067</v>
      </c>
      <c r="DS85" s="60">
        <f t="shared" si="71"/>
        <v>950.89358576717405</v>
      </c>
      <c r="DT85" s="60">
        <f ca="1">AVERAGE(OFFSET($DS$3,0,0,'Données projet'!$E$14+1,1))-AVERAGE(OFFSET($H$3,0,0,'Données projet'!$E$14+1,1))</f>
        <v>338.92444234934266</v>
      </c>
      <c r="DU85" s="60">
        <f t="shared" si="98"/>
        <v>208.91548891910895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8</v>
      </c>
      <c r="EJ85" s="13">
        <f>IF('Données projet'!$A$192&gt;35,EJ84+EI85-ER84,IF(A85&lt;'Données projet'!$A$192,$EG$205^A85,IF(A85='Données projet'!$A$192,'Données projet'!$B$192,EJ84+EI85-ER84)))</f>
        <v>338.99999999999989</v>
      </c>
      <c r="EK85" s="18">
        <f>EJ85*VLOOKUP('Données projet'!$B$15,Paramètres!$A$1:$I$89,3,0)*VLOOKUP('Données projet'!$B$15,Paramètres!$A$1:$I$89,5,0)</f>
        <v>274.99679999999995</v>
      </c>
      <c r="EL85" s="14">
        <f t="shared" si="99"/>
        <v>65.908581953881551</v>
      </c>
      <c r="EM85" s="22">
        <f t="shared" si="73"/>
        <v>593.74354023634362</v>
      </c>
      <c r="EN85" s="60">
        <f t="shared" si="74"/>
        <v>887.07687356967699</v>
      </c>
      <c r="EO85" s="60">
        <f ca="1">AVERAGE(OFFSET($EN$3,0,0,'Données projet'!$E$15+1,1))-AVERAGE(OFFSET($H$3,0,0,'Données projet'!$E$15+1,1))</f>
        <v>346.10839312896536</v>
      </c>
      <c r="EP85" s="60">
        <f t="shared" si="100"/>
        <v>196.24927250256087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5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8">
        <f t="shared" si="56"/>
        <v>457.77923079416723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7</v>
      </c>
      <c r="N86" s="14">
        <f>IF('Données projet'!$A$36&gt;35,N85+M86-V85,IF(A86&lt;'Données projet'!$A$36,$K$205^A86,IF(A86='Données projet'!$A$36,'Données projet'!$B$36,N85+M86-V85)))</f>
        <v>340.00000000000006</v>
      </c>
      <c r="O86" s="14">
        <f>N86*VLOOKUP('Données projet'!$B$9,Paramètres!$A$1:$I$89,3,0)*VLOOKUP('Données projet'!$B$9,Paramètres!$A$1:$I$89,5,0)</f>
        <v>307.63200000000006</v>
      </c>
      <c r="P86" s="14">
        <f t="shared" si="87"/>
        <v>72.774077039465567</v>
      </c>
      <c r="Q86" s="22">
        <f t="shared" si="54"/>
        <v>662.54058417706926</v>
      </c>
      <c r="R86" s="60">
        <f t="shared" si="55"/>
        <v>955.87391751040263</v>
      </c>
      <c r="S86" s="60">
        <f ca="1">AVERAGE(OFFSET($R$3,0,0,'Données projet'!$E$9+1,1))-AVERAGE(OFFSET($H$3,0,0,'Données projet'!$E$9+1,1))</f>
        <v>327.62615088747526</v>
      </c>
      <c r="T86" s="60">
        <f t="shared" si="88"/>
        <v>180.48047802041276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7</v>
      </c>
      <c r="AI86" s="14">
        <f>IF('Données projet'!$A$62&gt;35,AI85+AH86-AQ85,IF(A86&lt;'Données projet'!$A$62,$AF$205^A86,IF(A86='Données projet'!$A$62,'Données projet'!$B$62,AI85+AH86-AQ85)))</f>
        <v>340.00000000000006</v>
      </c>
      <c r="AJ86" s="14">
        <f>AI86*VLOOKUP('Données projet'!$B$10,Paramètres!$A$1:$I$89,3,0)*VLOOKUP('Données projet'!$B$10,Paramètres!$A$1:$I$89,5,0)</f>
        <v>286.41600000000011</v>
      </c>
      <c r="AK86" s="14">
        <f t="shared" si="89"/>
        <v>68.321101129951245</v>
      </c>
      <c r="AL86" s="22">
        <f t="shared" si="58"/>
        <v>617.83378446799861</v>
      </c>
      <c r="AM86" s="60">
        <f t="shared" si="59"/>
        <v>911.16711780133187</v>
      </c>
      <c r="AN86" s="60">
        <f ca="1">AVERAGE(OFFSET($AM$3,0,0,'Données projet'!$E$10+1,1))-AVERAGE(OFFSET($H$3,0,0,'Données projet'!$E$10+1,1))</f>
        <v>295.5242128298583</v>
      </c>
      <c r="AO86" s="60">
        <f t="shared" si="90"/>
        <v>164.21740841327744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4.3589743589743533</v>
      </c>
      <c r="BD86" s="13">
        <f>IF('Données projet'!$A$88&gt;35,BD85+BC86-BL85,IF(A86&lt;'Données projet'!$A$88,$BA$205^A86,IF(A86='Données projet'!$A$88,'Données projet'!$B$88,BD85+BC86-BL85)))</f>
        <v>248.33333333333343</v>
      </c>
      <c r="BE86" s="14">
        <f>BD86*VLOOKUP('Données projet'!$B$11,Paramètres!$A$1:$I$89,3,0)*VLOOKUP('Données projet'!$B$11,Paramètres!$A$1:$I$89,5,0)</f>
        <v>236.31400000000008</v>
      </c>
      <c r="BF86" s="14">
        <f t="shared" si="91"/>
        <v>57.645756660106933</v>
      </c>
      <c r="BG86" s="22">
        <f t="shared" si="61"/>
        <v>511.97990951635302</v>
      </c>
      <c r="BH86" s="60">
        <f t="shared" si="62"/>
        <v>805.31324284968628</v>
      </c>
      <c r="BI86" s="60">
        <f ca="1">AVERAGE(OFFSET($BH$3,0,0,'Données projet'!$E$11+1,1))-AVERAGE(OFFSET($H$3,0,0,'Données projet'!$E$11+1,1))</f>
        <v>276.19649531804959</v>
      </c>
      <c r="BJ86" s="60">
        <f t="shared" si="92"/>
        <v>253.14970964973463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3.8</v>
      </c>
      <c r="BY86" s="13">
        <f>IF('Données projet'!$A$114&gt;35,BY85+BX86-CG85,IF(A86&lt;'Données projet'!$A$114,$BV$205^A86,IF(A86='Données projet'!$A$114,'Données projet'!$B$114,BY85+BX86-CG85)))</f>
        <v>239.40000000000003</v>
      </c>
      <c r="BZ86" s="14">
        <f>BY86*VLOOKUP('Données projet'!$B$12,Paramètres!$A$1:$I$89,3,0)*VLOOKUP('Données projet'!$B$12,Paramètres!$A$1:$I$89,5,0)</f>
        <v>156.85488000000004</v>
      </c>
      <c r="CA86" s="14">
        <f t="shared" si="93"/>
        <v>40.132307243083858</v>
      </c>
      <c r="CB86" s="22">
        <f t="shared" si="64"/>
        <v>343.08601778170441</v>
      </c>
      <c r="CC86" s="60">
        <f t="shared" si="65"/>
        <v>636.41935111503767</v>
      </c>
      <c r="CD86" s="60">
        <f ca="1">AVERAGE(OFFSET($CC$3,0,0,'Données projet'!$E$12+1,1))-AVERAGE(OFFSET($H$3,0,0,'Données projet'!$E$12+1,1))</f>
        <v>154.88061446835457</v>
      </c>
      <c r="CE86" s="60">
        <f t="shared" si="94"/>
        <v>201.47826692201693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0.62802246319499577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0.62802246319499577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6.8</v>
      </c>
      <c r="CT86" s="13">
        <f>IF('Données projet'!$A$140&gt;35,CT85+CS86-DB85,IF(A86&lt;'Données projet'!$A$140,$CQ$205^A86,IF(A86='Données projet'!$A$140,'Données projet'!$B$140,CT85+CS86-DB85)))</f>
        <v>290.40000000000015</v>
      </c>
      <c r="CU86" s="18">
        <f>CT86*VLOOKUP('Données projet'!$B$13,Paramètres!$A$1:$I$89,3,0)*VLOOKUP('Données projet'!$B$13,Paramètres!$A$1:$I$89,5,0)</f>
        <v>280.87488000000013</v>
      </c>
      <c r="CV86" s="14">
        <f t="shared" si="95"/>
        <v>67.151862592195911</v>
      </c>
      <c r="CW86" s="22">
        <f t="shared" si="67"/>
        <v>606.14657668140808</v>
      </c>
      <c r="CX86" s="60">
        <f t="shared" si="68"/>
        <v>899.47991001474134</v>
      </c>
      <c r="CY86" s="60">
        <f ca="1">AVERAGE(OFFSET($CX$3,0,0,'Données projet'!$E$13+1,1))-AVERAGE(OFFSET($H$3,0,0,'Données projet'!$E$13+1,1))</f>
        <v>293.44206058086951</v>
      </c>
      <c r="CZ86" s="60">
        <f t="shared" si="96"/>
        <v>182.15909509186827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6.8</v>
      </c>
      <c r="DO86" s="13">
        <f>IF('Données projet'!$A$166&gt;35,DO85+DN86-DW85,IF(A86&lt;'Données projet'!$A$166,$DL$205^A86,IF(A86='Données projet'!$A$166,'Données projet'!$B$166,DO85+DN86-DW85)))</f>
        <v>290.40000000000015</v>
      </c>
      <c r="DP86" s="18">
        <f>DO86*VLOOKUP('Données projet'!$B$14,Paramètres!$A$1:$I$89,3,0)*VLOOKUP('Données projet'!$B$14,Paramètres!$A$1:$I$89,5,0)</f>
        <v>312.58656000000013</v>
      </c>
      <c r="DQ86" s="14">
        <f t="shared" si="97"/>
        <v>73.808745345687967</v>
      </c>
      <c r="DR86" s="22">
        <f t="shared" si="70"/>
        <v>672.97182347707337</v>
      </c>
      <c r="DS86" s="60">
        <f t="shared" si="71"/>
        <v>966.30515681040674</v>
      </c>
      <c r="DT86" s="60">
        <f ca="1">AVERAGE(OFFSET($DS$3,0,0,'Données projet'!$E$14+1,1))-AVERAGE(OFFSET($H$3,0,0,'Données projet'!$E$14+1,1))</f>
        <v>338.92444234934266</v>
      </c>
      <c r="DU86" s="60">
        <f t="shared" si="98"/>
        <v>208.91548891910895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8</v>
      </c>
      <c r="EJ86" s="13">
        <f>IF('Données projet'!$A$192&gt;35,EJ85+EI86-ER85,IF(A86&lt;'Données projet'!$A$192,$EG$205^A86,IF(A86='Données projet'!$A$192,'Données projet'!$B$192,EJ85+EI86-ER85)))</f>
        <v>346.99999999999989</v>
      </c>
      <c r="EK86" s="18">
        <f>EJ86*VLOOKUP('Données projet'!$B$15,Paramètres!$A$1:$I$89,3,0)*VLOOKUP('Données projet'!$B$15,Paramètres!$A$1:$I$89,5,0)</f>
        <v>281.48639999999989</v>
      </c>
      <c r="EL86" s="14">
        <f t="shared" si="99"/>
        <v>67.281031071373306</v>
      </c>
      <c r="EM86" s="22">
        <f t="shared" si="73"/>
        <v>607.43660911597499</v>
      </c>
      <c r="EN86" s="60">
        <f t="shared" si="74"/>
        <v>900.76994244930825</v>
      </c>
      <c r="EO86" s="60">
        <f ca="1">AVERAGE(OFFSET($EN$3,0,0,'Données projet'!$E$15+1,1))-AVERAGE(OFFSET($H$3,0,0,'Données projet'!$E$15+1,1))</f>
        <v>346.10839312896536</v>
      </c>
      <c r="EP86" s="60">
        <f t="shared" si="100"/>
        <v>196.24927250256087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5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8">
        <f t="shared" si="56"/>
        <v>459.70988684212313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7</v>
      </c>
      <c r="N87" s="14">
        <f>IF('Données projet'!$A$36&gt;35,N86+M87-V86,IF(A87&lt;'Données projet'!$A$36,$K$205^A87,IF(A87='Données projet'!$A$36,'Données projet'!$B$36,N86+M87-V86)))</f>
        <v>347.00000000000006</v>
      </c>
      <c r="O87" s="14">
        <f>N87*VLOOKUP('Données projet'!$B$9,Paramètres!$A$1:$I$89,3,0)*VLOOKUP('Données projet'!$B$9,Paramètres!$A$1:$I$89,5,0)</f>
        <v>313.96560000000005</v>
      </c>
      <c r="P87" s="14">
        <f t="shared" si="87"/>
        <v>74.096391618326777</v>
      </c>
      <c r="Q87" s="22">
        <f t="shared" si="54"/>
        <v>675.87463540191914</v>
      </c>
      <c r="R87" s="60">
        <f t="shared" si="55"/>
        <v>969.20796873525251</v>
      </c>
      <c r="S87" s="60">
        <f ca="1">AVERAGE(OFFSET($R$3,0,0,'Données projet'!$E$9+1,1))-AVERAGE(OFFSET($H$3,0,0,'Données projet'!$E$9+1,1))</f>
        <v>327.62615088747526</v>
      </c>
      <c r="T87" s="60">
        <f t="shared" si="88"/>
        <v>180.48047802041276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7</v>
      </c>
      <c r="AI87" s="14">
        <f>IF('Données projet'!$A$62&gt;35,AI86+AH87-AQ86,IF(A87&lt;'Données projet'!$A$62,$AF$205^A87,IF(A87='Données projet'!$A$62,'Données projet'!$B$62,AI86+AH87-AQ86)))</f>
        <v>347.00000000000006</v>
      </c>
      <c r="AJ87" s="14">
        <f>AI87*VLOOKUP('Données projet'!$B$10,Paramètres!$A$1:$I$89,3,0)*VLOOKUP('Données projet'!$B$10,Paramètres!$A$1:$I$89,5,0)</f>
        <v>292.3128000000001</v>
      </c>
      <c r="AK87" s="14">
        <f t="shared" si="89"/>
        <v>69.562504549179678</v>
      </c>
      <c r="AL87" s="22">
        <f t="shared" si="58"/>
        <v>630.26615542315471</v>
      </c>
      <c r="AM87" s="60">
        <f t="shared" si="59"/>
        <v>923.59948875648797</v>
      </c>
      <c r="AN87" s="60">
        <f ca="1">AVERAGE(OFFSET($AM$3,0,0,'Données projet'!$E$10+1,1))-AVERAGE(OFFSET($H$3,0,0,'Données projet'!$E$10+1,1))</f>
        <v>295.5242128298583</v>
      </c>
      <c r="AO87" s="60">
        <f t="shared" si="90"/>
        <v>164.21740841327744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4.3589743589743533</v>
      </c>
      <c r="BD87" s="13">
        <f>IF('Données projet'!$A$88&gt;35,BD86+BC87-BL86,IF(A87&lt;'Données projet'!$A$88,$BA$205^A87,IF(A87='Données projet'!$A$88,'Données projet'!$B$88,BD86+BC87-BL86)))</f>
        <v>252.69230769230779</v>
      </c>
      <c r="BE87" s="14">
        <f>BD87*VLOOKUP('Données projet'!$B$11,Paramètres!$A$1:$I$89,3,0)*VLOOKUP('Données projet'!$B$11,Paramètres!$A$1:$I$89,5,0)</f>
        <v>240.4620000000001</v>
      </c>
      <c r="BF87" s="14">
        <f t="shared" si="91"/>
        <v>58.538920904314509</v>
      </c>
      <c r="BG87" s="22">
        <f t="shared" si="61"/>
        <v>520.75993724168131</v>
      </c>
      <c r="BH87" s="60">
        <f t="shared" si="62"/>
        <v>814.09327057501469</v>
      </c>
      <c r="BI87" s="60">
        <f ca="1">AVERAGE(OFFSET($BH$3,0,0,'Données projet'!$E$11+1,1))-AVERAGE(OFFSET($H$3,0,0,'Données projet'!$E$11+1,1))</f>
        <v>276.19649531804959</v>
      </c>
      <c r="BJ87" s="60">
        <f t="shared" si="92"/>
        <v>253.14970964973463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3.8</v>
      </c>
      <c r="BY87" s="13">
        <f>IF('Données projet'!$A$114&gt;35,BY86+BX87-CG86,IF(A87&lt;'Données projet'!$A$114,$BV$205^A87,IF(A87='Données projet'!$A$114,'Données projet'!$B$114,BY86+BX87-CG86)))</f>
        <v>243.20000000000005</v>
      </c>
      <c r="BZ87" s="14">
        <f>BY87*VLOOKUP('Données projet'!$B$12,Paramètres!$A$1:$I$89,3,0)*VLOOKUP('Données projet'!$B$12,Paramètres!$A$1:$I$89,5,0)</f>
        <v>159.34464000000003</v>
      </c>
      <c r="CA87" s="14">
        <f t="shared" si="93"/>
        <v>40.694661837553809</v>
      </c>
      <c r="CB87" s="22">
        <f t="shared" si="64"/>
        <v>348.4017840337396</v>
      </c>
      <c r="CC87" s="60">
        <f t="shared" si="65"/>
        <v>641.73511736707292</v>
      </c>
      <c r="CD87" s="60">
        <f ca="1">AVERAGE(OFFSET($CC$3,0,0,'Données projet'!$E$12+1,1))-AVERAGE(OFFSET($H$3,0,0,'Données projet'!$E$12+1,1))</f>
        <v>154.88061446835457</v>
      </c>
      <c r="CE87" s="60">
        <f t="shared" si="94"/>
        <v>201.47826692201693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0.61084915591266264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0.61084915591266264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6.8</v>
      </c>
      <c r="CT87" s="13">
        <f>IF('Données projet'!$A$140&gt;35,CT86+CS87-DB86,IF(A87&lt;'Données projet'!$A$140,$CQ$205^A87,IF(A87='Données projet'!$A$140,'Données projet'!$B$140,CT86+CS87-DB86)))</f>
        <v>297.20000000000016</v>
      </c>
      <c r="CU87" s="18">
        <f>CT87*VLOOKUP('Données projet'!$B$13,Paramètres!$A$1:$I$89,3,0)*VLOOKUP('Données projet'!$B$13,Paramètres!$A$1:$I$89,5,0)</f>
        <v>287.45184000000017</v>
      </c>
      <c r="CV87" s="14">
        <f t="shared" si="95"/>
        <v>68.539381493411639</v>
      </c>
      <c r="CW87" s="22">
        <f t="shared" si="67"/>
        <v>620.01804410102557</v>
      </c>
      <c r="CX87" s="60">
        <f t="shared" si="68"/>
        <v>913.35137743435894</v>
      </c>
      <c r="CY87" s="60">
        <f ca="1">AVERAGE(OFFSET($CX$3,0,0,'Données projet'!$E$13+1,1))-AVERAGE(OFFSET($H$3,0,0,'Données projet'!$E$13+1,1))</f>
        <v>293.44206058086951</v>
      </c>
      <c r="CZ87" s="60">
        <f t="shared" si="96"/>
        <v>182.15909509186827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6.8</v>
      </c>
      <c r="DO87" s="13">
        <f>IF('Données projet'!$A$166&gt;35,DO86+DN87-DW86,IF(A87&lt;'Données projet'!$A$166,$DL$205^A87,IF(A87='Données projet'!$A$166,'Données projet'!$B$166,DO86+DN87-DW86)))</f>
        <v>297.20000000000016</v>
      </c>
      <c r="DP87" s="18">
        <f>DO87*VLOOKUP('Données projet'!$B$14,Paramètres!$A$1:$I$89,3,0)*VLOOKUP('Données projet'!$B$14,Paramètres!$A$1:$I$89,5,0)</f>
        <v>319.90608000000014</v>
      </c>
      <c r="DQ87" s="14">
        <f t="shared" si="97"/>
        <v>75.333811446446603</v>
      </c>
      <c r="DR87" s="22">
        <f t="shared" si="70"/>
        <v>688.37614426922801</v>
      </c>
      <c r="DS87" s="60">
        <f t="shared" si="71"/>
        <v>981.70947760256126</v>
      </c>
      <c r="DT87" s="60">
        <f ca="1">AVERAGE(OFFSET($DS$3,0,0,'Données projet'!$E$14+1,1))-AVERAGE(OFFSET($H$3,0,0,'Données projet'!$E$14+1,1))</f>
        <v>338.92444234934266</v>
      </c>
      <c r="DU87" s="60">
        <f t="shared" si="98"/>
        <v>208.91548891910895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8</v>
      </c>
      <c r="EJ87" s="13">
        <f>IF('Données projet'!$A$192&gt;35,EJ86+EI87-ER86,IF(A87&lt;'Données projet'!$A$192,$EG$205^A87,IF(A87='Données projet'!$A$192,'Données projet'!$B$192,EJ86+EI87-ER86)))</f>
        <v>354.99999999999989</v>
      </c>
      <c r="EK87" s="18">
        <f>EJ87*VLOOKUP('Données projet'!$B$15,Paramètres!$A$1:$I$89,3,0)*VLOOKUP('Données projet'!$B$15,Paramètres!$A$1:$I$89,5,0)</f>
        <v>287.97599999999989</v>
      </c>
      <c r="EL87" s="14">
        <f t="shared" si="99"/>
        <v>68.649801713863141</v>
      </c>
      <c r="EM87" s="22">
        <f t="shared" si="73"/>
        <v>621.12327131831137</v>
      </c>
      <c r="EN87" s="60">
        <f t="shared" si="74"/>
        <v>914.45660465164474</v>
      </c>
      <c r="EO87" s="60">
        <f ca="1">AVERAGE(OFFSET($EN$3,0,0,'Données projet'!$E$15+1,1))-AVERAGE(OFFSET($H$3,0,0,'Données projet'!$E$15+1,1))</f>
        <v>346.10839312896536</v>
      </c>
      <c r="EP87" s="60">
        <f t="shared" si="100"/>
        <v>196.24927250256087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5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8">
        <f t="shared" si="56"/>
        <v>461.64001394761442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354</v>
      </c>
      <c r="L88" s="13">
        <f>VLOOKUP(A88,'Données projet'!$A$35:$I$55,9,0)</f>
        <v>7</v>
      </c>
      <c r="M88" s="13">
        <f t="array" ref="M88">INDEX(L:L,MIN(IF(ISNUMBER(L88:L284),ROW(L88:L284),"")))</f>
        <v>7</v>
      </c>
      <c r="N88" s="14">
        <f>IF('Données projet'!$A$36&gt;35,N87+M88-V87,IF(A88&lt;'Données projet'!$A$36,$K$205^A88,IF(A88='Données projet'!$A$36,'Données projet'!$B$36,N87+M88-V87)))</f>
        <v>354.00000000000006</v>
      </c>
      <c r="O88" s="14">
        <f>N88*VLOOKUP('Données projet'!$B$9,Paramètres!$A$1:$I$89,3,0)*VLOOKUP('Données projet'!$B$9,Paramètres!$A$1:$I$89,5,0)</f>
        <v>320.29920000000004</v>
      </c>
      <c r="P88" s="14">
        <f t="shared" si="87"/>
        <v>75.415604655092991</v>
      </c>
      <c r="Q88" s="22">
        <f t="shared" si="54"/>
        <v>689.203284774287</v>
      </c>
      <c r="R88" s="60">
        <f t="shared" si="55"/>
        <v>982.53661810762037</v>
      </c>
      <c r="S88" s="60">
        <f ca="1">AVERAGE(OFFSET($R$3,0,0,'Données projet'!$E$9+1,1))-AVERAGE(OFFSET($H$3,0,0,'Données projet'!$E$9+1,1))</f>
        <v>327.62615088747526</v>
      </c>
      <c r="T88" s="60">
        <f t="shared" si="88"/>
        <v>180.48047802041276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56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354</v>
      </c>
      <c r="AG88" s="13">
        <f>VLOOKUP(A88,'Données projet'!$A$61:$I$81,9,0)</f>
        <v>7</v>
      </c>
      <c r="AH88" s="13">
        <f t="array" ref="AH88">INDEX(AG:AG,MIN(IF(ISNUMBER(AG88:AG284),ROW(AG88:AG284),"")))</f>
        <v>7</v>
      </c>
      <c r="AI88" s="14">
        <f>IF('Données projet'!$A$62&gt;35,AI87+AH88-AQ87,IF(A88&lt;'Données projet'!$A$62,$AF$205^A88,IF(A88='Données projet'!$A$62,'Données projet'!$B$62,AI87+AH88-AQ87)))</f>
        <v>354.00000000000006</v>
      </c>
      <c r="AJ88" s="14">
        <f>AI88*VLOOKUP('Données projet'!$B$10,Paramètres!$A$1:$I$89,3,0)*VLOOKUP('Données projet'!$B$10,Paramètres!$A$1:$I$89,5,0)</f>
        <v>298.20960000000008</v>
      </c>
      <c r="AK88" s="14">
        <f t="shared" si="89"/>
        <v>70.800996206696297</v>
      </c>
      <c r="AL88" s="22">
        <f t="shared" si="58"/>
        <v>642.69345505999615</v>
      </c>
      <c r="AM88" s="60">
        <f t="shared" si="59"/>
        <v>936.02678839332953</v>
      </c>
      <c r="AN88" s="60">
        <f ca="1">AVERAGE(OFFSET($AM$3,0,0,'Données projet'!$E$10+1,1))-AVERAGE(OFFSET($H$3,0,0,'Données projet'!$E$10+1,1))</f>
        <v>295.5242128298583</v>
      </c>
      <c r="AO88" s="60">
        <f t="shared" si="90"/>
        <v>164.21740841327744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56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257.05128205128204</v>
      </c>
      <c r="BB88" s="13">
        <f>VLOOKUP(A88,'Données projet'!$A$87:$I$107,9,0)</f>
        <v>4.3589743589743533</v>
      </c>
      <c r="BC88" s="13">
        <f t="array" ref="BC88">INDEX(BB:BB,MIN(IF(ISNUMBER(BB88:BB284),ROW(BB88:BB284),"")))</f>
        <v>4.3589743589743533</v>
      </c>
      <c r="BD88" s="13">
        <f>IF('Données projet'!$A$88&gt;35,BD87+BC88-BL87,IF(A88&lt;'Données projet'!$A$88,$BA$205^A88,IF(A88='Données projet'!$A$88,'Données projet'!$B$88,BD87+BC88-BL87)))</f>
        <v>257.05128205128216</v>
      </c>
      <c r="BE88" s="14">
        <f>BD88*VLOOKUP('Données projet'!$B$11,Paramètres!$A$1:$I$89,3,0)*VLOOKUP('Données projet'!$B$11,Paramètres!$A$1:$I$89,5,0)</f>
        <v>244.6100000000001</v>
      </c>
      <c r="BF88" s="14">
        <f t="shared" si="91"/>
        <v>59.430293456197738</v>
      </c>
      <c r="BG88" s="22">
        <f t="shared" si="61"/>
        <v>529.53684443621125</v>
      </c>
      <c r="BH88" s="60">
        <f t="shared" si="62"/>
        <v>822.87017776954463</v>
      </c>
      <c r="BI88" s="60">
        <f ca="1">AVERAGE(OFFSET($BH$3,0,0,'Données projet'!$E$11+1,1))-AVERAGE(OFFSET($H$3,0,0,'Données projet'!$E$11+1,1))</f>
        <v>276.19649531804959</v>
      </c>
      <c r="BJ88" s="60">
        <f t="shared" si="92"/>
        <v>253.14970964973463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247</v>
      </c>
      <c r="BW88" s="13">
        <f>VLOOKUP(A88,'Données projet'!$A$113:$I$133,9,0)</f>
        <v>3.8</v>
      </c>
      <c r="BX88" s="13">
        <f t="array" ref="BX88">INDEX(BW:BW,MIN(IF(ISNUMBER(BW88:BW284),ROW(BW88:BW284),"")))</f>
        <v>3.8</v>
      </c>
      <c r="BY88" s="13">
        <f>IF('Données projet'!$A$114&gt;35,BY87+BX88-CG87,IF(A88&lt;'Données projet'!$A$114,$BV$205^A88,IF(A88='Données projet'!$A$114,'Données projet'!$B$114,BY87+BX88-CG87)))</f>
        <v>247.00000000000006</v>
      </c>
      <c r="BZ88" s="14">
        <f>BY88*VLOOKUP('Données projet'!$B$12,Paramètres!$A$1:$I$89,3,0)*VLOOKUP('Données projet'!$B$12,Paramètres!$A$1:$I$89,5,0)</f>
        <v>161.83440000000004</v>
      </c>
      <c r="CA88" s="14">
        <f t="shared" si="93"/>
        <v>41.25599453517048</v>
      </c>
      <c r="CB88" s="22">
        <f t="shared" si="64"/>
        <v>353.71577048208866</v>
      </c>
      <c r="CC88" s="60">
        <f t="shared" si="65"/>
        <v>647.04910381542197</v>
      </c>
      <c r="CD88" s="60">
        <f ca="1">AVERAGE(OFFSET($CC$3,0,0,'Données projet'!$E$12+1,1))-AVERAGE(OFFSET($H$3,0,0,'Données projet'!$E$12+1,1))</f>
        <v>154.88061446835457</v>
      </c>
      <c r="CE88" s="60">
        <f t="shared" si="94"/>
        <v>201.47826692201693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0.59414545362106985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0.59414545362106985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304</v>
      </c>
      <c r="CR88" s="13">
        <f>VLOOKUP(A88,'Données projet'!$A$139:$I$159,9,0)</f>
        <v>6.8</v>
      </c>
      <c r="CS88" s="13">
        <f t="array" ref="CS88">INDEX(CR:CR,MIN(IF(ISNUMBER(CR88:CR284),ROW(CR88:CR284),"")))</f>
        <v>6.8</v>
      </c>
      <c r="CT88" s="13">
        <f>IF('Données projet'!$A$140&gt;35,CT87+CS88-DB87,IF(A88&lt;'Données projet'!$A$140,$CQ$205^A88,IF(A88='Données projet'!$A$140,'Données projet'!$B$140,CT87+CS88-DB87)))</f>
        <v>304.00000000000017</v>
      </c>
      <c r="CU88" s="18">
        <f>CT88*VLOOKUP('Données projet'!$B$13,Paramètres!$A$1:$I$89,3,0)*VLOOKUP('Données projet'!$B$13,Paramètres!$A$1:$I$89,5,0)</f>
        <v>294.02880000000016</v>
      </c>
      <c r="CV88" s="14">
        <f t="shared" si="95"/>
        <v>69.923209651185729</v>
      </c>
      <c r="CW88" s="22">
        <f t="shared" si="67"/>
        <v>633.8830834758154</v>
      </c>
      <c r="CX88" s="60">
        <f t="shared" si="68"/>
        <v>927.21641680914877</v>
      </c>
      <c r="CY88" s="60">
        <f ca="1">AVERAGE(OFFSET($CX$3,0,0,'Données projet'!$E$13+1,1))-AVERAGE(OFFSET($H$3,0,0,'Données projet'!$E$13+1,1))</f>
        <v>293.44206058086951</v>
      </c>
      <c r="CZ88" s="60">
        <f t="shared" si="96"/>
        <v>182.15909509186827</v>
      </c>
      <c r="DA88" s="16">
        <f>IF(ISNA(VLOOKUP(A88,'Données projet'!$A$139:$I$159,3,0)),0,VLOOKUP(A88,'Données projet'!$A$139:$I$159,3,0))</f>
        <v>7</v>
      </c>
      <c r="DB88" s="16">
        <f>IF(ISNA(VLOOKUP(A88,'Données projet'!$A$139:$I$159,4,0)),0,VLOOKUP(A88,'Données projet'!$A$139:$I$159,4,0))</f>
        <v>49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304</v>
      </c>
      <c r="DM88" s="13">
        <f>VLOOKUP(A88,'Données projet'!$A$165:$I$185,9,0)</f>
        <v>6.8</v>
      </c>
      <c r="DN88" s="13">
        <f t="array" ref="DN88">INDEX(DM:DM,MIN(IF(ISNUMBER(DM88:DM284),ROW(DM88:DM284),"")))</f>
        <v>6.8</v>
      </c>
      <c r="DO88" s="13">
        <f>IF('Données projet'!$A$166&gt;35,DO87+DN88-DW87,IF(A88&lt;'Données projet'!$A$166,$DL$205^A88,IF(A88='Données projet'!$A$166,'Données projet'!$B$166,DO87+DN88-DW87)))</f>
        <v>304.00000000000017</v>
      </c>
      <c r="DP88" s="18">
        <f>DO88*VLOOKUP('Données projet'!$B$14,Paramètres!$A$1:$I$89,3,0)*VLOOKUP('Données projet'!$B$14,Paramètres!$A$1:$I$89,5,0)</f>
        <v>327.22560000000016</v>
      </c>
      <c r="DQ88" s="14">
        <f t="shared" si="97"/>
        <v>76.854820933847108</v>
      </c>
      <c r="DR88" s="22">
        <f t="shared" si="70"/>
        <v>703.77339979311728</v>
      </c>
      <c r="DS88" s="60">
        <f t="shared" si="71"/>
        <v>997.10673312645054</v>
      </c>
      <c r="DT88" s="60">
        <f ca="1">AVERAGE(OFFSET($DS$3,0,0,'Données projet'!$E$14+1,1))-AVERAGE(OFFSET($H$3,0,0,'Données projet'!$E$14+1,1))</f>
        <v>338.92444234934266</v>
      </c>
      <c r="DU88" s="60">
        <f t="shared" si="98"/>
        <v>208.91548891910895</v>
      </c>
      <c r="DV88" s="16">
        <f>IF(ISNA(VLOOKUP(A88,'Données projet'!$A$165:$I$185,3,0)),0,VLOOKUP(A88,'Données projet'!$A$165:$I$185,3,0))</f>
        <v>7</v>
      </c>
      <c r="DW88" s="16">
        <f>IF(ISNA(VLOOKUP(A88,'Données projet'!$A$165:$I$185,4,0)),0,VLOOKUP(A88,'Données projet'!$A$165:$I$185,4,0))</f>
        <v>49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8</v>
      </c>
      <c r="EJ88" s="13">
        <f>IF('Données projet'!$A$192&gt;35,EJ87+EI88-ER87,IF(A88&lt;'Données projet'!$A$192,$EG$205^A88,IF(A88='Données projet'!$A$192,'Données projet'!$B$192,EJ87+EI88-ER87)))</f>
        <v>362.99999999999989</v>
      </c>
      <c r="EK88" s="18">
        <f>EJ88*VLOOKUP('Données projet'!$B$15,Paramètres!$A$1:$I$89,3,0)*VLOOKUP('Données projet'!$B$15,Paramètres!$A$1:$I$89,5,0)</f>
        <v>294.46559999999988</v>
      </c>
      <c r="EL88" s="14">
        <f t="shared" si="99"/>
        <v>70.014986320104228</v>
      </c>
      <c r="EM88" s="22">
        <f t="shared" si="73"/>
        <v>634.80368784084806</v>
      </c>
      <c r="EN88" s="60">
        <f t="shared" si="74"/>
        <v>928.13702117418143</v>
      </c>
      <c r="EO88" s="60">
        <f ca="1">AVERAGE(OFFSET($EN$3,0,0,'Données projet'!$E$15+1,1))-AVERAGE(OFFSET($H$3,0,0,'Données projet'!$E$15+1,1))</f>
        <v>346.10839312896536</v>
      </c>
      <c r="EP88" s="60">
        <f t="shared" si="100"/>
        <v>196.24927250256087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5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8">
        <f t="shared" si="56"/>
        <v>463.56961905340103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6.3</v>
      </c>
      <c r="N89" s="14">
        <f>IF('Données projet'!$A$36&gt;35,N88+M89-V88,IF(A89&lt;'Données projet'!$A$36,$K$205^A89,IF(A89='Données projet'!$A$36,'Données projet'!$B$36,N88+M89-V88)))</f>
        <v>304.30000000000007</v>
      </c>
      <c r="O89" s="14">
        <f>N89*VLOOKUP('Données projet'!$B$9,Paramètres!$A$1:$I$89,3,0)*VLOOKUP('Données projet'!$B$9,Paramètres!$A$1:$I$89,5,0)</f>
        <v>275.33064000000007</v>
      </c>
      <c r="P89" s="14">
        <f t="shared" si="87"/>
        <v>65.979275169167465</v>
      </c>
      <c r="Q89" s="22">
        <f t="shared" si="54"/>
        <v>594.44810225296681</v>
      </c>
      <c r="R89" s="60">
        <f t="shared" si="55"/>
        <v>887.78143558630018</v>
      </c>
      <c r="S89" s="60">
        <f ca="1">AVERAGE(OFFSET($R$3,0,0,'Données projet'!$E$9+1,1))-AVERAGE(OFFSET($H$3,0,0,'Données projet'!$E$9+1,1))</f>
        <v>327.62615088747526</v>
      </c>
      <c r="T89" s="60">
        <f t="shared" si="88"/>
        <v>180.48047802041276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6.3</v>
      </c>
      <c r="AI89" s="14">
        <f>IF('Données projet'!$A$62&gt;35,AI88+AH89-AQ88,IF(A89&lt;'Données projet'!$A$62,$AF$205^A89,IF(A89='Données projet'!$A$62,'Données projet'!$B$62,AI88+AH89-AQ88)))</f>
        <v>304.30000000000007</v>
      </c>
      <c r="AJ89" s="14">
        <f>AI89*VLOOKUP('Données projet'!$B$10,Paramètres!$A$1:$I$89,3,0)*VLOOKUP('Données projet'!$B$10,Paramètres!$A$1:$I$89,5,0)</f>
        <v>256.34232000000009</v>
      </c>
      <c r="AK89" s="14">
        <f t="shared" si="89"/>
        <v>61.942066662954566</v>
      </c>
      <c r="AL89" s="22">
        <f t="shared" si="58"/>
        <v>554.34530677131272</v>
      </c>
      <c r="AM89" s="60">
        <f t="shared" si="59"/>
        <v>847.67864010464609</v>
      </c>
      <c r="AN89" s="60">
        <f ca="1">AVERAGE(OFFSET($AM$3,0,0,'Données projet'!$E$10+1,1))-AVERAGE(OFFSET($H$3,0,0,'Données projet'!$E$10+1,1))</f>
        <v>295.5242128298583</v>
      </c>
      <c r="AO89" s="60">
        <f t="shared" si="90"/>
        <v>164.21740841327744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4.1025641025640995</v>
      </c>
      <c r="BD89" s="13">
        <f>IF('Données projet'!$A$88&gt;35,BD88+BC89-BL88,IF(A89&lt;'Données projet'!$A$88,$BA$205^A89,IF(A89='Données projet'!$A$88,'Données projet'!$B$88,BD88+BC89-BL88)))</f>
        <v>261.15384615384625</v>
      </c>
      <c r="BE89" s="14">
        <f>BD89*VLOOKUP('Données projet'!$B$11,Paramètres!$A$1:$I$89,3,0)*VLOOKUP('Données projet'!$B$11,Paramètres!$A$1:$I$89,5,0)</f>
        <v>248.51400000000007</v>
      </c>
      <c r="BF89" s="14">
        <f t="shared" si="91"/>
        <v>60.267625993420467</v>
      </c>
      <c r="BG89" s="22">
        <f t="shared" si="61"/>
        <v>537.79466527187412</v>
      </c>
      <c r="BH89" s="60">
        <f t="shared" si="62"/>
        <v>831.12799860520749</v>
      </c>
      <c r="BI89" s="60">
        <f ca="1">AVERAGE(OFFSET($BH$3,0,0,'Données projet'!$E$11+1,1))-AVERAGE(OFFSET($H$3,0,0,'Données projet'!$E$11+1,1))</f>
        <v>276.19649531804959</v>
      </c>
      <c r="BJ89" s="60">
        <f t="shared" si="92"/>
        <v>253.14970964973463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3.6</v>
      </c>
      <c r="BY89" s="13">
        <f>IF('Données projet'!$A$114&gt;35,BY88+BX89-CG88,IF(A89&lt;'Données projet'!$A$114,$BV$205^A89,IF(A89='Données projet'!$A$114,'Données projet'!$B$114,BY88+BX89-CG88)))</f>
        <v>250.60000000000005</v>
      </c>
      <c r="BZ89" s="14">
        <f>BY89*VLOOKUP('Données projet'!$B$12,Paramètres!$A$1:$I$89,3,0)*VLOOKUP('Données projet'!$B$12,Paramètres!$A$1:$I$89,5,0)</f>
        <v>164.19312000000005</v>
      </c>
      <c r="CA89" s="14">
        <f t="shared" si="93"/>
        <v>41.786856670339013</v>
      </c>
      <c r="CB89" s="22">
        <f t="shared" si="64"/>
        <v>358.74845936750717</v>
      </c>
      <c r="CC89" s="60">
        <f t="shared" si="65"/>
        <v>652.08179270084042</v>
      </c>
      <c r="CD89" s="60">
        <f ca="1">AVERAGE(OFFSET($CC$3,0,0,'Données projet'!$E$12+1,1))-AVERAGE(OFFSET($H$3,0,0,'Données projet'!$E$12+1,1))</f>
        <v>154.88061446835457</v>
      </c>
      <c r="CE89" s="60">
        <f t="shared" si="94"/>
        <v>201.47826692201693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0.57789851494705025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0.57789851494705025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6.2</v>
      </c>
      <c r="CT89" s="13">
        <f>IF('Données projet'!$A$140&gt;35,CT88+CS89-DB88,IF(A89&lt;'Données projet'!$A$140,$CQ$205^A89,IF(A89='Données projet'!$A$140,'Données projet'!$B$140,CT88+CS89-DB88)))</f>
        <v>261.20000000000016</v>
      </c>
      <c r="CU89" s="18">
        <f>CT89*VLOOKUP('Données projet'!$B$13,Paramètres!$A$1:$I$89,3,0)*VLOOKUP('Données projet'!$B$13,Paramètres!$A$1:$I$89,5,0)</f>
        <v>252.63264000000018</v>
      </c>
      <c r="CV89" s="14">
        <f t="shared" si="95"/>
        <v>61.149336927535515</v>
      </c>
      <c r="CW89" s="22">
        <f t="shared" si="67"/>
        <v>546.50360981545793</v>
      </c>
      <c r="CX89" s="60">
        <f t="shared" si="68"/>
        <v>839.83694314879131</v>
      </c>
      <c r="CY89" s="60">
        <f ca="1">AVERAGE(OFFSET($CX$3,0,0,'Données projet'!$E$13+1,1))-AVERAGE(OFFSET($H$3,0,0,'Données projet'!$E$13+1,1))</f>
        <v>293.44206058086951</v>
      </c>
      <c r="CZ89" s="60">
        <f t="shared" si="96"/>
        <v>182.15909509186827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6.2</v>
      </c>
      <c r="DO89" s="13">
        <f>IF('Données projet'!$A$166&gt;35,DO88+DN89-DW88,IF(A89&lt;'Données projet'!$A$166,$DL$205^A89,IF(A89='Données projet'!$A$166,'Données projet'!$B$166,DO88+DN89-DW88)))</f>
        <v>261.20000000000016</v>
      </c>
      <c r="DP89" s="18">
        <f>DO89*VLOOKUP('Données projet'!$B$14,Paramètres!$A$1:$I$89,3,0)*VLOOKUP('Données projet'!$B$14,Paramètres!$A$1:$I$89,5,0)</f>
        <v>281.15568000000013</v>
      </c>
      <c r="DQ89" s="14">
        <f t="shared" si="97"/>
        <v>67.211178709236052</v>
      </c>
      <c r="DR89" s="22">
        <f t="shared" si="70"/>
        <v>606.73894558525296</v>
      </c>
      <c r="DS89" s="60">
        <f t="shared" si="71"/>
        <v>900.07227891858633</v>
      </c>
      <c r="DT89" s="60">
        <f ca="1">AVERAGE(OFFSET($DS$3,0,0,'Données projet'!$E$14+1,1))-AVERAGE(OFFSET($H$3,0,0,'Données projet'!$E$14+1,1))</f>
        <v>338.92444234934266</v>
      </c>
      <c r="DU89" s="60">
        <f t="shared" si="98"/>
        <v>208.91548891910895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8</v>
      </c>
      <c r="EJ89" s="13">
        <f>IF('Données projet'!$A$192&gt;35,EJ88+EI89-ER88,IF(A89&lt;'Données projet'!$A$192,$EG$205^A89,IF(A89='Données projet'!$A$192,'Données projet'!$B$192,EJ88+EI89-ER88)))</f>
        <v>370.99999999999989</v>
      </c>
      <c r="EK89" s="18">
        <f>EJ89*VLOOKUP('Données projet'!$B$15,Paramètres!$A$1:$I$89,3,0)*VLOOKUP('Données projet'!$B$15,Paramètres!$A$1:$I$89,5,0)</f>
        <v>300.95519999999993</v>
      </c>
      <c r="EL89" s="14">
        <f t="shared" si="99"/>
        <v>71.376673021759785</v>
      </c>
      <c r="EM89" s="22">
        <f t="shared" si="73"/>
        <v>648.47801217956487</v>
      </c>
      <c r="EN89" s="60">
        <f t="shared" si="74"/>
        <v>941.81134551289824</v>
      </c>
      <c r="EO89" s="60">
        <f ca="1">AVERAGE(OFFSET($EN$3,0,0,'Données projet'!$E$15+1,1))-AVERAGE(OFFSET($H$3,0,0,'Données projet'!$E$15+1,1))</f>
        <v>346.10839312896536</v>
      </c>
      <c r="EP89" s="60">
        <f t="shared" si="100"/>
        <v>196.24927250256087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5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8">
        <f t="shared" si="56"/>
        <v>465.49870893149051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6.3</v>
      </c>
      <c r="N90" s="14">
        <f>IF('Données projet'!$A$36&gt;35,N89+M90-V89,IF(A90&lt;'Données projet'!$A$36,$K$205^A90,IF(A90='Données projet'!$A$36,'Données projet'!$B$36,N89+M90-V89)))</f>
        <v>310.60000000000008</v>
      </c>
      <c r="O90" s="14">
        <f>N90*VLOOKUP('Données projet'!$B$9,Paramètres!$A$1:$I$89,3,0)*VLOOKUP('Données projet'!$B$9,Paramètres!$A$1:$I$89,5,0)</f>
        <v>281.03088000000002</v>
      </c>
      <c r="P90" s="14">
        <f t="shared" si="87"/>
        <v>67.184816842275524</v>
      </c>
      <c r="Q90" s="22">
        <f t="shared" si="54"/>
        <v>606.47567200029653</v>
      </c>
      <c r="R90" s="60">
        <f t="shared" si="55"/>
        <v>899.80900533362978</v>
      </c>
      <c r="S90" s="60">
        <f ca="1">AVERAGE(OFFSET($R$3,0,0,'Données projet'!$E$9+1,1))-AVERAGE(OFFSET($H$3,0,0,'Données projet'!$E$9+1,1))</f>
        <v>327.62615088747526</v>
      </c>
      <c r="T90" s="60">
        <f t="shared" si="88"/>
        <v>180.48047802041276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6.3</v>
      </c>
      <c r="AI90" s="14">
        <f>IF('Données projet'!$A$62&gt;35,AI89+AH90-AQ89,IF(A90&lt;'Données projet'!$A$62,$AF$205^A90,IF(A90='Données projet'!$A$62,'Données projet'!$B$62,AI89+AH90-AQ89)))</f>
        <v>310.60000000000008</v>
      </c>
      <c r="AJ90" s="14">
        <f>AI90*VLOOKUP('Données projet'!$B$10,Paramètres!$A$1:$I$89,3,0)*VLOOKUP('Données projet'!$B$10,Paramètres!$A$1:$I$89,5,0)</f>
        <v>261.64944000000008</v>
      </c>
      <c r="AK90" s="14">
        <f t="shared" si="89"/>
        <v>63.073842398428624</v>
      </c>
      <c r="AL90" s="22">
        <f t="shared" si="58"/>
        <v>565.55971684393</v>
      </c>
      <c r="AM90" s="60">
        <f t="shared" si="59"/>
        <v>858.89305017726338</v>
      </c>
      <c r="AN90" s="60">
        <f ca="1">AVERAGE(OFFSET($AM$3,0,0,'Données projet'!$E$10+1,1))-AVERAGE(OFFSET($H$3,0,0,'Données projet'!$E$10+1,1))</f>
        <v>295.5242128298583</v>
      </c>
      <c r="AO90" s="60">
        <f t="shared" si="90"/>
        <v>164.21740841327744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4.1025641025640995</v>
      </c>
      <c r="BD90" s="13">
        <f>IF('Données projet'!$A$88&gt;35,BD89+BC90-BL89,IF(A90&lt;'Données projet'!$A$88,$BA$205^A90,IF(A90='Données projet'!$A$88,'Données projet'!$B$88,BD89+BC90-BL89)))</f>
        <v>265.25641025641033</v>
      </c>
      <c r="BE90" s="14">
        <f>BD90*VLOOKUP('Données projet'!$B$11,Paramètres!$A$1:$I$89,3,0)*VLOOKUP('Données projet'!$B$11,Paramètres!$A$1:$I$89,5,0)</f>
        <v>252.41800000000006</v>
      </c>
      <c r="BF90" s="14">
        <f t="shared" si="91"/>
        <v>61.103428740793305</v>
      </c>
      <c r="BG90" s="22">
        <f t="shared" si="61"/>
        <v>546.04982172354835</v>
      </c>
      <c r="BH90" s="60">
        <f t="shared" si="62"/>
        <v>839.38315505688161</v>
      </c>
      <c r="BI90" s="60">
        <f ca="1">AVERAGE(OFFSET($BH$3,0,0,'Données projet'!$E$11+1,1))-AVERAGE(OFFSET($H$3,0,0,'Données projet'!$E$11+1,1))</f>
        <v>276.19649531804959</v>
      </c>
      <c r="BJ90" s="60">
        <f t="shared" si="92"/>
        <v>253.14970964973463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3.6</v>
      </c>
      <c r="BY90" s="13">
        <f>IF('Données projet'!$A$114&gt;35,BY89+BX90-CG89,IF(A90&lt;'Données projet'!$A$114,$BV$205^A90,IF(A90='Données projet'!$A$114,'Données projet'!$B$114,BY89+BX90-CG89)))</f>
        <v>254.20000000000005</v>
      </c>
      <c r="BZ90" s="14">
        <f>BY90*VLOOKUP('Données projet'!$B$12,Paramètres!$A$1:$I$89,3,0)*VLOOKUP('Données projet'!$B$12,Paramètres!$A$1:$I$89,5,0)</f>
        <v>166.55184000000003</v>
      </c>
      <c r="CA90" s="14">
        <f t="shared" si="93"/>
        <v>42.316831835556165</v>
      </c>
      <c r="CB90" s="22">
        <f t="shared" si="64"/>
        <v>363.77960344692701</v>
      </c>
      <c r="CC90" s="60">
        <f t="shared" si="65"/>
        <v>657.11293678026027</v>
      </c>
      <c r="CD90" s="60">
        <f ca="1">AVERAGE(OFFSET($CC$3,0,0,'Données projet'!$E$12+1,1))-AVERAGE(OFFSET($H$3,0,0,'Données projet'!$E$12+1,1))</f>
        <v>154.88061446835457</v>
      </c>
      <c r="CE90" s="60">
        <f t="shared" si="94"/>
        <v>201.47826692201693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0.56209584966546111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0.56209584966546111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6.2</v>
      </c>
      <c r="CT90" s="13">
        <f>IF('Données projet'!$A$140&gt;35,CT89+CS90-DB89,IF(A90&lt;'Données projet'!$A$140,$CQ$205^A90,IF(A90='Données projet'!$A$140,'Données projet'!$B$140,CT89+CS90-DB89)))</f>
        <v>267.40000000000015</v>
      </c>
      <c r="CU90" s="18">
        <f>CT90*VLOOKUP('Données projet'!$B$13,Paramètres!$A$1:$I$89,3,0)*VLOOKUP('Données projet'!$B$13,Paramètres!$A$1:$I$89,5,0)</f>
        <v>258.62928000000016</v>
      </c>
      <c r="CV90" s="14">
        <f t="shared" si="95"/>
        <v>62.430106017481926</v>
      </c>
      <c r="CW90" s="22">
        <f t="shared" si="67"/>
        <v>559.17843064711462</v>
      </c>
      <c r="CX90" s="60">
        <f t="shared" si="68"/>
        <v>852.51176398044799</v>
      </c>
      <c r="CY90" s="60">
        <f ca="1">AVERAGE(OFFSET($CX$3,0,0,'Données projet'!$E$13+1,1))-AVERAGE(OFFSET($H$3,0,0,'Données projet'!$E$13+1,1))</f>
        <v>293.44206058086951</v>
      </c>
      <c r="CZ90" s="60">
        <f t="shared" si="96"/>
        <v>182.15909509186827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6.2</v>
      </c>
      <c r="DO90" s="13">
        <f>IF('Données projet'!$A$166&gt;35,DO89+DN90-DW89,IF(A90&lt;'Données projet'!$A$166,$DL$205^A90,IF(A90='Données projet'!$A$166,'Données projet'!$B$166,DO89+DN90-DW89)))</f>
        <v>267.40000000000015</v>
      </c>
      <c r="DP90" s="18">
        <f>DO90*VLOOKUP('Données projet'!$B$14,Paramètres!$A$1:$I$89,3,0)*VLOOKUP('Données projet'!$B$14,Paramètres!$A$1:$I$89,5,0)</f>
        <v>287.82936000000012</v>
      </c>
      <c r="DQ90" s="14">
        <f t="shared" si="97"/>
        <v>68.618912701375066</v>
      </c>
      <c r="DR90" s="22">
        <f t="shared" si="70"/>
        <v>620.81407495489509</v>
      </c>
      <c r="DS90" s="60">
        <f t="shared" si="71"/>
        <v>914.14740828822846</v>
      </c>
      <c r="DT90" s="60">
        <f ca="1">AVERAGE(OFFSET($DS$3,0,0,'Données projet'!$E$14+1,1))-AVERAGE(OFFSET($H$3,0,0,'Données projet'!$E$14+1,1))</f>
        <v>338.92444234934266</v>
      </c>
      <c r="DU90" s="60">
        <f t="shared" si="98"/>
        <v>208.91548891910895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8</v>
      </c>
      <c r="EJ90" s="13">
        <f>IF('Données projet'!$A$192&gt;35,EJ89+EI90-ER89,IF(A90&lt;'Données projet'!$A$192,$EG$205^A90,IF(A90='Données projet'!$A$192,'Données projet'!$B$192,EJ89+EI90-ER89)))</f>
        <v>378.99999999999989</v>
      </c>
      <c r="EK90" s="18">
        <f>EJ90*VLOOKUP('Données projet'!$B$15,Paramètres!$A$1:$I$89,3,0)*VLOOKUP('Données projet'!$B$15,Paramètres!$A$1:$I$89,5,0)</f>
        <v>307.44479999999993</v>
      </c>
      <c r="EL90" s="14">
        <f t="shared" si="99"/>
        <v>72.734945932566347</v>
      </c>
      <c r="EM90" s="22">
        <f t="shared" si="73"/>
        <v>662.14639083255292</v>
      </c>
      <c r="EN90" s="60">
        <f t="shared" si="74"/>
        <v>955.47972416588618</v>
      </c>
      <c r="EO90" s="60">
        <f ca="1">AVERAGE(OFFSET($EN$3,0,0,'Données projet'!$E$15+1,1))-AVERAGE(OFFSET($H$3,0,0,'Données projet'!$E$15+1,1))</f>
        <v>346.10839312896536</v>
      </c>
      <c r="EP90" s="60">
        <f t="shared" si="100"/>
        <v>196.24927250256087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5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8">
        <f t="shared" si="56"/>
        <v>467.42729018925121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6.3</v>
      </c>
      <c r="N91" s="14">
        <f>IF('Données projet'!$A$36&gt;35,N90+M91-V90,IF(A91&lt;'Données projet'!$A$36,$K$205^A91,IF(A91='Données projet'!$A$36,'Données projet'!$B$36,N90+M91-V90)))</f>
        <v>316.90000000000009</v>
      </c>
      <c r="O91" s="14">
        <f>N91*VLOOKUP('Données projet'!$B$9,Paramètres!$A$1:$I$89,3,0)*VLOOKUP('Données projet'!$B$9,Paramètres!$A$1:$I$89,5,0)</f>
        <v>286.73112000000009</v>
      </c>
      <c r="P91" s="14">
        <f t="shared" si="87"/>
        <v>68.387515408373432</v>
      </c>
      <c r="Q91" s="22">
        <f t="shared" si="54"/>
        <v>618.4982900029172</v>
      </c>
      <c r="R91" s="60">
        <f t="shared" si="55"/>
        <v>911.83162333625046</v>
      </c>
      <c r="S91" s="60">
        <f ca="1">AVERAGE(OFFSET($R$3,0,0,'Données projet'!$E$9+1,1))-AVERAGE(OFFSET($H$3,0,0,'Données projet'!$E$9+1,1))</f>
        <v>327.62615088747526</v>
      </c>
      <c r="T91" s="60">
        <f t="shared" si="88"/>
        <v>180.48047802041276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6.3</v>
      </c>
      <c r="AI91" s="14">
        <f>IF('Données projet'!$A$62&gt;35,AI90+AH91-AQ90,IF(A91&lt;'Données projet'!$A$62,$AF$205^A91,IF(A91='Données projet'!$A$62,'Données projet'!$B$62,AI90+AH91-AQ90)))</f>
        <v>316.90000000000009</v>
      </c>
      <c r="AJ91" s="14">
        <f>AI91*VLOOKUP('Données projet'!$B$10,Paramètres!$A$1:$I$89,3,0)*VLOOKUP('Données projet'!$B$10,Paramètres!$A$1:$I$89,5,0)</f>
        <v>266.95656000000008</v>
      </c>
      <c r="AK91" s="14">
        <f t="shared" si="89"/>
        <v>64.20294899388108</v>
      </c>
      <c r="AL91" s="22">
        <f t="shared" si="58"/>
        <v>576.76947816434301</v>
      </c>
      <c r="AM91" s="60">
        <f t="shared" si="59"/>
        <v>870.10281149767638</v>
      </c>
      <c r="AN91" s="60">
        <f ca="1">AVERAGE(OFFSET($AM$3,0,0,'Données projet'!$E$10+1,1))-AVERAGE(OFFSET($H$3,0,0,'Données projet'!$E$10+1,1))</f>
        <v>295.5242128298583</v>
      </c>
      <c r="AO91" s="60">
        <f t="shared" si="90"/>
        <v>164.21740841327744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4.1025641025640995</v>
      </c>
      <c r="BD91" s="13">
        <f>IF('Données projet'!$A$88&gt;35,BD90+BC91-BL90,IF(A91&lt;'Données projet'!$A$88,$BA$205^A91,IF(A91='Données projet'!$A$88,'Données projet'!$B$88,BD90+BC91-BL90)))</f>
        <v>269.35897435897442</v>
      </c>
      <c r="BE91" s="14">
        <f>BD91*VLOOKUP('Données projet'!$B$11,Paramètres!$A$1:$I$89,3,0)*VLOOKUP('Données projet'!$B$11,Paramètres!$A$1:$I$89,5,0)</f>
        <v>256.32200000000006</v>
      </c>
      <c r="BF91" s="14">
        <f t="shared" si="91"/>
        <v>61.937728091093639</v>
      </c>
      <c r="BG91" s="22">
        <f t="shared" si="61"/>
        <v>554.3023597586548</v>
      </c>
      <c r="BH91" s="60">
        <f t="shared" si="62"/>
        <v>847.63569309198806</v>
      </c>
      <c r="BI91" s="60">
        <f ca="1">AVERAGE(OFFSET($BH$3,0,0,'Données projet'!$E$11+1,1))-AVERAGE(OFFSET($H$3,0,0,'Données projet'!$E$11+1,1))</f>
        <v>276.19649531804959</v>
      </c>
      <c r="BJ91" s="60">
        <f t="shared" si="92"/>
        <v>253.14970964973463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3.6</v>
      </c>
      <c r="BY91" s="13">
        <f>IF('Données projet'!$A$114&gt;35,BY90+BX91-CG90,IF(A91&lt;'Données projet'!$A$114,$BV$205^A91,IF(A91='Données projet'!$A$114,'Données projet'!$B$114,BY90+BX91-CG90)))</f>
        <v>257.80000000000007</v>
      </c>
      <c r="BZ91" s="14">
        <f>BY91*VLOOKUP('Données projet'!$B$12,Paramètres!$A$1:$I$89,3,0)*VLOOKUP('Données projet'!$B$12,Paramètres!$A$1:$I$89,5,0)</f>
        <v>168.91056000000003</v>
      </c>
      <c r="CA91" s="14">
        <f t="shared" si="93"/>
        <v>42.845934043689041</v>
      </c>
      <c r="CB91" s="22">
        <f t="shared" si="64"/>
        <v>368.8092271260918</v>
      </c>
      <c r="CC91" s="60">
        <f t="shared" si="65"/>
        <v>662.14256045942511</v>
      </c>
      <c r="CD91" s="60">
        <f ca="1">AVERAGE(OFFSET($CC$3,0,0,'Données projet'!$E$12+1,1))-AVERAGE(OFFSET($H$3,0,0,'Données projet'!$E$12+1,1))</f>
        <v>154.88061446835457</v>
      </c>
      <c r="CE91" s="60">
        <f t="shared" si="94"/>
        <v>201.47826692201693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0.54672530909702299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0.54672530909702299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6.2</v>
      </c>
      <c r="CT91" s="13">
        <f>IF('Données projet'!$A$140&gt;35,CT90+CS91-DB90,IF(A91&lt;'Données projet'!$A$140,$CQ$205^A91,IF(A91='Données projet'!$A$140,'Données projet'!$B$140,CT90+CS91-DB90)))</f>
        <v>273.60000000000014</v>
      </c>
      <c r="CU91" s="18">
        <f>CT91*VLOOKUP('Données projet'!$B$13,Paramètres!$A$1:$I$89,3,0)*VLOOKUP('Données projet'!$B$13,Paramètres!$A$1:$I$89,5,0)</f>
        <v>264.62592000000012</v>
      </c>
      <c r="CV91" s="14">
        <f t="shared" si="95"/>
        <v>63.707422801198661</v>
      </c>
      <c r="CW91" s="22">
        <f t="shared" si="67"/>
        <v>571.84723871208791</v>
      </c>
      <c r="CX91" s="60">
        <f t="shared" si="68"/>
        <v>865.18057204542129</v>
      </c>
      <c r="CY91" s="60">
        <f ca="1">AVERAGE(OFFSET($CX$3,0,0,'Données projet'!$E$13+1,1))-AVERAGE(OFFSET($H$3,0,0,'Données projet'!$E$13+1,1))</f>
        <v>293.44206058086951</v>
      </c>
      <c r="CZ91" s="60">
        <f t="shared" si="96"/>
        <v>182.15909509186827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6.2</v>
      </c>
      <c r="DO91" s="13">
        <f>IF('Données projet'!$A$166&gt;35,DO90+DN91-DW90,IF(A91&lt;'Données projet'!$A$166,$DL$205^A91,IF(A91='Données projet'!$A$166,'Données projet'!$B$166,DO90+DN91-DW90)))</f>
        <v>273.60000000000014</v>
      </c>
      <c r="DP91" s="18">
        <f>DO91*VLOOKUP('Données projet'!$B$14,Paramètres!$A$1:$I$89,3,0)*VLOOKUP('Données projet'!$B$14,Paramètres!$A$1:$I$89,5,0)</f>
        <v>294.50304000000011</v>
      </c>
      <c r="DQ91" s="14">
        <f t="shared" si="97"/>
        <v>70.022852154069838</v>
      </c>
      <c r="DR91" s="22">
        <f t="shared" si="70"/>
        <v>634.88259550167174</v>
      </c>
      <c r="DS91" s="60">
        <f t="shared" si="71"/>
        <v>928.21592883500512</v>
      </c>
      <c r="DT91" s="60">
        <f ca="1">AVERAGE(OFFSET($DS$3,0,0,'Données projet'!$E$14+1,1))-AVERAGE(OFFSET($H$3,0,0,'Données projet'!$E$14+1,1))</f>
        <v>338.92444234934266</v>
      </c>
      <c r="DU91" s="60">
        <f t="shared" si="98"/>
        <v>208.91548891910895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8</v>
      </c>
      <c r="EJ91" s="13">
        <f>IF('Données projet'!$A$192&gt;35,EJ90+EI91-ER90,IF(A91&lt;'Données projet'!$A$192,$EG$205^A91,IF(A91='Données projet'!$A$192,'Données projet'!$B$192,EJ90+EI91-ER90)))</f>
        <v>386.99999999999989</v>
      </c>
      <c r="EK91" s="18">
        <f>EJ91*VLOOKUP('Données projet'!$B$15,Paramètres!$A$1:$I$89,3,0)*VLOOKUP('Données projet'!$B$15,Paramètres!$A$1:$I$89,5,0)</f>
        <v>313.93439999999993</v>
      </c>
      <c r="EL91" s="14">
        <f t="shared" si="99"/>
        <v>74.089885412393457</v>
      </c>
      <c r="EM91" s="22">
        <f t="shared" si="73"/>
        <v>675.80896375991847</v>
      </c>
      <c r="EN91" s="60">
        <f t="shared" si="74"/>
        <v>969.14229709325173</v>
      </c>
      <c r="EO91" s="60">
        <f ca="1">AVERAGE(OFFSET($EN$3,0,0,'Données projet'!$E$15+1,1))-AVERAGE(OFFSET($H$3,0,0,'Données projet'!$E$15+1,1))</f>
        <v>346.10839312896536</v>
      </c>
      <c r="EP91" s="60">
        <f t="shared" si="100"/>
        <v>196.24927250256087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5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8">
        <f t="shared" si="56"/>
        <v>469.35536927523879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6.3</v>
      </c>
      <c r="N92" s="14">
        <f>IF('Données projet'!$A$36&gt;35,N91+M92-V91,IF(A92&lt;'Données projet'!$A$36,$K$205^A92,IF(A92='Données projet'!$A$36,'Données projet'!$B$36,N91+M92-V91)))</f>
        <v>323.2000000000001</v>
      </c>
      <c r="O92" s="14">
        <f>N92*VLOOKUP('Données projet'!$B$9,Paramètres!$A$1:$I$89,3,0)*VLOOKUP('Données projet'!$B$9,Paramètres!$A$1:$I$89,5,0)</f>
        <v>292.4313600000001</v>
      </c>
      <c r="P92" s="14">
        <f t="shared" si="87"/>
        <v>69.587433903176986</v>
      </c>
      <c r="Q92" s="22">
        <f t="shared" si="54"/>
        <v>630.51606604803339</v>
      </c>
      <c r="R92" s="60">
        <f t="shared" si="55"/>
        <v>923.84939938136677</v>
      </c>
      <c r="S92" s="60">
        <f ca="1">AVERAGE(OFFSET($R$3,0,0,'Données projet'!$E$9+1,1))-AVERAGE(OFFSET($H$3,0,0,'Données projet'!$E$9+1,1))</f>
        <v>327.62615088747526</v>
      </c>
      <c r="T92" s="60">
        <f t="shared" si="88"/>
        <v>180.48047802041276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6.3</v>
      </c>
      <c r="AI92" s="14">
        <f>IF('Données projet'!$A$62&gt;35,AI91+AH92-AQ91,IF(A92&lt;'Données projet'!$A$62,$AF$205^A92,IF(A92='Données projet'!$A$62,'Données projet'!$B$62,AI91+AH92-AQ91)))</f>
        <v>323.2000000000001</v>
      </c>
      <c r="AJ92" s="14">
        <f>AI92*VLOOKUP('Données projet'!$B$10,Paramètres!$A$1:$I$89,3,0)*VLOOKUP('Données projet'!$B$10,Paramètres!$A$1:$I$89,5,0)</f>
        <v>272.26368000000014</v>
      </c>
      <c r="AK92" s="14">
        <f t="shared" si="89"/>
        <v>65.329445627932728</v>
      </c>
      <c r="AL92" s="22">
        <f t="shared" si="58"/>
        <v>587.97469380198311</v>
      </c>
      <c r="AM92" s="60">
        <f t="shared" si="59"/>
        <v>881.30802713531648</v>
      </c>
      <c r="AN92" s="60">
        <f ca="1">AVERAGE(OFFSET($AM$3,0,0,'Données projet'!$E$10+1,1))-AVERAGE(OFFSET($H$3,0,0,'Données projet'!$E$10+1,1))</f>
        <v>295.5242128298583</v>
      </c>
      <c r="AO92" s="60">
        <f t="shared" si="90"/>
        <v>164.21740841327744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4.1025641025640995</v>
      </c>
      <c r="BD92" s="13">
        <f>IF('Données projet'!$A$88&gt;35,BD91+BC92-BL91,IF(A92&lt;'Données projet'!$A$88,$BA$205^A92,IF(A92='Données projet'!$A$88,'Données projet'!$B$88,BD91+BC92-BL91)))</f>
        <v>273.46153846153851</v>
      </c>
      <c r="BE92" s="14">
        <f>BD92*VLOOKUP('Données projet'!$B$11,Paramètres!$A$1:$I$89,3,0)*VLOOKUP('Données projet'!$B$11,Paramètres!$A$1:$I$89,5,0)</f>
        <v>260.22600000000006</v>
      </c>
      <c r="BF92" s="14">
        <f t="shared" si="91"/>
        <v>62.770549586994875</v>
      </c>
      <c r="BG92" s="22">
        <f t="shared" si="61"/>
        <v>562.5523238640161</v>
      </c>
      <c r="BH92" s="60">
        <f t="shared" si="62"/>
        <v>855.88565719734947</v>
      </c>
      <c r="BI92" s="60">
        <f ca="1">AVERAGE(OFFSET($BH$3,0,0,'Données projet'!$E$11+1,1))-AVERAGE(OFFSET($H$3,0,0,'Données projet'!$E$11+1,1))</f>
        <v>276.19649531804959</v>
      </c>
      <c r="BJ92" s="60">
        <f t="shared" si="92"/>
        <v>253.14970964973463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3.6</v>
      </c>
      <c r="BY92" s="13">
        <f>IF('Données projet'!$A$114&gt;35,BY91+BX92-CG91,IF(A92&lt;'Données projet'!$A$114,$BV$205^A92,IF(A92='Données projet'!$A$114,'Données projet'!$B$114,BY91+BX92-CG91)))</f>
        <v>261.40000000000009</v>
      </c>
      <c r="BZ92" s="14">
        <f>BY92*VLOOKUP('Données projet'!$B$12,Paramètres!$A$1:$I$89,3,0)*VLOOKUP('Données projet'!$B$12,Paramètres!$A$1:$I$89,5,0)</f>
        <v>171.26928000000007</v>
      </c>
      <c r="CA92" s="14">
        <f t="shared" si="93"/>
        <v>43.374176893763575</v>
      </c>
      <c r="CB92" s="22">
        <f t="shared" si="64"/>
        <v>373.83735408997171</v>
      </c>
      <c r="CC92" s="60">
        <f t="shared" si="65"/>
        <v>667.17068742330503</v>
      </c>
      <c r="CD92" s="60">
        <f ca="1">AVERAGE(OFFSET($CC$3,0,0,'Données projet'!$E$12+1,1))-AVERAGE(OFFSET($H$3,0,0,'Données projet'!$E$12+1,1))</f>
        <v>154.88061446835457</v>
      </c>
      <c r="CE92" s="60">
        <f t="shared" si="94"/>
        <v>201.47826692201693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0.53177507676873048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0.53177507676873048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6.2</v>
      </c>
      <c r="CT92" s="13">
        <f>IF('Données projet'!$A$140&gt;35,CT91+CS92-DB91,IF(A92&lt;'Données projet'!$A$140,$CQ$205^A92,IF(A92='Données projet'!$A$140,'Données projet'!$B$140,CT91+CS92-DB91)))</f>
        <v>279.80000000000013</v>
      </c>
      <c r="CU92" s="18">
        <f>CT92*VLOOKUP('Données projet'!$B$13,Paramètres!$A$1:$I$89,3,0)*VLOOKUP('Données projet'!$B$13,Paramètres!$A$1:$I$89,5,0)</f>
        <v>270.62256000000014</v>
      </c>
      <c r="CV92" s="14">
        <f t="shared" si="95"/>
        <v>64.981374516988083</v>
      </c>
      <c r="CW92" s="22">
        <f t="shared" si="67"/>
        <v>584.51018595042115</v>
      </c>
      <c r="CX92" s="60">
        <f t="shared" si="68"/>
        <v>877.8435192837544</v>
      </c>
      <c r="CY92" s="60">
        <f ca="1">AVERAGE(OFFSET($CX$3,0,0,'Données projet'!$E$13+1,1))-AVERAGE(OFFSET($H$3,0,0,'Données projet'!$E$13+1,1))</f>
        <v>293.44206058086951</v>
      </c>
      <c r="CZ92" s="60">
        <f t="shared" si="96"/>
        <v>182.15909509186827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6.2</v>
      </c>
      <c r="DO92" s="13">
        <f>IF('Données projet'!$A$166&gt;35,DO91+DN92-DW91,IF(A92&lt;'Données projet'!$A$166,$DL$205^A92,IF(A92='Données projet'!$A$166,'Données projet'!$B$166,DO91+DN92-DW91)))</f>
        <v>279.80000000000013</v>
      </c>
      <c r="DP92" s="18">
        <f>DO92*VLOOKUP('Données projet'!$B$14,Paramètres!$A$1:$I$89,3,0)*VLOOKUP('Données projet'!$B$14,Paramètres!$A$1:$I$89,5,0)</f>
        <v>301.1767200000001</v>
      </c>
      <c r="DQ92" s="14">
        <f t="shared" si="97"/>
        <v>71.423092953709713</v>
      </c>
      <c r="DR92" s="22">
        <f t="shared" si="70"/>
        <v>648.94467422771129</v>
      </c>
      <c r="DS92" s="60">
        <f t="shared" si="71"/>
        <v>942.27800756104466</v>
      </c>
      <c r="DT92" s="60">
        <f ca="1">AVERAGE(OFFSET($DS$3,0,0,'Données projet'!$E$14+1,1))-AVERAGE(OFFSET($H$3,0,0,'Données projet'!$E$14+1,1))</f>
        <v>338.92444234934266</v>
      </c>
      <c r="DU92" s="60">
        <f t="shared" si="98"/>
        <v>208.91548891910895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8</v>
      </c>
      <c r="EJ92" s="13">
        <f>IF('Données projet'!$A$192&gt;35,EJ91+EI92-ER91,IF(A92&lt;'Données projet'!$A$192,$EG$205^A92,IF(A92='Données projet'!$A$192,'Données projet'!$B$192,EJ91+EI92-ER91)))</f>
        <v>394.99999999999989</v>
      </c>
      <c r="EK92" s="18">
        <f>EJ92*VLOOKUP('Données projet'!$B$15,Paramètres!$A$1:$I$89,3,0)*VLOOKUP('Données projet'!$B$15,Paramètres!$A$1:$I$89,5,0)</f>
        <v>320.42399999999992</v>
      </c>
      <c r="EL92" s="14">
        <f t="shared" si="99"/>
        <v>75.441568308852311</v>
      </c>
      <c r="EM92" s="22">
        <f t="shared" si="73"/>
        <v>689.46586480458427</v>
      </c>
      <c r="EN92" s="60">
        <f t="shared" si="74"/>
        <v>982.79919813791753</v>
      </c>
      <c r="EO92" s="60">
        <f ca="1">AVERAGE(OFFSET($EN$3,0,0,'Données projet'!$E$15+1,1))-AVERAGE(OFFSET($H$3,0,0,'Données projet'!$E$15+1,1))</f>
        <v>346.10839312896536</v>
      </c>
      <c r="EP92" s="60">
        <f t="shared" si="100"/>
        <v>196.24927250256087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5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8">
        <f t="shared" si="56"/>
        <v>471.2829524847545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6.3</v>
      </c>
      <c r="N93" s="14">
        <f>IF('Données projet'!$A$36&gt;35,N92+M93-V92,IF(A93&lt;'Données projet'!$A$36,$K$205^A93,IF(A93='Données projet'!$A$36,'Données projet'!$B$36,N92+M93-V92)))</f>
        <v>329.50000000000011</v>
      </c>
      <c r="O93" s="14">
        <f>N93*VLOOKUP('Données projet'!$B$9,Paramètres!$A$1:$I$89,3,0)*VLOOKUP('Données projet'!$B$9,Paramètres!$A$1:$I$89,5,0)</f>
        <v>298.13160000000005</v>
      </c>
      <c r="P93" s="14">
        <f t="shared" si="87"/>
        <v>70.784632764376099</v>
      </c>
      <c r="Q93" s="22">
        <f t="shared" si="54"/>
        <v>642.52910539795516</v>
      </c>
      <c r="R93" s="60">
        <f t="shared" si="55"/>
        <v>935.86243873128842</v>
      </c>
      <c r="S93" s="60">
        <f ca="1">AVERAGE(OFFSET($R$3,0,0,'Données projet'!$E$9+1,1))-AVERAGE(OFFSET($H$3,0,0,'Données projet'!$E$9+1,1))</f>
        <v>327.62615088747526</v>
      </c>
      <c r="T93" s="60">
        <f t="shared" si="88"/>
        <v>180.48047802041276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6.3</v>
      </c>
      <c r="AI93" s="14">
        <f>IF('Données projet'!$A$62&gt;35,AI92+AH93-AQ92,IF(A93&lt;'Données projet'!$A$62,$AF$205^A93,IF(A93='Données projet'!$A$62,'Données projet'!$B$62,AI92+AH93-AQ92)))</f>
        <v>329.50000000000011</v>
      </c>
      <c r="AJ93" s="14">
        <f>AI93*VLOOKUP('Données projet'!$B$10,Paramètres!$A$1:$I$89,3,0)*VLOOKUP('Données projet'!$B$10,Paramètres!$A$1:$I$89,5,0)</f>
        <v>277.57080000000013</v>
      </c>
      <c r="AK93" s="14">
        <f t="shared" si="89"/>
        <v>66.453389040149204</v>
      </c>
      <c r="AL93" s="22">
        <f t="shared" si="58"/>
        <v>599.17546257826007</v>
      </c>
      <c r="AM93" s="60">
        <f t="shared" si="59"/>
        <v>892.50879591159332</v>
      </c>
      <c r="AN93" s="60">
        <f ca="1">AVERAGE(OFFSET($AM$3,0,0,'Données projet'!$E$10+1,1))-AVERAGE(OFFSET($H$3,0,0,'Données projet'!$E$10+1,1))</f>
        <v>295.5242128298583</v>
      </c>
      <c r="AO93" s="60">
        <f t="shared" si="90"/>
        <v>164.21740841327744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277.56410256410254</v>
      </c>
      <c r="BB93" s="13">
        <f>VLOOKUP(A93,'Données projet'!$A$87:$I$107,9,0)</f>
        <v>4.1025641025640995</v>
      </c>
      <c r="BC93" s="13">
        <f t="array" ref="BC93">INDEX(BB:BB,MIN(IF(ISNUMBER(BB93:BB289),ROW(BB93:BB289),"")))</f>
        <v>4.1025641025640995</v>
      </c>
      <c r="BD93" s="13">
        <f>IF('Données projet'!$A$88&gt;35,BD92+BC93-BL92,IF(A93&lt;'Données projet'!$A$88,$BA$205^A93,IF(A93='Données projet'!$A$88,'Données projet'!$B$88,BD92+BC93-BL92)))</f>
        <v>277.5641025641026</v>
      </c>
      <c r="BE93" s="14">
        <f>BD93*VLOOKUP('Données projet'!$B$11,Paramètres!$A$1:$I$89,3,0)*VLOOKUP('Données projet'!$B$11,Paramètres!$A$1:$I$89,5,0)</f>
        <v>264.13</v>
      </c>
      <c r="BF93" s="14">
        <f t="shared" si="91"/>
        <v>63.601917960783041</v>
      </c>
      <c r="BG93" s="22">
        <f t="shared" si="61"/>
        <v>570.7997571150305</v>
      </c>
      <c r="BH93" s="60">
        <f t="shared" si="62"/>
        <v>864.13309044836387</v>
      </c>
      <c r="BI93" s="60">
        <f ca="1">AVERAGE(OFFSET($BH$3,0,0,'Données projet'!$E$11+1,1))-AVERAGE(OFFSET($H$3,0,0,'Données projet'!$E$11+1,1))</f>
        <v>276.19649531804959</v>
      </c>
      <c r="BJ93" s="60">
        <f t="shared" si="92"/>
        <v>253.14970964973463</v>
      </c>
      <c r="BK93" s="16">
        <f>IF(ISNA(VLOOKUP(A93,'Données projet'!$A$87:$I$107,3,0)),0,VLOOKUP(A93,'Données projet'!$A$87:$I$107,3,0))</f>
        <v>8</v>
      </c>
      <c r="BL93" s="16">
        <f>IF(ISNA(VLOOKUP(A93,'Données projet'!$A$87:$I$107,4,0)),0,VLOOKUP(A93,'Données projet'!$A$87:$I$107,4,0))</f>
        <v>30.128205128205128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265</v>
      </c>
      <c r="BW93" s="13">
        <f>VLOOKUP(A93,'Données projet'!$A$113:$I$133,9,0)</f>
        <v>3.6</v>
      </c>
      <c r="BX93" s="13">
        <f t="array" ref="BX93">INDEX(BW:BW,MIN(IF(ISNUMBER(BW93:BW289),ROW(BW93:BW289),"")))</f>
        <v>3.6</v>
      </c>
      <c r="BY93" s="13">
        <f>IF('Données projet'!$A$114&gt;35,BY92+BX93-CG92,IF(A93&lt;'Données projet'!$A$114,$BV$205^A93,IF(A93='Données projet'!$A$114,'Données projet'!$B$114,BY92+BX93-CG92)))</f>
        <v>265.00000000000011</v>
      </c>
      <c r="BZ93" s="14">
        <f>BY93*VLOOKUP('Données projet'!$B$12,Paramètres!$A$1:$I$89,3,0)*VLOOKUP('Données projet'!$B$12,Paramètres!$A$1:$I$89,5,0)</f>
        <v>173.62800000000007</v>
      </c>
      <c r="CA93" s="14">
        <f t="shared" si="93"/>
        <v>43.901573588714463</v>
      </c>
      <c r="CB93" s="22">
        <f t="shared" si="64"/>
        <v>378.86400733367782</v>
      </c>
      <c r="CC93" s="60">
        <f t="shared" si="65"/>
        <v>672.19734066701108</v>
      </c>
      <c r="CD93" s="60">
        <f ca="1">AVERAGE(OFFSET($CC$3,0,0,'Données projet'!$E$12+1,1))-AVERAGE(OFFSET($H$3,0,0,'Données projet'!$E$12+1,1))</f>
        <v>154.88061446835457</v>
      </c>
      <c r="CE93" s="60">
        <f t="shared" si="94"/>
        <v>201.47826692201693</v>
      </c>
      <c r="CF93" s="16">
        <f>IF(ISNA(VLOOKUP(A93,'Données projet'!$A$113:$I$133,3,0)),0,VLOOKUP(A93,'Données projet'!$A$113:$I$133,3,0))</f>
        <v>8</v>
      </c>
      <c r="CG93" s="16">
        <f>IF(ISNA(VLOOKUP(A93,'Données projet'!$A$113:$I$133,4,0)),0,VLOOKUP(A93,'Données projet'!$A$113:$I$133,4,0))</f>
        <v>265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0.51723365932965359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0.51723365932965359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286</v>
      </c>
      <c r="CR93" s="13">
        <f>VLOOKUP(A93,'Données projet'!$A$139:$I$159,9,0)</f>
        <v>6.2</v>
      </c>
      <c r="CS93" s="13">
        <f t="array" ref="CS93">INDEX(CR:CR,MIN(IF(ISNUMBER(CR93:CR289),ROW(CR93:CR289),"")))</f>
        <v>6.2</v>
      </c>
      <c r="CT93" s="13">
        <f>IF('Données projet'!$A$140&gt;35,CT92+CS93-DB92,IF(A93&lt;'Données projet'!$A$140,$CQ$205^A93,IF(A93='Données projet'!$A$140,'Données projet'!$B$140,CT92+CS93-DB92)))</f>
        <v>286.00000000000011</v>
      </c>
      <c r="CU93" s="18">
        <f>CT93*VLOOKUP('Données projet'!$B$13,Paramètres!$A$1:$I$89,3,0)*VLOOKUP('Données projet'!$B$13,Paramètres!$A$1:$I$89,5,0)</f>
        <v>276.61920000000015</v>
      </c>
      <c r="CV93" s="14">
        <f t="shared" si="95"/>
        <v>66.252044316235569</v>
      </c>
      <c r="CW93" s="22">
        <f t="shared" si="67"/>
        <v>597.16741718411049</v>
      </c>
      <c r="CX93" s="60">
        <f t="shared" si="68"/>
        <v>890.50075051744375</v>
      </c>
      <c r="CY93" s="60">
        <f ca="1">AVERAGE(OFFSET($CX$3,0,0,'Données projet'!$E$13+1,1))-AVERAGE(OFFSET($H$3,0,0,'Données projet'!$E$13+1,1))</f>
        <v>293.44206058086951</v>
      </c>
      <c r="CZ93" s="60">
        <f t="shared" si="96"/>
        <v>182.15909509186827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286</v>
      </c>
      <c r="DM93" s="13">
        <f>VLOOKUP(A93,'Données projet'!$A$165:$I$185,9,0)</f>
        <v>6.2</v>
      </c>
      <c r="DN93" s="13">
        <f t="array" ref="DN93">INDEX(DM:DM,MIN(IF(ISNUMBER(DM93:DM289),ROW(DM93:DM289),"")))</f>
        <v>6.2</v>
      </c>
      <c r="DO93" s="13">
        <f>IF('Données projet'!$A$166&gt;35,DO92+DN93-DW92,IF(A93&lt;'Données projet'!$A$166,$DL$205^A93,IF(A93='Données projet'!$A$166,'Données projet'!$B$166,DO92+DN93-DW92)))</f>
        <v>286.00000000000011</v>
      </c>
      <c r="DP93" s="18">
        <f>DO93*VLOOKUP('Données projet'!$B$14,Paramètres!$A$1:$I$89,3,0)*VLOOKUP('Données projet'!$B$14,Paramètres!$A$1:$I$89,5,0)</f>
        <v>307.85040000000009</v>
      </c>
      <c r="DQ93" s="14">
        <f t="shared" si="97"/>
        <v>72.819726494623794</v>
      </c>
      <c r="DR93" s="22">
        <f t="shared" si="70"/>
        <v>663.00047031146994</v>
      </c>
      <c r="DS93" s="60">
        <f t="shared" si="71"/>
        <v>956.33380364480331</v>
      </c>
      <c r="DT93" s="60">
        <f ca="1">AVERAGE(OFFSET($DS$3,0,0,'Données projet'!$E$14+1,1))-AVERAGE(OFFSET($H$3,0,0,'Données projet'!$E$14+1,1))</f>
        <v>338.92444234934266</v>
      </c>
      <c r="DU93" s="60">
        <f t="shared" si="98"/>
        <v>208.91548891910895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403</v>
      </c>
      <c r="EH93" s="13">
        <f>VLOOKUP(A93,'Données projet'!$A$191:$I$211,9,0)</f>
        <v>8</v>
      </c>
      <c r="EI93" s="13">
        <f t="array" ref="EI93">INDEX(EH:EH,MIN(IF(ISNUMBER(EH93:EH289),ROW(EH93:EH289),"")))</f>
        <v>8</v>
      </c>
      <c r="EJ93" s="13">
        <f>IF('Données projet'!$A$192&gt;35,EJ92+EI93-ER92,IF(A93&lt;'Données projet'!$A$192,$EG$205^A93,IF(A93='Données projet'!$A$192,'Données projet'!$B$192,EJ92+EI93-ER92)))</f>
        <v>402.99999999999989</v>
      </c>
      <c r="EK93" s="18">
        <f>EJ93*VLOOKUP('Données projet'!$B$15,Paramètres!$A$1:$I$89,3,0)*VLOOKUP('Données projet'!$B$15,Paramètres!$A$1:$I$89,5,0)</f>
        <v>326.91359999999992</v>
      </c>
      <c r="EL93" s="14">
        <f t="shared" si="99"/>
        <v>76.790068178778256</v>
      </c>
      <c r="EM93" s="22">
        <f t="shared" si="73"/>
        <v>703.11722207803859</v>
      </c>
      <c r="EN93" s="60">
        <f t="shared" si="74"/>
        <v>996.45055541137185</v>
      </c>
      <c r="EO93" s="60">
        <f ca="1">AVERAGE(OFFSET($EN$3,0,0,'Données projet'!$E$15+1,1))-AVERAGE(OFFSET($H$3,0,0,'Données projet'!$E$15+1,1))</f>
        <v>346.10839312896536</v>
      </c>
      <c r="EP93" s="60">
        <f t="shared" si="100"/>
        <v>196.24927250256087</v>
      </c>
      <c r="EQ93" s="16">
        <f>IF(ISNA(VLOOKUP(A93,'Données projet'!$A$191:$I$211,3,0)),0,VLOOKUP(A93,'Données projet'!$A$191:$I$211,3,0))</f>
        <v>7</v>
      </c>
      <c r="ER93" s="16">
        <f>IF(ISNA(VLOOKUP(A93,'Données projet'!$A$191:$I$211,4,0)),0,VLOOKUP(A93,'Données projet'!$A$191:$I$211,4,0))</f>
        <v>53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5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8">
        <f t="shared" si="56"/>
        <v>473.21004596514888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6.3</v>
      </c>
      <c r="N94" s="14">
        <f>IF('Données projet'!$A$36&gt;35,N93+M94-V93,IF(A94&lt;'Données projet'!$A$36,$K$205^A94,IF(A94='Données projet'!$A$36,'Données projet'!$B$36,N93+M94-V93)))</f>
        <v>335.80000000000013</v>
      </c>
      <c r="O94" s="14">
        <f>N94*VLOOKUP('Données projet'!$B$9,Paramètres!$A$1:$I$89,3,0)*VLOOKUP('Données projet'!$B$9,Paramètres!$A$1:$I$89,5,0)</f>
        <v>303.83184000000011</v>
      </c>
      <c r="P94" s="14">
        <f t="shared" si="87"/>
        <v>71.979169986303972</v>
      </c>
      <c r="Q94" s="22">
        <f t="shared" si="54"/>
        <v>654.5375090594797</v>
      </c>
      <c r="R94" s="60">
        <f t="shared" si="55"/>
        <v>947.87084239281307</v>
      </c>
      <c r="S94" s="60">
        <f ca="1">AVERAGE(OFFSET($R$3,0,0,'Données projet'!$E$9+1,1))-AVERAGE(OFFSET($H$3,0,0,'Données projet'!$E$9+1,1))</f>
        <v>327.62615088747526</v>
      </c>
      <c r="T94" s="60">
        <f t="shared" si="88"/>
        <v>180.48047802041276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6.3</v>
      </c>
      <c r="AI94" s="14">
        <f>IF('Données projet'!$A$62&gt;35,AI93+AH94-AQ93,IF(A94&lt;'Données projet'!$A$62,$AF$205^A94,IF(A94='Données projet'!$A$62,'Données projet'!$B$62,AI93+AH94-AQ93)))</f>
        <v>335.80000000000013</v>
      </c>
      <c r="AJ94" s="14">
        <f>AI94*VLOOKUP('Données projet'!$B$10,Paramètres!$A$1:$I$89,3,0)*VLOOKUP('Données projet'!$B$10,Paramètres!$A$1:$I$89,5,0)</f>
        <v>282.87792000000013</v>
      </c>
      <c r="AK94" s="14">
        <f t="shared" si="89"/>
        <v>67.574833676246371</v>
      </c>
      <c r="AL94" s="22">
        <f t="shared" si="58"/>
        <v>610.37187931946266</v>
      </c>
      <c r="AM94" s="60">
        <f t="shared" si="59"/>
        <v>903.70521265279604</v>
      </c>
      <c r="AN94" s="60">
        <f ca="1">AVERAGE(OFFSET($AM$3,0,0,'Données projet'!$E$10+1,1))-AVERAGE(OFFSET($H$3,0,0,'Données projet'!$E$10+1,1))</f>
        <v>295.5242128298583</v>
      </c>
      <c r="AO94" s="60">
        <f t="shared" si="90"/>
        <v>164.21740841327744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3.8461538461538511</v>
      </c>
      <c r="BD94" s="13">
        <f>IF('Données projet'!$A$88&gt;35,BD93+BC94-BL93,IF(A94&lt;'Données projet'!$A$88,$BA$205^A94,IF(A94='Données projet'!$A$88,'Données projet'!$B$88,BD93+BC94-BL93)))</f>
        <v>251.28205128205133</v>
      </c>
      <c r="BE94" s="14">
        <f>BD94*VLOOKUP('Données projet'!$B$11,Paramètres!$A$1:$I$89,3,0)*VLOOKUP('Données projet'!$B$11,Paramètres!$A$1:$I$89,5,0)</f>
        <v>239.12000000000003</v>
      </c>
      <c r="BF94" s="14">
        <f t="shared" si="91"/>
        <v>58.25015373578745</v>
      </c>
      <c r="BG94" s="22">
        <f t="shared" si="61"/>
        <v>517.91968442316318</v>
      </c>
      <c r="BH94" s="60">
        <f t="shared" si="62"/>
        <v>811.25301775649655</v>
      </c>
      <c r="BI94" s="60">
        <f ca="1">AVERAGE(OFFSET($BH$3,0,0,'Données projet'!$E$11+1,1))-AVERAGE(OFFSET($H$3,0,0,'Données projet'!$E$11+1,1))</f>
        <v>276.19649531804959</v>
      </c>
      <c r="BJ94" s="60">
        <f t="shared" si="92"/>
        <v>253.14970964973463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1.1368683772161603E-13</v>
      </c>
      <c r="BZ94" s="14">
        <f>BY94*VLOOKUP('Données projet'!$B$12,Paramètres!$A$1:$I$89,3,0)*VLOOKUP('Données projet'!$B$12,Paramètres!$A$1:$I$89,5,0)</f>
        <v>7.4487616075202823E-14</v>
      </c>
      <c r="CA94" s="14">
        <f t="shared" si="93"/>
        <v>1.1580453144473142E-12</v>
      </c>
      <c r="CB94" s="22">
        <f t="shared" si="64"/>
        <v>2.1466615206600508E-12</v>
      </c>
      <c r="CC94" s="60">
        <f t="shared" si="65"/>
        <v>293.33333333333547</v>
      </c>
      <c r="CD94" s="60">
        <f ca="1">AVERAGE(OFFSET($CC$3,0,0,'Données projet'!$E$12+1,1))-AVERAGE(OFFSET($H$3,0,0,'Données projet'!$E$12+1,1))</f>
        <v>154.88061446835457</v>
      </c>
      <c r="CE94" s="60">
        <f t="shared" si="94"/>
        <v>201.47826692201693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0.50308987771514824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0.50308987771514824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6</v>
      </c>
      <c r="CT94" s="13">
        <f>IF('Données projet'!$A$140&gt;35,CT93+CS94-DB93,IF(A94&lt;'Données projet'!$A$140,$CQ$205^A94,IF(A94='Données projet'!$A$140,'Données projet'!$B$140,CT93+CS94-DB93)))</f>
        <v>292.00000000000011</v>
      </c>
      <c r="CU94" s="18">
        <f>CT94*VLOOKUP('Données projet'!$B$13,Paramètres!$A$1:$I$89,3,0)*VLOOKUP('Données projet'!$B$13,Paramètres!$A$1:$I$89,5,0)</f>
        <v>282.42240000000015</v>
      </c>
      <c r="CV94" s="14">
        <f t="shared" si="95"/>
        <v>67.478674703106179</v>
      </c>
      <c r="CW94" s="22">
        <f t="shared" si="67"/>
        <v>609.41103844124348</v>
      </c>
      <c r="CX94" s="60">
        <f t="shared" si="68"/>
        <v>902.74437177457685</v>
      </c>
      <c r="CY94" s="60">
        <f ca="1">AVERAGE(OFFSET($CX$3,0,0,'Données projet'!$E$13+1,1))-AVERAGE(OFFSET($H$3,0,0,'Données projet'!$E$13+1,1))</f>
        <v>293.44206058086951</v>
      </c>
      <c r="CZ94" s="60">
        <f t="shared" si="96"/>
        <v>182.15909509186827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6</v>
      </c>
      <c r="DO94" s="13">
        <f>IF('Données projet'!$A$166&gt;35,DO93+DN94-DW93,IF(A94&lt;'Données projet'!$A$166,$DL$205^A94,IF(A94='Données projet'!$A$166,'Données projet'!$B$166,DO93+DN94-DW93)))</f>
        <v>292.00000000000011</v>
      </c>
      <c r="DP94" s="18">
        <f>DO94*VLOOKUP('Données projet'!$B$14,Paramètres!$A$1:$I$89,3,0)*VLOOKUP('Données projet'!$B$14,Paramètres!$A$1:$I$89,5,0)</f>
        <v>314.30880000000013</v>
      </c>
      <c r="DQ94" s="14">
        <f t="shared" si="97"/>
        <v>74.167954918422438</v>
      </c>
      <c r="DR94" s="22">
        <f t="shared" si="70"/>
        <v>676.59701481625257</v>
      </c>
      <c r="DS94" s="60">
        <f t="shared" si="71"/>
        <v>969.93034814958583</v>
      </c>
      <c r="DT94" s="60">
        <f ca="1">AVERAGE(OFFSET($DS$3,0,0,'Données projet'!$E$14+1,1))-AVERAGE(OFFSET($H$3,0,0,'Données projet'!$E$14+1,1))</f>
        <v>338.92444234934266</v>
      </c>
      <c r="DU94" s="60">
        <f t="shared" si="98"/>
        <v>208.91548891910895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7.4</v>
      </c>
      <c r="EJ94" s="13">
        <f>IF('Données projet'!$A$192&gt;35,EJ93+EI94-ER93,IF(A94&lt;'Données projet'!$A$192,$EG$205^A94,IF(A94='Données projet'!$A$192,'Données projet'!$B$192,EJ93+EI94-ER93)))</f>
        <v>357.39999999999986</v>
      </c>
      <c r="EK94" s="18">
        <f>EJ94*VLOOKUP('Données projet'!$B$15,Paramètres!$A$1:$I$89,3,0)*VLOOKUP('Données projet'!$B$15,Paramètres!$A$1:$I$89,5,0)</f>
        <v>289.92287999999991</v>
      </c>
      <c r="EL94" s="14">
        <f t="shared" si="99"/>
        <v>69.059729538941269</v>
      </c>
      <c r="EM94" s="22">
        <f t="shared" si="73"/>
        <v>625.22804494698914</v>
      </c>
      <c r="EN94" s="60">
        <f t="shared" si="74"/>
        <v>918.56137828032251</v>
      </c>
      <c r="EO94" s="60">
        <f ca="1">AVERAGE(OFFSET($EN$3,0,0,'Données projet'!$E$15+1,1))-AVERAGE(OFFSET($H$3,0,0,'Données projet'!$E$15+1,1))</f>
        <v>346.10839312896536</v>
      </c>
      <c r="EP94" s="60">
        <f t="shared" si="100"/>
        <v>196.24927250256087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5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8">
        <f t="shared" si="56"/>
        <v>475.1366557208853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6.3</v>
      </c>
      <c r="N95" s="14">
        <f>IF('Données projet'!$A$36&gt;35,N94+M95-V94,IF(A95&lt;'Données projet'!$A$36,$K$205^A95,IF(A95='Données projet'!$A$36,'Données projet'!$B$36,N94+M95-V94)))</f>
        <v>342.10000000000014</v>
      </c>
      <c r="O95" s="14">
        <f>N95*VLOOKUP('Données projet'!$B$9,Paramètres!$A$1:$I$89,3,0)*VLOOKUP('Données projet'!$B$9,Paramètres!$A$1:$I$89,5,0)</f>
        <v>309.53208000000012</v>
      </c>
      <c r="P95" s="14">
        <f t="shared" si="87"/>
        <v>73.171101262671257</v>
      </c>
      <c r="Q95" s="22">
        <f t="shared" si="54"/>
        <v>666.54137403248592</v>
      </c>
      <c r="R95" s="60">
        <f t="shared" si="55"/>
        <v>959.87470736581918</v>
      </c>
      <c r="S95" s="60">
        <f ca="1">AVERAGE(OFFSET($R$3,0,0,'Données projet'!$E$9+1,1))-AVERAGE(OFFSET($H$3,0,0,'Données projet'!$E$9+1,1))</f>
        <v>327.62615088747526</v>
      </c>
      <c r="T95" s="60">
        <f t="shared" si="88"/>
        <v>180.48047802041276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6.3</v>
      </c>
      <c r="AI95" s="14">
        <f>IF('Données projet'!$A$62&gt;35,AI94+AH95-AQ94,IF(A95&lt;'Données projet'!$A$62,$AF$205^A95,IF(A95='Données projet'!$A$62,'Données projet'!$B$62,AI94+AH95-AQ94)))</f>
        <v>342.10000000000014</v>
      </c>
      <c r="AJ95" s="14">
        <f>AI95*VLOOKUP('Données projet'!$B$10,Paramètres!$A$1:$I$89,3,0)*VLOOKUP('Données projet'!$B$10,Paramètres!$A$1:$I$89,5,0)</f>
        <v>288.18504000000013</v>
      </c>
      <c r="AK95" s="14">
        <f t="shared" si="89"/>
        <v>68.693831822089962</v>
      </c>
      <c r="AL95" s="22">
        <f t="shared" si="58"/>
        <v>621.56403509014024</v>
      </c>
      <c r="AM95" s="60">
        <f t="shared" si="59"/>
        <v>914.89736842347361</v>
      </c>
      <c r="AN95" s="60">
        <f ca="1">AVERAGE(OFFSET($AM$3,0,0,'Données projet'!$E$10+1,1))-AVERAGE(OFFSET($H$3,0,0,'Données projet'!$E$10+1,1))</f>
        <v>295.5242128298583</v>
      </c>
      <c r="AO95" s="60">
        <f t="shared" si="90"/>
        <v>164.21740841327744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3.8461538461538511</v>
      </c>
      <c r="BD95" s="13">
        <f>IF('Données projet'!$A$88&gt;35,BD94+BC95-BL94,IF(A95&lt;'Données projet'!$A$88,$BA$205^A95,IF(A95='Données projet'!$A$88,'Données projet'!$B$88,BD94+BC95-BL94)))</f>
        <v>255.12820512820517</v>
      </c>
      <c r="BE95" s="14">
        <f>BD95*VLOOKUP('Données projet'!$B$11,Paramètres!$A$1:$I$89,3,0)*VLOOKUP('Données projet'!$B$11,Paramètres!$A$1:$I$89,5,0)</f>
        <v>242.78000000000003</v>
      </c>
      <c r="BF95" s="14">
        <f t="shared" si="91"/>
        <v>59.037259522542399</v>
      </c>
      <c r="BG95" s="22">
        <f t="shared" si="61"/>
        <v>525.66506033509472</v>
      </c>
      <c r="BH95" s="60">
        <f t="shared" si="62"/>
        <v>818.99839366842798</v>
      </c>
      <c r="BI95" s="60">
        <f ca="1">AVERAGE(OFFSET($BH$3,0,0,'Données projet'!$E$11+1,1))-AVERAGE(OFFSET($H$3,0,0,'Données projet'!$E$11+1,1))</f>
        <v>276.19649531804959</v>
      </c>
      <c r="BJ95" s="60">
        <f t="shared" si="92"/>
        <v>253.14970964973463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1.1368683772161603E-13</v>
      </c>
      <c r="BZ95" s="14">
        <f>BY95*VLOOKUP('Données projet'!$B$12,Paramètres!$A$1:$I$89,3,0)*VLOOKUP('Données projet'!$B$12,Paramètres!$A$1:$I$89,5,0)</f>
        <v>7.4487616075202823E-14</v>
      </c>
      <c r="CA95" s="14">
        <f t="shared" si="93"/>
        <v>1.1580453144473142E-12</v>
      </c>
      <c r="CB95" s="22">
        <f t="shared" si="64"/>
        <v>2.1466615206600508E-12</v>
      </c>
      <c r="CC95" s="60">
        <f t="shared" si="65"/>
        <v>293.33333333333547</v>
      </c>
      <c r="CD95" s="60">
        <f ca="1">AVERAGE(OFFSET($CC$3,0,0,'Données projet'!$E$12+1,1))-AVERAGE(OFFSET($H$3,0,0,'Données projet'!$E$12+1,1))</f>
        <v>154.88061446835457</v>
      </c>
      <c r="CE95" s="60">
        <f t="shared" si="94"/>
        <v>201.47826692201693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0.48933285855268066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0.48933285855268066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6</v>
      </c>
      <c r="CT95" s="13">
        <f>IF('Données projet'!$A$140&gt;35,CT94+CS95-DB94,IF(A95&lt;'Données projet'!$A$140,$CQ$205^A95,IF(A95='Données projet'!$A$140,'Données projet'!$B$140,CT94+CS95-DB94)))</f>
        <v>298.00000000000011</v>
      </c>
      <c r="CU95" s="18">
        <f>CT95*VLOOKUP('Données projet'!$B$13,Paramètres!$A$1:$I$89,3,0)*VLOOKUP('Données projet'!$B$13,Paramètres!$A$1:$I$89,5,0)</f>
        <v>288.22560000000016</v>
      </c>
      <c r="CV95" s="14">
        <f t="shared" si="95"/>
        <v>68.702374546701904</v>
      </c>
      <c r="CW95" s="22">
        <f t="shared" si="67"/>
        <v>621.64955566883941</v>
      </c>
      <c r="CX95" s="60">
        <f t="shared" si="68"/>
        <v>914.98288900217267</v>
      </c>
      <c r="CY95" s="60">
        <f ca="1">AVERAGE(OFFSET($CX$3,0,0,'Données projet'!$E$13+1,1))-AVERAGE(OFFSET($H$3,0,0,'Données projet'!$E$13+1,1))</f>
        <v>293.44206058086951</v>
      </c>
      <c r="CZ95" s="60">
        <f t="shared" si="96"/>
        <v>182.15909509186827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6</v>
      </c>
      <c r="DO95" s="13">
        <f>IF('Données projet'!$A$166&gt;35,DO94+DN95-DW94,IF(A95&lt;'Données projet'!$A$166,$DL$205^A95,IF(A95='Données projet'!$A$166,'Données projet'!$B$166,DO94+DN95-DW94)))</f>
        <v>298.00000000000011</v>
      </c>
      <c r="DP95" s="18">
        <f>DO95*VLOOKUP('Données projet'!$B$14,Paramètres!$A$1:$I$89,3,0)*VLOOKUP('Données projet'!$B$14,Paramètres!$A$1:$I$89,5,0)</f>
        <v>320.76720000000012</v>
      </c>
      <c r="DQ95" s="14">
        <f t="shared" si="97"/>
        <v>75.512962289014894</v>
      </c>
      <c r="DR95" s="22">
        <f t="shared" si="70"/>
        <v>690.18794932003448</v>
      </c>
      <c r="DS95" s="60">
        <f t="shared" si="71"/>
        <v>983.52128265336773</v>
      </c>
      <c r="DT95" s="60">
        <f ca="1">AVERAGE(OFFSET($DS$3,0,0,'Données projet'!$E$14+1,1))-AVERAGE(OFFSET($H$3,0,0,'Données projet'!$E$14+1,1))</f>
        <v>338.92444234934266</v>
      </c>
      <c r="DU95" s="60">
        <f t="shared" si="98"/>
        <v>208.91548891910895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7.4</v>
      </c>
      <c r="EJ95" s="13">
        <f>IF('Données projet'!$A$192&gt;35,EJ94+EI95-ER94,IF(A95&lt;'Données projet'!$A$192,$EG$205^A95,IF(A95='Données projet'!$A$192,'Données projet'!$B$192,EJ94+EI95-ER94)))</f>
        <v>364.79999999999984</v>
      </c>
      <c r="EK95" s="18">
        <f>EJ95*VLOOKUP('Données projet'!$B$15,Paramètres!$A$1:$I$89,3,0)*VLOOKUP('Données projet'!$B$15,Paramètres!$A$1:$I$89,5,0)</f>
        <v>295.92575999999985</v>
      </c>
      <c r="EL95" s="14">
        <f t="shared" si="99"/>
        <v>70.321667745410096</v>
      </c>
      <c r="EM95" s="22">
        <f t="shared" si="73"/>
        <v>637.88093665658891</v>
      </c>
      <c r="EN95" s="60">
        <f t="shared" si="74"/>
        <v>931.21426998992229</v>
      </c>
      <c r="EO95" s="60">
        <f ca="1">AVERAGE(OFFSET($EN$3,0,0,'Données projet'!$E$15+1,1))-AVERAGE(OFFSET($H$3,0,0,'Données projet'!$E$15+1,1))</f>
        <v>346.10839312896536</v>
      </c>
      <c r="EP95" s="60">
        <f t="shared" si="100"/>
        <v>196.24927250256087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5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8">
        <f t="shared" si="56"/>
        <v>477.06278761837774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6.3</v>
      </c>
      <c r="N96" s="14">
        <f>IF('Données projet'!$A$36&gt;35,N95+M96-V95,IF(A96&lt;'Données projet'!$A$36,$K$205^A96,IF(A96='Données projet'!$A$36,'Données projet'!$B$36,N95+M96-V95)))</f>
        <v>348.40000000000015</v>
      </c>
      <c r="O96" s="14">
        <f>N96*VLOOKUP('Données projet'!$B$9,Paramètres!$A$1:$I$89,3,0)*VLOOKUP('Données projet'!$B$9,Paramètres!$A$1:$I$89,5,0)</f>
        <v>315.23232000000013</v>
      </c>
      <c r="P96" s="14">
        <f t="shared" si="87"/>
        <v>74.360480118488482</v>
      </c>
      <c r="Q96" s="22">
        <f t="shared" si="54"/>
        <v>678.54079353970099</v>
      </c>
      <c r="R96" s="60">
        <f t="shared" si="55"/>
        <v>971.87412687303436</v>
      </c>
      <c r="S96" s="60">
        <f ca="1">AVERAGE(OFFSET($R$3,0,0,'Données projet'!$E$9+1,1))-AVERAGE(OFFSET($H$3,0,0,'Données projet'!$E$9+1,1))</f>
        <v>327.62615088747526</v>
      </c>
      <c r="T96" s="60">
        <f t="shared" si="88"/>
        <v>180.48047802041276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6.3</v>
      </c>
      <c r="AI96" s="14">
        <f>IF('Données projet'!$A$62&gt;35,AI95+AH96-AQ95,IF(A96&lt;'Données projet'!$A$62,$AF$205^A96,IF(A96='Données projet'!$A$62,'Données projet'!$B$62,AI95+AH96-AQ95)))</f>
        <v>348.40000000000015</v>
      </c>
      <c r="AJ96" s="14">
        <f>AI96*VLOOKUP('Données projet'!$B$10,Paramètres!$A$1:$I$89,3,0)*VLOOKUP('Données projet'!$B$10,Paramètres!$A$1:$I$89,5,0)</f>
        <v>293.49216000000013</v>
      </c>
      <c r="AK96" s="14">
        <f t="shared" si="89"/>
        <v>69.810433727546524</v>
      </c>
      <c r="AL96" s="22">
        <f t="shared" si="58"/>
        <v>632.75201740881039</v>
      </c>
      <c r="AM96" s="60">
        <f t="shared" si="59"/>
        <v>926.08535074214365</v>
      </c>
      <c r="AN96" s="60">
        <f ca="1">AVERAGE(OFFSET($AM$3,0,0,'Données projet'!$E$10+1,1))-AVERAGE(OFFSET($H$3,0,0,'Données projet'!$E$10+1,1))</f>
        <v>295.5242128298583</v>
      </c>
      <c r="AO96" s="60">
        <f t="shared" si="90"/>
        <v>164.21740841327744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3.8461538461538511</v>
      </c>
      <c r="BD96" s="13">
        <f>IF('Données projet'!$A$88&gt;35,BD95+BC96-BL95,IF(A96&lt;'Données projet'!$A$88,$BA$205^A96,IF(A96='Données projet'!$A$88,'Données projet'!$B$88,BD95+BC96-BL95)))</f>
        <v>258.97435897435901</v>
      </c>
      <c r="BE96" s="14">
        <f>BD96*VLOOKUP('Données projet'!$B$11,Paramètres!$A$1:$I$89,3,0)*VLOOKUP('Données projet'!$B$11,Paramètres!$A$1:$I$89,5,0)</f>
        <v>246.44000000000003</v>
      </c>
      <c r="BF96" s="14">
        <f t="shared" si="91"/>
        <v>59.822985272492645</v>
      </c>
      <c r="BG96" s="22">
        <f t="shared" si="61"/>
        <v>533.40803268292461</v>
      </c>
      <c r="BH96" s="60">
        <f t="shared" si="62"/>
        <v>826.74136601625787</v>
      </c>
      <c r="BI96" s="60">
        <f ca="1">AVERAGE(OFFSET($BH$3,0,0,'Données projet'!$E$11+1,1))-AVERAGE(OFFSET($H$3,0,0,'Données projet'!$E$11+1,1))</f>
        <v>276.19649531804959</v>
      </c>
      <c r="BJ96" s="60">
        <f t="shared" si="92"/>
        <v>253.14970964973463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1.1368683772161603E-13</v>
      </c>
      <c r="BZ96" s="14">
        <f>BY96*VLOOKUP('Données projet'!$B$12,Paramètres!$A$1:$I$89,3,0)*VLOOKUP('Données projet'!$B$12,Paramètres!$A$1:$I$89,5,0)</f>
        <v>7.4487616075202823E-14</v>
      </c>
      <c r="CA96" s="14">
        <f t="shared" si="93"/>
        <v>1.1580453144473142E-12</v>
      </c>
      <c r="CB96" s="22">
        <f t="shared" si="64"/>
        <v>2.1466615206600508E-12</v>
      </c>
      <c r="CC96" s="60">
        <f t="shared" si="65"/>
        <v>293.33333333333547</v>
      </c>
      <c r="CD96" s="60">
        <f ca="1">AVERAGE(OFFSET($CC$3,0,0,'Données projet'!$E$12+1,1))-AVERAGE(OFFSET($H$3,0,0,'Données projet'!$E$12+1,1))</f>
        <v>154.88061446835457</v>
      </c>
      <c r="CE96" s="60">
        <f t="shared" si="94"/>
        <v>201.47826692201693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0.47595202580266094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0.47595202580266094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6</v>
      </c>
      <c r="CT96" s="13">
        <f>IF('Données projet'!$A$140&gt;35,CT95+CS96-DB95,IF(A96&lt;'Données projet'!$A$140,$CQ$205^A96,IF(A96='Données projet'!$A$140,'Données projet'!$B$140,CT95+CS96-DB95)))</f>
        <v>304.00000000000011</v>
      </c>
      <c r="CU96" s="18">
        <f>CT96*VLOOKUP('Données projet'!$B$13,Paramètres!$A$1:$I$89,3,0)*VLOOKUP('Données projet'!$B$13,Paramètres!$A$1:$I$89,5,0)</f>
        <v>294.0288000000001</v>
      </c>
      <c r="CV96" s="14">
        <f t="shared" si="95"/>
        <v>69.923209651185729</v>
      </c>
      <c r="CW96" s="22">
        <f t="shared" si="67"/>
        <v>633.88308347581528</v>
      </c>
      <c r="CX96" s="60">
        <f t="shared" si="68"/>
        <v>927.21641680914854</v>
      </c>
      <c r="CY96" s="60">
        <f ca="1">AVERAGE(OFFSET($CX$3,0,0,'Données projet'!$E$13+1,1))-AVERAGE(OFFSET($H$3,0,0,'Données projet'!$E$13+1,1))</f>
        <v>293.44206058086951</v>
      </c>
      <c r="CZ96" s="60">
        <f t="shared" si="96"/>
        <v>182.15909509186827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6</v>
      </c>
      <c r="DO96" s="13">
        <f>IF('Données projet'!$A$166&gt;35,DO95+DN96-DW95,IF(A96&lt;'Données projet'!$A$166,$DL$205^A96,IF(A96='Données projet'!$A$166,'Données projet'!$B$166,DO95+DN96-DW95)))</f>
        <v>304.00000000000011</v>
      </c>
      <c r="DP96" s="18">
        <f>DO96*VLOOKUP('Données projet'!$B$14,Paramètres!$A$1:$I$89,3,0)*VLOOKUP('Données projet'!$B$14,Paramètres!$A$1:$I$89,5,0)</f>
        <v>327.22560000000016</v>
      </c>
      <c r="DQ96" s="14">
        <f t="shared" si="97"/>
        <v>76.854820933847108</v>
      </c>
      <c r="DR96" s="22">
        <f t="shared" si="70"/>
        <v>703.77339979311728</v>
      </c>
      <c r="DS96" s="60">
        <f t="shared" si="71"/>
        <v>997.10673312645054</v>
      </c>
      <c r="DT96" s="60">
        <f ca="1">AVERAGE(OFFSET($DS$3,0,0,'Données projet'!$E$14+1,1))-AVERAGE(OFFSET($H$3,0,0,'Données projet'!$E$14+1,1))</f>
        <v>338.92444234934266</v>
      </c>
      <c r="DU96" s="60">
        <f t="shared" si="98"/>
        <v>208.91548891910895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7.4</v>
      </c>
      <c r="EJ96" s="13">
        <f>IF('Données projet'!$A$192&gt;35,EJ95+EI96-ER95,IF(A96&lt;'Données projet'!$A$192,$EG$205^A96,IF(A96='Données projet'!$A$192,'Données projet'!$B$192,EJ95+EI96-ER95)))</f>
        <v>372.19999999999982</v>
      </c>
      <c r="EK96" s="18">
        <f>EJ96*VLOOKUP('Données projet'!$B$15,Paramètres!$A$1:$I$89,3,0)*VLOOKUP('Données projet'!$B$15,Paramètres!$A$1:$I$89,5,0)</f>
        <v>301.92863999999992</v>
      </c>
      <c r="EL96" s="14">
        <f t="shared" si="99"/>
        <v>71.580629582549037</v>
      </c>
      <c r="EM96" s="22">
        <f t="shared" si="73"/>
        <v>650.52864452293932</v>
      </c>
      <c r="EN96" s="60">
        <f t="shared" si="74"/>
        <v>943.86197785627269</v>
      </c>
      <c r="EO96" s="60">
        <f ca="1">AVERAGE(OFFSET($EN$3,0,0,'Données projet'!$E$15+1,1))-AVERAGE(OFFSET($H$3,0,0,'Données projet'!$E$15+1,1))</f>
        <v>346.10839312896536</v>
      </c>
      <c r="EP96" s="60">
        <f t="shared" si="100"/>
        <v>196.24927250256087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5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8">
        <f t="shared" si="56"/>
        <v>478.98844739061411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6.3</v>
      </c>
      <c r="N97" s="14">
        <f>IF('Données projet'!$A$36&gt;35,N96+M97-V96,IF(A97&lt;'Données projet'!$A$36,$K$205^A97,IF(A97='Données projet'!$A$36,'Données projet'!$B$36,N96+M97-V96)))</f>
        <v>354.70000000000016</v>
      </c>
      <c r="O97" s="14">
        <f>N97*VLOOKUP('Données projet'!$B$9,Paramètres!$A$1:$I$89,3,0)*VLOOKUP('Données projet'!$B$9,Paramètres!$A$1:$I$89,5,0)</f>
        <v>320.93256000000014</v>
      </c>
      <c r="P97" s="14">
        <f t="shared" si="87"/>
        <v>75.54735803217622</v>
      </c>
      <c r="Q97" s="22">
        <f t="shared" si="54"/>
        <v>690.53585723937374</v>
      </c>
      <c r="R97" s="60">
        <f t="shared" si="55"/>
        <v>983.86919057270711</v>
      </c>
      <c r="S97" s="60">
        <f ca="1">AVERAGE(OFFSET($R$3,0,0,'Données projet'!$E$9+1,1))-AVERAGE(OFFSET($H$3,0,0,'Données projet'!$E$9+1,1))</f>
        <v>327.62615088747526</v>
      </c>
      <c r="T97" s="60">
        <f t="shared" si="88"/>
        <v>180.48047802041276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6.3</v>
      </c>
      <c r="AI97" s="14">
        <f>IF('Données projet'!$A$62&gt;35,AI96+AH97-AQ96,IF(A97&lt;'Données projet'!$A$62,$AF$205^A97,IF(A97='Données projet'!$A$62,'Données projet'!$B$62,AI96+AH97-AQ96)))</f>
        <v>354.70000000000016</v>
      </c>
      <c r="AJ97" s="14">
        <f>AI97*VLOOKUP('Données projet'!$B$10,Paramètres!$A$1:$I$89,3,0)*VLOOKUP('Données projet'!$B$10,Paramètres!$A$1:$I$89,5,0)</f>
        <v>298.79928000000018</v>
      </c>
      <c r="AK97" s="14">
        <f t="shared" si="89"/>
        <v>70.924687721121671</v>
      </c>
      <c r="AL97" s="22">
        <f t="shared" si="58"/>
        <v>643.93591044762059</v>
      </c>
      <c r="AM97" s="60">
        <f t="shared" si="59"/>
        <v>937.26924378095396</v>
      </c>
      <c r="AN97" s="60">
        <f ca="1">AVERAGE(OFFSET($AM$3,0,0,'Données projet'!$E$10+1,1))-AVERAGE(OFFSET($H$3,0,0,'Données projet'!$E$10+1,1))</f>
        <v>295.5242128298583</v>
      </c>
      <c r="AO97" s="60">
        <f t="shared" si="90"/>
        <v>164.21740841327744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3.8461538461538511</v>
      </c>
      <c r="BD97" s="13">
        <f>IF('Données projet'!$A$88&gt;35,BD96+BC97-BL96,IF(A97&lt;'Données projet'!$A$88,$BA$205^A97,IF(A97='Données projet'!$A$88,'Données projet'!$B$88,BD96+BC97-BL96)))</f>
        <v>262.82051282051287</v>
      </c>
      <c r="BE97" s="14">
        <f>BD97*VLOOKUP('Données projet'!$B$11,Paramètres!$A$1:$I$89,3,0)*VLOOKUP('Données projet'!$B$11,Paramètres!$A$1:$I$89,5,0)</f>
        <v>250.10000000000005</v>
      </c>
      <c r="BF97" s="14">
        <f t="shared" si="91"/>
        <v>60.60735384884763</v>
      </c>
      <c r="BG97" s="22">
        <f t="shared" si="61"/>
        <v>541.1486412867431</v>
      </c>
      <c r="BH97" s="60">
        <f t="shared" si="62"/>
        <v>834.48197462007647</v>
      </c>
      <c r="BI97" s="60">
        <f ca="1">AVERAGE(OFFSET($BH$3,0,0,'Données projet'!$E$11+1,1))-AVERAGE(OFFSET($H$3,0,0,'Données projet'!$E$11+1,1))</f>
        <v>276.19649531804959</v>
      </c>
      <c r="BJ97" s="60">
        <f t="shared" si="92"/>
        <v>253.14970964973463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1.1368683772161603E-13</v>
      </c>
      <c r="BZ97" s="14">
        <f>BY97*VLOOKUP('Données projet'!$B$12,Paramètres!$A$1:$I$89,3,0)*VLOOKUP('Données projet'!$B$12,Paramètres!$A$1:$I$89,5,0)</f>
        <v>7.4487616075202823E-14</v>
      </c>
      <c r="CA97" s="14">
        <f t="shared" si="93"/>
        <v>1.1580453144473142E-12</v>
      </c>
      <c r="CB97" s="22">
        <f t="shared" si="64"/>
        <v>2.1466615206600508E-12</v>
      </c>
      <c r="CC97" s="60">
        <f t="shared" si="65"/>
        <v>293.33333333333547</v>
      </c>
      <c r="CD97" s="60">
        <f ca="1">AVERAGE(OFFSET($CC$3,0,0,'Données projet'!$E$12+1,1))-AVERAGE(OFFSET($H$3,0,0,'Données projet'!$E$12+1,1))</f>
        <v>154.88061446835457</v>
      </c>
      <c r="CE97" s="60">
        <f t="shared" si="94"/>
        <v>201.47826692201693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0.46293709262785793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0.46293709262785793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6</v>
      </c>
      <c r="CT97" s="13">
        <f>IF('Données projet'!$A$140&gt;35,CT96+CS97-DB96,IF(A97&lt;'Données projet'!$A$140,$CQ$205^A97,IF(A97='Données projet'!$A$140,'Données projet'!$B$140,CT96+CS97-DB96)))</f>
        <v>310.00000000000011</v>
      </c>
      <c r="CU97" s="18">
        <f>CT97*VLOOKUP('Données projet'!$B$13,Paramètres!$A$1:$I$89,3,0)*VLOOKUP('Données projet'!$B$13,Paramètres!$A$1:$I$89,5,0)</f>
        <v>299.83200000000011</v>
      </c>
      <c r="CV97" s="14">
        <f t="shared" si="95"/>
        <v>71.141243074631944</v>
      </c>
      <c r="CW97" s="22">
        <f t="shared" si="67"/>
        <v>646.11173168831738</v>
      </c>
      <c r="CX97" s="60">
        <f t="shared" si="68"/>
        <v>939.44506502165063</v>
      </c>
      <c r="CY97" s="60">
        <f ca="1">AVERAGE(OFFSET($CX$3,0,0,'Données projet'!$E$13+1,1))-AVERAGE(OFFSET($H$3,0,0,'Données projet'!$E$13+1,1))</f>
        <v>293.44206058086951</v>
      </c>
      <c r="CZ97" s="60">
        <f t="shared" si="96"/>
        <v>182.15909509186827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6</v>
      </c>
      <c r="DO97" s="13">
        <f>IF('Données projet'!$A$166&gt;35,DO96+DN97-DW96,IF(A97&lt;'Données projet'!$A$166,$DL$205^A97,IF(A97='Données projet'!$A$166,'Données projet'!$B$166,DO96+DN97-DW96)))</f>
        <v>310.00000000000011</v>
      </c>
      <c r="DP97" s="18">
        <f>DO97*VLOOKUP('Données projet'!$B$14,Paramètres!$A$1:$I$89,3,0)*VLOOKUP('Données projet'!$B$14,Paramètres!$A$1:$I$89,5,0)</f>
        <v>333.68400000000008</v>
      </c>
      <c r="DQ97" s="14">
        <f t="shared" si="97"/>
        <v>78.193600162051666</v>
      </c>
      <c r="DR97" s="22">
        <f t="shared" si="70"/>
        <v>717.35348694890672</v>
      </c>
      <c r="DS97" s="60">
        <f t="shared" si="71"/>
        <v>1010.68682028224</v>
      </c>
      <c r="DT97" s="60">
        <f ca="1">AVERAGE(OFFSET($DS$3,0,0,'Données projet'!$E$14+1,1))-AVERAGE(OFFSET($H$3,0,0,'Données projet'!$E$14+1,1))</f>
        <v>338.92444234934266</v>
      </c>
      <c r="DU97" s="60">
        <f t="shared" si="98"/>
        <v>208.91548891910895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7.4</v>
      </c>
      <c r="EJ97" s="13">
        <f>IF('Données projet'!$A$192&gt;35,EJ96+EI97-ER96,IF(A97&lt;'Données projet'!$A$192,$EG$205^A97,IF(A97='Données projet'!$A$192,'Données projet'!$B$192,EJ96+EI97-ER96)))</f>
        <v>379.5999999999998</v>
      </c>
      <c r="EK97" s="18">
        <f>EJ97*VLOOKUP('Données projet'!$B$15,Paramètres!$A$1:$I$89,3,0)*VLOOKUP('Données projet'!$B$15,Paramètres!$A$1:$I$89,5,0)</f>
        <v>307.93151999999986</v>
      </c>
      <c r="EL97" s="14">
        <f t="shared" si="99"/>
        <v>72.836681046312052</v>
      </c>
      <c r="EM97" s="22">
        <f t="shared" si="73"/>
        <v>663.17128348899325</v>
      </c>
      <c r="EN97" s="60">
        <f t="shared" si="74"/>
        <v>956.50461682232662</v>
      </c>
      <c r="EO97" s="60">
        <f ca="1">AVERAGE(OFFSET($EN$3,0,0,'Données projet'!$E$15+1,1))-AVERAGE(OFFSET($H$3,0,0,'Données projet'!$E$15+1,1))</f>
        <v>346.10839312896536</v>
      </c>
      <c r="EP97" s="60">
        <f t="shared" si="100"/>
        <v>196.24927250256087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5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8">
        <f t="shared" si="56"/>
        <v>480.91364064157727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361</v>
      </c>
      <c r="L98" s="13">
        <f>VLOOKUP(A98,'Données projet'!$A$35:$I$55,9,0)</f>
        <v>6.3</v>
      </c>
      <c r="M98" s="13">
        <f t="array" ref="M98">INDEX(L:L,MIN(IF(ISNUMBER(L98:L294),ROW(L98:L294),"")))</f>
        <v>6.3</v>
      </c>
      <c r="N98" s="14">
        <f>IF('Données projet'!$A$36&gt;35,N97+M98-V97,IF(A98&lt;'Données projet'!$A$36,$K$205^A98,IF(A98='Données projet'!$A$36,'Données projet'!$B$36,N97+M98-V97)))</f>
        <v>361.00000000000017</v>
      </c>
      <c r="O98" s="14">
        <f>N98*VLOOKUP('Données projet'!$B$9,Paramètres!$A$1:$I$89,3,0)*VLOOKUP('Données projet'!$B$9,Paramètres!$A$1:$I$89,5,0)</f>
        <v>326.63280000000015</v>
      </c>
      <c r="P98" s="14">
        <f t="shared" si="87"/>
        <v>76.731784548754845</v>
      </c>
      <c r="Q98" s="22">
        <f t="shared" si="54"/>
        <v>702.52665142241483</v>
      </c>
      <c r="R98" s="60">
        <f t="shared" si="55"/>
        <v>995.8599847557482</v>
      </c>
      <c r="S98" s="60">
        <f ca="1">AVERAGE(OFFSET($R$3,0,0,'Données projet'!$E$9+1,1))-AVERAGE(OFFSET($H$3,0,0,'Données projet'!$E$9+1,1))</f>
        <v>327.62615088747526</v>
      </c>
      <c r="T98" s="60">
        <f t="shared" si="88"/>
        <v>180.48047802041276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56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361</v>
      </c>
      <c r="AG98" s="13">
        <f>VLOOKUP(A98,'Données projet'!$A$61:$I$81,9,0)</f>
        <v>6.3</v>
      </c>
      <c r="AH98" s="13">
        <f t="array" ref="AH98">INDEX(AG:AG,MIN(IF(ISNUMBER(AG98:AG294),ROW(AG98:AG294),"")))</f>
        <v>6.3</v>
      </c>
      <c r="AI98" s="14">
        <f>IF('Données projet'!$A$62&gt;35,AI97+AH98-AQ97,IF(A98&lt;'Données projet'!$A$62,$AF$205^A98,IF(A98='Données projet'!$A$62,'Données projet'!$B$62,AI97+AH98-AQ97)))</f>
        <v>361.00000000000017</v>
      </c>
      <c r="AJ98" s="14">
        <f>AI98*VLOOKUP('Données projet'!$B$10,Paramètres!$A$1:$I$89,3,0)*VLOOKUP('Données projet'!$B$10,Paramètres!$A$1:$I$89,5,0)</f>
        <v>304.10640000000018</v>
      </c>
      <c r="AK98" s="14">
        <f t="shared" si="89"/>
        <v>72.036640316223369</v>
      </c>
      <c r="AL98" s="22">
        <f t="shared" si="58"/>
        <v>655.11579521742271</v>
      </c>
      <c r="AM98" s="60">
        <f t="shared" si="59"/>
        <v>948.44912855075609</v>
      </c>
      <c r="AN98" s="60">
        <f ca="1">AVERAGE(OFFSET($AM$3,0,0,'Données projet'!$E$10+1,1))-AVERAGE(OFFSET($H$3,0,0,'Données projet'!$E$10+1,1))</f>
        <v>295.5242128298583</v>
      </c>
      <c r="AO98" s="60">
        <f t="shared" si="90"/>
        <v>164.21740841327744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56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3.8461538461538511</v>
      </c>
      <c r="BD98" s="13">
        <f>IF('Données projet'!$A$88&gt;35,BD97+BC98-BL97,IF(A98&lt;'Données projet'!$A$88,$BA$205^A98,IF(A98='Données projet'!$A$88,'Données projet'!$B$88,BD97+BC98-BL97)))</f>
        <v>266.66666666666674</v>
      </c>
      <c r="BE98" s="14">
        <f>BD98*VLOOKUP('Données projet'!$B$11,Paramètres!$A$1:$I$89,3,0)*VLOOKUP('Données projet'!$B$11,Paramètres!$A$1:$I$89,5,0)</f>
        <v>253.76000000000008</v>
      </c>
      <c r="BF98" s="14">
        <f t="shared" si="91"/>
        <v>61.390387407231827</v>
      </c>
      <c r="BG98" s="22">
        <f t="shared" si="61"/>
        <v>548.88692473426227</v>
      </c>
      <c r="BH98" s="60">
        <f t="shared" si="62"/>
        <v>842.22025806759552</v>
      </c>
      <c r="BI98" s="60">
        <f ca="1">AVERAGE(OFFSET($BH$3,0,0,'Données projet'!$E$11+1,1))-AVERAGE(OFFSET($H$3,0,0,'Données projet'!$E$11+1,1))</f>
        <v>276.19649531804959</v>
      </c>
      <c r="BJ98" s="60">
        <f t="shared" si="92"/>
        <v>253.14970964973463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1.1368683772161603E-13</v>
      </c>
      <c r="BZ98" s="14">
        <f>BY98*VLOOKUP('Données projet'!$B$12,Paramètres!$A$1:$I$89,3,0)*VLOOKUP('Données projet'!$B$12,Paramètres!$A$1:$I$89,5,0)</f>
        <v>7.4487616075202823E-14</v>
      </c>
      <c r="CA98" s="14">
        <f t="shared" si="93"/>
        <v>1.1580453144473142E-12</v>
      </c>
      <c r="CB98" s="22">
        <f t="shared" si="64"/>
        <v>2.1466615206600508E-12</v>
      </c>
      <c r="CC98" s="60">
        <f t="shared" si="65"/>
        <v>293.33333333333547</v>
      </c>
      <c r="CD98" s="60">
        <f ca="1">AVERAGE(OFFSET($CC$3,0,0,'Données projet'!$E$12+1,1))-AVERAGE(OFFSET($H$3,0,0,'Données projet'!$E$12+1,1))</f>
        <v>154.88061446835457</v>
      </c>
      <c r="CE98" s="60">
        <f t="shared" si="94"/>
        <v>201.47826692201693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0.45027805348514549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0.45027805348514549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316</v>
      </c>
      <c r="CR98" s="13">
        <f>VLOOKUP(A98,'Données projet'!$A$139:$I$159,9,0)</f>
        <v>6</v>
      </c>
      <c r="CS98" s="13">
        <f t="array" ref="CS98">INDEX(CR:CR,MIN(IF(ISNUMBER(CR98:CR294),ROW(CR98:CR294),"")))</f>
        <v>6</v>
      </c>
      <c r="CT98" s="13">
        <f>IF('Données projet'!$A$140&gt;35,CT97+CS98-DB97,IF(A98&lt;'Données projet'!$A$140,$CQ$205^A98,IF(A98='Données projet'!$A$140,'Données projet'!$B$140,CT97+CS98-DB97)))</f>
        <v>316.00000000000011</v>
      </c>
      <c r="CU98" s="18">
        <f>CT98*VLOOKUP('Données projet'!$B$13,Paramètres!$A$1:$I$89,3,0)*VLOOKUP('Données projet'!$B$13,Paramètres!$A$1:$I$89,5,0)</f>
        <v>305.63520000000011</v>
      </c>
      <c r="CV98" s="14">
        <f t="shared" si="95"/>
        <v>72.356535294517883</v>
      </c>
      <c r="CW98" s="22">
        <f t="shared" si="67"/>
        <v>658.33560563795209</v>
      </c>
      <c r="CX98" s="60">
        <f t="shared" si="68"/>
        <v>951.66893897128534</v>
      </c>
      <c r="CY98" s="60">
        <f ca="1">AVERAGE(OFFSET($CX$3,0,0,'Données projet'!$E$13+1,1))-AVERAGE(OFFSET($H$3,0,0,'Données projet'!$E$13+1,1))</f>
        <v>293.44206058086951</v>
      </c>
      <c r="CZ98" s="60">
        <f t="shared" si="96"/>
        <v>182.15909509186827</v>
      </c>
      <c r="DA98" s="16">
        <f>IF(ISNA(VLOOKUP(A98,'Données projet'!$A$139:$I$159,3,0)),0,VLOOKUP(A98,'Données projet'!$A$139:$I$159,3,0))</f>
        <v>8</v>
      </c>
      <c r="DB98" s="16">
        <f>IF(ISNA(VLOOKUP(A98,'Données projet'!$A$139:$I$159,4,0)),0,VLOOKUP(A98,'Données projet'!$A$139:$I$159,4,0))</f>
        <v>45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316</v>
      </c>
      <c r="DM98" s="13">
        <f>VLOOKUP(A98,'Données projet'!$A$165:$I$185,9,0)</f>
        <v>6</v>
      </c>
      <c r="DN98" s="13">
        <f t="array" ref="DN98">INDEX(DM:DM,MIN(IF(ISNUMBER(DM98:DM294),ROW(DM98:DM294),"")))</f>
        <v>6</v>
      </c>
      <c r="DO98" s="13">
        <f>IF('Données projet'!$A$166&gt;35,DO97+DN98-DW97,IF(A98&lt;'Données projet'!$A$166,$DL$205^A98,IF(A98='Données projet'!$A$166,'Données projet'!$B$166,DO97+DN98-DW97)))</f>
        <v>316.00000000000011</v>
      </c>
      <c r="DP98" s="18">
        <f>DO98*VLOOKUP('Données projet'!$B$14,Paramètres!$A$1:$I$89,3,0)*VLOOKUP('Données projet'!$B$14,Paramètres!$A$1:$I$89,5,0)</f>
        <v>340.14240000000007</v>
      </c>
      <c r="DQ98" s="14">
        <f t="shared" si="97"/>
        <v>79.529366446345051</v>
      </c>
      <c r="DR98" s="22">
        <f t="shared" si="70"/>
        <v>730.92832656071778</v>
      </c>
      <c r="DS98" s="60">
        <f t="shared" si="71"/>
        <v>1024.261659894051</v>
      </c>
      <c r="DT98" s="60">
        <f ca="1">AVERAGE(OFFSET($DS$3,0,0,'Données projet'!$E$14+1,1))-AVERAGE(OFFSET($H$3,0,0,'Données projet'!$E$14+1,1))</f>
        <v>338.92444234934266</v>
      </c>
      <c r="DU98" s="60">
        <f t="shared" si="98"/>
        <v>208.91548891910895</v>
      </c>
      <c r="DV98" s="16">
        <f>IF(ISNA(VLOOKUP(A98,'Données projet'!$A$165:$I$185,3,0)),0,VLOOKUP(A98,'Données projet'!$A$165:$I$185,3,0))</f>
        <v>8</v>
      </c>
      <c r="DW98" s="16">
        <f>IF(ISNA(VLOOKUP(A98,'Données projet'!$A$165:$I$185,4,0)),0,VLOOKUP(A98,'Données projet'!$A$165:$I$185,4,0))</f>
        <v>45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7.4</v>
      </c>
      <c r="EJ98" s="13">
        <f>IF('Données projet'!$A$192&gt;35,EJ97+EI98-ER97,IF(A98&lt;'Données projet'!$A$192,$EG$205^A98,IF(A98='Données projet'!$A$192,'Données projet'!$B$192,EJ97+EI98-ER97)))</f>
        <v>386.99999999999977</v>
      </c>
      <c r="EK98" s="18">
        <f>EJ98*VLOOKUP('Données projet'!$B$15,Paramètres!$A$1:$I$89,3,0)*VLOOKUP('Données projet'!$B$15,Paramètres!$A$1:$I$89,5,0)</f>
        <v>313.93439999999987</v>
      </c>
      <c r="EL98" s="14">
        <f t="shared" si="99"/>
        <v>74.089885412393457</v>
      </c>
      <c r="EM98" s="22">
        <f t="shared" si="73"/>
        <v>675.80896375991836</v>
      </c>
      <c r="EN98" s="60">
        <f t="shared" si="74"/>
        <v>969.14229709325173</v>
      </c>
      <c r="EO98" s="60">
        <f ca="1">AVERAGE(OFFSET($EN$3,0,0,'Données projet'!$E$15+1,1))-AVERAGE(OFFSET($H$3,0,0,'Données projet'!$E$15+1,1))</f>
        <v>346.10839312896536</v>
      </c>
      <c r="EP98" s="60">
        <f t="shared" si="100"/>
        <v>196.24927250256087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5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8">
        <f t="shared" si="56"/>
        <v>482.83837285047491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5.5</v>
      </c>
      <c r="N99" s="14">
        <f>IF('Données projet'!$A$36&gt;35,N98+M99-V98,IF(A99&lt;'Données projet'!$A$36,$K$205^A99,IF(A99='Données projet'!$A$36,'Données projet'!$B$36,N98+M99-V98)))</f>
        <v>310.50000000000017</v>
      </c>
      <c r="O99" s="14">
        <f>N99*VLOOKUP('Données projet'!$B$9,Paramètres!$A$1:$I$89,3,0)*VLOOKUP('Données projet'!$B$9,Paramètres!$A$1:$I$89,5,0)</f>
        <v>280.94040000000012</v>
      </c>
      <c r="P99" s="14">
        <f t="shared" si="87"/>
        <v>67.165703636653262</v>
      </c>
      <c r="Q99" s="22">
        <f t="shared" ref="Q99:Q130" si="107">(O99+P99)*0.475*44/12</f>
        <v>606.2847971671714</v>
      </c>
      <c r="R99" s="60">
        <f t="shared" si="55"/>
        <v>899.61813050050478</v>
      </c>
      <c r="S99" s="60">
        <f ca="1">AVERAGE(OFFSET($R$3,0,0,'Données projet'!$E$9+1,1))-AVERAGE(OFFSET($H$3,0,0,'Données projet'!$E$9+1,1))</f>
        <v>327.62615088747526</v>
      </c>
      <c r="T99" s="60">
        <f t="shared" si="88"/>
        <v>180.48047802041276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5.5</v>
      </c>
      <c r="AI99" s="14">
        <f>IF('Données projet'!$A$62&gt;35,AI98+AH99-AQ98,IF(A99&lt;'Données projet'!$A$62,$AF$205^A99,IF(A99='Données projet'!$A$62,'Données projet'!$B$62,AI98+AH99-AQ98)))</f>
        <v>310.50000000000017</v>
      </c>
      <c r="AJ99" s="14">
        <f>AI99*VLOOKUP('Données projet'!$B$10,Paramètres!$A$1:$I$89,3,0)*VLOOKUP('Données projet'!$B$10,Paramètres!$A$1:$I$89,5,0)</f>
        <v>261.56520000000017</v>
      </c>
      <c r="AK99" s="14">
        <f t="shared" si="89"/>
        <v>63.055898711509393</v>
      </c>
      <c r="AL99" s="22">
        <f t="shared" si="58"/>
        <v>565.38174692254574</v>
      </c>
      <c r="AM99" s="60">
        <f t="shared" si="59"/>
        <v>858.715080255879</v>
      </c>
      <c r="AN99" s="60">
        <f ca="1">AVERAGE(OFFSET($AM$3,0,0,'Données projet'!$E$10+1,1))-AVERAGE(OFFSET($H$3,0,0,'Données projet'!$E$10+1,1))</f>
        <v>295.5242128298583</v>
      </c>
      <c r="AO99" s="60">
        <f t="shared" si="90"/>
        <v>164.21740841327744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3.8461538461538511</v>
      </c>
      <c r="BD99" s="13">
        <f>IF('Données projet'!$A$88&gt;35,BD98+BC99-BL98,IF(A99&lt;'Données projet'!$A$88,$BA$205^A99,IF(A99='Données projet'!$A$88,'Données projet'!$B$88,BD98+BC99-BL98)))</f>
        <v>270.51282051282061</v>
      </c>
      <c r="BE99" s="14">
        <f>BD99*VLOOKUP('Données projet'!$B$11,Paramètres!$A$1:$I$89,3,0)*VLOOKUP('Données projet'!$B$11,Paramètres!$A$1:$I$89,5,0)</f>
        <v>257.42000000000013</v>
      </c>
      <c r="BF99" s="14">
        <f t="shared" si="91"/>
        <v>62.172107427466493</v>
      </c>
      <c r="BG99" s="22">
        <f t="shared" si="61"/>
        <v>556.62292043617106</v>
      </c>
      <c r="BH99" s="60">
        <f t="shared" si="62"/>
        <v>849.95625376950443</v>
      </c>
      <c r="BI99" s="60">
        <f ca="1">AVERAGE(OFFSET($BH$3,0,0,'Données projet'!$E$11+1,1))-AVERAGE(OFFSET($H$3,0,0,'Données projet'!$E$11+1,1))</f>
        <v>276.19649531804959</v>
      </c>
      <c r="BJ99" s="60">
        <f t="shared" si="92"/>
        <v>253.14970964973463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1.1368683772161603E-13</v>
      </c>
      <c r="BZ99" s="14">
        <f>BY99*VLOOKUP('Données projet'!$B$12,Paramètres!$A$1:$I$89,3,0)*VLOOKUP('Données projet'!$B$12,Paramètres!$A$1:$I$89,5,0)</f>
        <v>7.4487616075202823E-14</v>
      </c>
      <c r="CA99" s="14">
        <f t="shared" si="93"/>
        <v>1.1580453144473142E-12</v>
      </c>
      <c r="CB99" s="22">
        <f t="shared" si="64"/>
        <v>2.1466615206600508E-12</v>
      </c>
      <c r="CC99" s="60">
        <f t="shared" si="65"/>
        <v>293.33333333333547</v>
      </c>
      <c r="CD99" s="60">
        <f ca="1">AVERAGE(OFFSET($CC$3,0,0,'Données projet'!$E$12+1,1))-AVERAGE(OFFSET($H$3,0,0,'Données projet'!$E$12+1,1))</f>
        <v>154.88061446835457</v>
      </c>
      <c r="CE99" s="60">
        <f t="shared" si="94"/>
        <v>201.47826692201693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0.43796517643350047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0.43796517643350047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5.5</v>
      </c>
      <c r="CT99" s="13">
        <f>IF('Données projet'!$A$140&gt;35,CT98+CS99-DB98,IF(A99&lt;'Données projet'!$A$140,$CQ$205^A99,IF(A99='Données projet'!$A$140,'Données projet'!$B$140,CT98+CS99-DB98)))</f>
        <v>276.50000000000011</v>
      </c>
      <c r="CU99" s="18">
        <f>CT99*VLOOKUP('Données projet'!$B$13,Paramètres!$A$1:$I$89,3,0)*VLOOKUP('Données projet'!$B$13,Paramètres!$A$1:$I$89,5,0)</f>
        <v>267.43080000000009</v>
      </c>
      <c r="CV99" s="14">
        <f t="shared" si="95"/>
        <v>64.303717169052959</v>
      </c>
      <c r="CW99" s="22">
        <f t="shared" si="67"/>
        <v>577.77095073610064</v>
      </c>
      <c r="CX99" s="60">
        <f t="shared" si="68"/>
        <v>871.10428406943402</v>
      </c>
      <c r="CY99" s="60">
        <f ca="1">AVERAGE(OFFSET($CX$3,0,0,'Données projet'!$E$13+1,1))-AVERAGE(OFFSET($H$3,0,0,'Données projet'!$E$13+1,1))</f>
        <v>293.44206058086951</v>
      </c>
      <c r="CZ99" s="60">
        <f t="shared" si="96"/>
        <v>182.15909509186827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5.5</v>
      </c>
      <c r="DO99" s="13">
        <f>IF('Données projet'!$A$166&gt;35,DO98+DN99-DW98,IF(A99&lt;'Données projet'!$A$166,$DL$205^A99,IF(A99='Données projet'!$A$166,'Données projet'!$B$166,DO98+DN99-DW98)))</f>
        <v>276.50000000000011</v>
      </c>
      <c r="DP99" s="18">
        <f>DO99*VLOOKUP('Données projet'!$B$14,Paramètres!$A$1:$I$89,3,0)*VLOOKUP('Données projet'!$B$14,Paramètres!$A$1:$I$89,5,0)</f>
        <v>297.6246000000001</v>
      </c>
      <c r="DQ99" s="14">
        <f t="shared" si="97"/>
        <v>70.678258235883277</v>
      </c>
      <c r="DR99" s="22">
        <f t="shared" si="70"/>
        <v>641.46081142749688</v>
      </c>
      <c r="DS99" s="60">
        <f t="shared" si="71"/>
        <v>934.79414476083025</v>
      </c>
      <c r="DT99" s="60">
        <f ca="1">AVERAGE(OFFSET($DS$3,0,0,'Données projet'!$E$14+1,1))-AVERAGE(OFFSET($H$3,0,0,'Données projet'!$E$14+1,1))</f>
        <v>338.92444234934266</v>
      </c>
      <c r="DU99" s="60">
        <f t="shared" si="98"/>
        <v>208.91548891910895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7.4</v>
      </c>
      <c r="EJ99" s="13">
        <f>IF('Données projet'!$A$192&gt;35,EJ98+EI99-ER98,IF(A99&lt;'Données projet'!$A$192,$EG$205^A99,IF(A99='Données projet'!$A$192,'Données projet'!$B$192,EJ98+EI99-ER98)))</f>
        <v>394.39999999999975</v>
      </c>
      <c r="EK99" s="18">
        <f>EJ99*VLOOKUP('Données projet'!$B$15,Paramètres!$A$1:$I$89,3,0)*VLOOKUP('Données projet'!$B$15,Paramètres!$A$1:$I$89,5,0)</f>
        <v>319.93727999999982</v>
      </c>
      <c r="EL99" s="14">
        <f t="shared" si="99"/>
        <v>75.340303398186876</v>
      </c>
      <c r="EM99" s="22">
        <f t="shared" si="73"/>
        <v>688.44179108517528</v>
      </c>
      <c r="EN99" s="60">
        <f t="shared" si="74"/>
        <v>981.77512441850854</v>
      </c>
      <c r="EO99" s="60">
        <f ca="1">AVERAGE(OFFSET($EN$3,0,0,'Données projet'!$E$15+1,1))-AVERAGE(OFFSET($H$3,0,0,'Données projet'!$E$15+1,1))</f>
        <v>346.10839312896536</v>
      </c>
      <c r="EP99" s="60">
        <f t="shared" si="100"/>
        <v>196.24927250256087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5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8">
        <f t="shared" si="56"/>
        <v>484.76264937578765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5.5</v>
      </c>
      <c r="N100" s="14">
        <f>IF('Données projet'!$A$36&gt;35,N99+M100-V99,IF(A100&lt;'Données projet'!$A$36,$K$205^A100,IF(A100='Données projet'!$A$36,'Données projet'!$B$36,N99+M100-V99)))</f>
        <v>316.00000000000017</v>
      </c>
      <c r="O100" s="14">
        <f>N100*VLOOKUP('Données projet'!$B$9,Paramètres!$A$1:$I$89,3,0)*VLOOKUP('Données projet'!$B$9,Paramètres!$A$1:$I$89,5,0)</f>
        <v>285.91680000000014</v>
      </c>
      <c r="P100" s="14">
        <f t="shared" si="87"/>
        <v>68.215872977287603</v>
      </c>
      <c r="Q100" s="22">
        <f t="shared" si="107"/>
        <v>616.78107210210942</v>
      </c>
      <c r="R100" s="60">
        <f t="shared" si="55"/>
        <v>910.11440543544268</v>
      </c>
      <c r="S100" s="60">
        <f ca="1">AVERAGE(OFFSET($R$3,0,0,'Données projet'!$E$9+1,1))-AVERAGE(OFFSET($H$3,0,0,'Données projet'!$E$9+1,1))</f>
        <v>327.62615088747526</v>
      </c>
      <c r="T100" s="60">
        <f t="shared" si="88"/>
        <v>180.48047802041276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5.5</v>
      </c>
      <c r="AI100" s="14">
        <f>IF('Données projet'!$A$62&gt;35,AI99+AH100-AQ99,IF(A100&lt;'Données projet'!$A$62,$AF$205^A100,IF(A100='Données projet'!$A$62,'Données projet'!$B$62,AI99+AH100-AQ99)))</f>
        <v>316.00000000000017</v>
      </c>
      <c r="AJ100" s="14">
        <f>AI100*VLOOKUP('Données projet'!$B$10,Paramètres!$A$1:$I$89,3,0)*VLOOKUP('Données projet'!$B$10,Paramètres!$A$1:$I$89,5,0)</f>
        <v>266.19840000000016</v>
      </c>
      <c r="AK100" s="14">
        <f t="shared" si="89"/>
        <v>64.041809198373272</v>
      </c>
      <c r="AL100" s="22">
        <f t="shared" si="58"/>
        <v>575.16836435383368</v>
      </c>
      <c r="AM100" s="60">
        <f t="shared" si="59"/>
        <v>868.50169768716705</v>
      </c>
      <c r="AN100" s="60">
        <f ca="1">AVERAGE(OFFSET($AM$3,0,0,'Données projet'!$E$10+1,1))-AVERAGE(OFFSET($H$3,0,0,'Données projet'!$E$10+1,1))</f>
        <v>295.5242128298583</v>
      </c>
      <c r="AO100" s="60">
        <f t="shared" si="90"/>
        <v>164.21740841327744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3.8461538461538511</v>
      </c>
      <c r="BD100" s="13">
        <f>IF('Données projet'!$A$88&gt;35,BD99+BC100-BL99,IF(A100&lt;'Données projet'!$A$88,$BA$205^A100,IF(A100='Données projet'!$A$88,'Données projet'!$B$88,BD99+BC100-BL99)))</f>
        <v>274.35897435897448</v>
      </c>
      <c r="BE100" s="14">
        <f>BD100*VLOOKUP('Données projet'!$B$11,Paramètres!$A$1:$I$89,3,0)*VLOOKUP('Données projet'!$B$11,Paramètres!$A$1:$I$89,5,0)</f>
        <v>261.0800000000001</v>
      </c>
      <c r="BF100" s="14">
        <f t="shared" si="91"/>
        <v>62.95253474349343</v>
      </c>
      <c r="BG100" s="22">
        <f t="shared" si="61"/>
        <v>564.35666467825115</v>
      </c>
      <c r="BH100" s="60">
        <f t="shared" si="62"/>
        <v>857.68999801158452</v>
      </c>
      <c r="BI100" s="60">
        <f ca="1">AVERAGE(OFFSET($BH$3,0,0,'Données projet'!$E$11+1,1))-AVERAGE(OFFSET($H$3,0,0,'Données projet'!$E$11+1,1))</f>
        <v>276.19649531804959</v>
      </c>
      <c r="BJ100" s="60">
        <f t="shared" si="92"/>
        <v>253.14970964973463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1.1368683772161603E-13</v>
      </c>
      <c r="BZ100" s="14">
        <f>BY100*VLOOKUP('Données projet'!$B$12,Paramètres!$A$1:$I$89,3,0)*VLOOKUP('Données projet'!$B$12,Paramètres!$A$1:$I$89,5,0)</f>
        <v>7.4487616075202823E-14</v>
      </c>
      <c r="CA100" s="14">
        <f t="shared" si="93"/>
        <v>1.1580453144473142E-12</v>
      </c>
      <c r="CB100" s="22">
        <f t="shared" si="64"/>
        <v>2.1466615206600508E-12</v>
      </c>
      <c r="CC100" s="60">
        <f t="shared" si="65"/>
        <v>293.33333333333547</v>
      </c>
      <c r="CD100" s="60">
        <f ca="1">AVERAGE(OFFSET($CC$3,0,0,'Données projet'!$E$12+1,1))-AVERAGE(OFFSET($H$3,0,0,'Données projet'!$E$12+1,1))</f>
        <v>154.88061446835457</v>
      </c>
      <c r="CE100" s="60">
        <f t="shared" si="94"/>
        <v>201.47826692201693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0.42598899565233878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0.42598899565233878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5.5</v>
      </c>
      <c r="CT100" s="13">
        <f>IF('Données projet'!$A$140&gt;35,CT99+CS100-DB99,IF(A100&lt;'Données projet'!$A$140,$CQ$205^A100,IF(A100='Données projet'!$A$140,'Données projet'!$B$140,CT99+CS100-DB99)))</f>
        <v>282.00000000000011</v>
      </c>
      <c r="CU100" s="18">
        <f>CT100*VLOOKUP('Données projet'!$B$13,Paramètres!$A$1:$I$89,3,0)*VLOOKUP('Données projet'!$B$13,Paramètres!$A$1:$I$89,5,0)</f>
        <v>272.75040000000013</v>
      </c>
      <c r="CV100" s="14">
        <f t="shared" si="95"/>
        <v>65.43262883082069</v>
      </c>
      <c r="CW100" s="22">
        <f t="shared" si="67"/>
        <v>589.00210854701288</v>
      </c>
      <c r="CX100" s="60">
        <f t="shared" si="68"/>
        <v>882.33544188034625</v>
      </c>
      <c r="CY100" s="60">
        <f ca="1">AVERAGE(OFFSET($CX$3,0,0,'Données projet'!$E$13+1,1))-AVERAGE(OFFSET($H$3,0,0,'Données projet'!$E$13+1,1))</f>
        <v>293.44206058086951</v>
      </c>
      <c r="CZ100" s="60">
        <f t="shared" si="96"/>
        <v>182.15909509186827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5.5</v>
      </c>
      <c r="DO100" s="13">
        <f>IF('Données projet'!$A$166&gt;35,DO99+DN100-DW99,IF(A100&lt;'Données projet'!$A$166,$DL$205^A100,IF(A100='Données projet'!$A$166,'Données projet'!$B$166,DO99+DN100-DW99)))</f>
        <v>282.00000000000011</v>
      </c>
      <c r="DP100" s="18">
        <f>DO100*VLOOKUP('Données projet'!$B$14,Paramètres!$A$1:$I$89,3,0)*VLOOKUP('Données projet'!$B$14,Paramètres!$A$1:$I$89,5,0)</f>
        <v>303.54480000000012</v>
      </c>
      <c r="DQ100" s="14">
        <f t="shared" si="97"/>
        <v>71.919080904752576</v>
      </c>
      <c r="DR100" s="22">
        <f t="shared" si="70"/>
        <v>653.93292590911108</v>
      </c>
      <c r="DS100" s="60">
        <f t="shared" si="71"/>
        <v>947.26625924244445</v>
      </c>
      <c r="DT100" s="60">
        <f ca="1">AVERAGE(OFFSET($DS$3,0,0,'Données projet'!$E$14+1,1))-AVERAGE(OFFSET($H$3,0,0,'Données projet'!$E$14+1,1))</f>
        <v>338.92444234934266</v>
      </c>
      <c r="DU100" s="60">
        <f t="shared" si="98"/>
        <v>208.91548891910895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7.4</v>
      </c>
      <c r="EJ100" s="13">
        <f>IF('Données projet'!$A$192&gt;35,EJ99+EI100-ER99,IF(A100&lt;'Données projet'!$A$192,$EG$205^A100,IF(A100='Données projet'!$A$192,'Données projet'!$B$192,EJ99+EI100-ER99)))</f>
        <v>401.79999999999973</v>
      </c>
      <c r="EK100" s="18">
        <f>EJ100*VLOOKUP('Données projet'!$B$15,Paramètres!$A$1:$I$89,3,0)*VLOOKUP('Données projet'!$B$15,Paramètres!$A$1:$I$89,5,0)</f>
        <v>325.94015999999982</v>
      </c>
      <c r="EL100" s="14">
        <f t="shared" si="99"/>
        <v>76.587993312246596</v>
      </c>
      <c r="EM100" s="22">
        <f t="shared" si="73"/>
        <v>701.06986701882909</v>
      </c>
      <c r="EN100" s="60">
        <f t="shared" si="74"/>
        <v>994.40320035216246</v>
      </c>
      <c r="EO100" s="60">
        <f ca="1">AVERAGE(OFFSET($EN$3,0,0,'Données projet'!$E$15+1,1))-AVERAGE(OFFSET($H$3,0,0,'Données projet'!$E$15+1,1))</f>
        <v>346.10839312896536</v>
      </c>
      <c r="EP100" s="60">
        <f t="shared" si="100"/>
        <v>196.24927250256087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5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8">
        <f t="shared" si="56"/>
        <v>486.68647545914564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5.5</v>
      </c>
      <c r="N101" s="14">
        <f>IF('Données projet'!$A$36&gt;35,N100+M101-V100,IF(A101&lt;'Données projet'!$A$36,$K$205^A101,IF(A101='Données projet'!$A$36,'Données projet'!$B$36,N100+M101-V100)))</f>
        <v>321.50000000000017</v>
      </c>
      <c r="O101" s="14">
        <f>N101*VLOOKUP('Données projet'!$B$9,Paramètres!$A$1:$I$89,3,0)*VLOOKUP('Données projet'!$B$9,Paramètres!$A$1:$I$89,5,0)</f>
        <v>290.89320000000015</v>
      </c>
      <c r="P101" s="14">
        <f t="shared" si="87"/>
        <v>69.263916768293996</v>
      </c>
      <c r="Q101" s="22">
        <f t="shared" si="107"/>
        <v>627.27364503811225</v>
      </c>
      <c r="R101" s="60">
        <f t="shared" si="55"/>
        <v>920.60697837144562</v>
      </c>
      <c r="S101" s="60">
        <f ca="1">AVERAGE(OFFSET($R$3,0,0,'Données projet'!$E$9+1,1))-AVERAGE(OFFSET($H$3,0,0,'Données projet'!$E$9+1,1))</f>
        <v>327.62615088747526</v>
      </c>
      <c r="T101" s="60">
        <f t="shared" si="88"/>
        <v>180.48047802041276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5.5</v>
      </c>
      <c r="AI101" s="14">
        <f>IF('Données projet'!$A$62&gt;35,AI100+AH101-AQ100,IF(A101&lt;'Données projet'!$A$62,$AF$205^A101,IF(A101='Données projet'!$A$62,'Données projet'!$B$62,AI100+AH101-AQ100)))</f>
        <v>321.50000000000017</v>
      </c>
      <c r="AJ101" s="14">
        <f>AI101*VLOOKUP('Données projet'!$B$10,Paramètres!$A$1:$I$89,3,0)*VLOOKUP('Données projet'!$B$10,Paramètres!$A$1:$I$89,5,0)</f>
        <v>270.83160000000015</v>
      </c>
      <c r="AK101" s="14">
        <f t="shared" si="89"/>
        <v>65.025724195950474</v>
      </c>
      <c r="AL101" s="22">
        <f t="shared" si="58"/>
        <v>584.9515063079474</v>
      </c>
      <c r="AM101" s="60">
        <f t="shared" si="59"/>
        <v>878.28483964128077</v>
      </c>
      <c r="AN101" s="60">
        <f ca="1">AVERAGE(OFFSET($AM$3,0,0,'Données projet'!$E$10+1,1))-AVERAGE(OFFSET($H$3,0,0,'Données projet'!$E$10+1,1))</f>
        <v>295.5242128298583</v>
      </c>
      <c r="AO101" s="60">
        <f t="shared" si="90"/>
        <v>164.21740841327744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3.8461538461538511</v>
      </c>
      <c r="BD101" s="13">
        <f>IF('Données projet'!$A$88&gt;35,BD100+BC101-BL100,IF(A101&lt;'Données projet'!$A$88,$BA$205^A101,IF(A101='Données projet'!$A$88,'Données projet'!$B$88,BD100+BC101-BL100)))</f>
        <v>278.20512820512835</v>
      </c>
      <c r="BE101" s="14">
        <f>BD101*VLOOKUP('Données projet'!$B$11,Paramètres!$A$1:$I$89,3,0)*VLOOKUP('Données projet'!$B$11,Paramètres!$A$1:$I$89,5,0)</f>
        <v>264.74000000000012</v>
      </c>
      <c r="BF101" s="14">
        <f t="shared" si="91"/>
        <v>63.731689571572772</v>
      </c>
      <c r="BG101" s="22">
        <f t="shared" si="61"/>
        <v>572.08819267048932</v>
      </c>
      <c r="BH101" s="60">
        <f t="shared" si="62"/>
        <v>865.42152600382269</v>
      </c>
      <c r="BI101" s="60">
        <f ca="1">AVERAGE(OFFSET($BH$3,0,0,'Données projet'!$E$11+1,1))-AVERAGE(OFFSET($H$3,0,0,'Données projet'!$E$11+1,1))</f>
        <v>276.19649531804959</v>
      </c>
      <c r="BJ101" s="60">
        <f t="shared" si="92"/>
        <v>253.14970964973463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1.1368683772161603E-13</v>
      </c>
      <c r="BZ101" s="14">
        <f>BY101*VLOOKUP('Données projet'!$B$12,Paramètres!$A$1:$I$89,3,0)*VLOOKUP('Données projet'!$B$12,Paramètres!$A$1:$I$89,5,0)</f>
        <v>7.4487616075202823E-14</v>
      </c>
      <c r="CA101" s="14">
        <f t="shared" si="93"/>
        <v>1.1580453144473142E-12</v>
      </c>
      <c r="CB101" s="22">
        <f t="shared" si="64"/>
        <v>2.1466615206600508E-12</v>
      </c>
      <c r="CC101" s="60">
        <f t="shared" si="65"/>
        <v>293.33333333333547</v>
      </c>
      <c r="CD101" s="60">
        <f ca="1">AVERAGE(OFFSET($CC$3,0,0,'Données projet'!$E$12+1,1))-AVERAGE(OFFSET($H$3,0,0,'Données projet'!$E$12+1,1))</f>
        <v>154.88061446835457</v>
      </c>
      <c r="CE101" s="60">
        <f t="shared" si="94"/>
        <v>201.47826692201693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0.4143403041644379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0.4143403041644379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5.5</v>
      </c>
      <c r="CT101" s="13">
        <f>IF('Données projet'!$A$140&gt;35,CT100+CS101-DB100,IF(A101&lt;'Données projet'!$A$140,$CQ$205^A101,IF(A101='Données projet'!$A$140,'Données projet'!$B$140,CT100+CS101-DB100)))</f>
        <v>287.50000000000011</v>
      </c>
      <c r="CU101" s="18">
        <f>CT101*VLOOKUP('Données projet'!$B$13,Paramètres!$A$1:$I$89,3,0)*VLOOKUP('Données projet'!$B$13,Paramètres!$A$1:$I$89,5,0)</f>
        <v>278.07000000000011</v>
      </c>
      <c r="CV101" s="14">
        <f t="shared" si="95"/>
        <v>66.558980358276997</v>
      </c>
      <c r="CW101" s="22">
        <f t="shared" si="67"/>
        <v>600.22880745733255</v>
      </c>
      <c r="CX101" s="60">
        <f t="shared" si="68"/>
        <v>893.56214079066581</v>
      </c>
      <c r="CY101" s="60">
        <f ca="1">AVERAGE(OFFSET($CX$3,0,0,'Données projet'!$E$13+1,1))-AVERAGE(OFFSET($H$3,0,0,'Données projet'!$E$13+1,1))</f>
        <v>293.44206058086951</v>
      </c>
      <c r="CZ101" s="60">
        <f t="shared" si="96"/>
        <v>182.15909509186827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5.5</v>
      </c>
      <c r="DO101" s="13">
        <f>IF('Données projet'!$A$166&gt;35,DO100+DN101-DW100,IF(A101&lt;'Données projet'!$A$166,$DL$205^A101,IF(A101='Données projet'!$A$166,'Données projet'!$B$166,DO100+DN101-DW100)))</f>
        <v>287.50000000000011</v>
      </c>
      <c r="DP101" s="18">
        <f>DO101*VLOOKUP('Données projet'!$B$14,Paramètres!$A$1:$I$89,3,0)*VLOOKUP('Données projet'!$B$14,Paramètres!$A$1:$I$89,5,0)</f>
        <v>309.46500000000009</v>
      </c>
      <c r="DQ101" s="14">
        <f t="shared" si="97"/>
        <v>73.157089648674003</v>
      </c>
      <c r="DR101" s="22">
        <f t="shared" si="70"/>
        <v>666.40013947144064</v>
      </c>
      <c r="DS101" s="60">
        <f t="shared" si="71"/>
        <v>959.73347280477401</v>
      </c>
      <c r="DT101" s="60">
        <f ca="1">AVERAGE(OFFSET($DS$3,0,0,'Données projet'!$E$14+1,1))-AVERAGE(OFFSET($H$3,0,0,'Données projet'!$E$14+1,1))</f>
        <v>338.92444234934266</v>
      </c>
      <c r="DU101" s="60">
        <f t="shared" si="98"/>
        <v>208.91548891910895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7.4</v>
      </c>
      <c r="EJ101" s="13">
        <f>IF('Données projet'!$A$192&gt;35,EJ100+EI101-ER100,IF(A101&lt;'Données projet'!$A$192,$EG$205^A101,IF(A101='Données projet'!$A$192,'Données projet'!$B$192,EJ100+EI101-ER100)))</f>
        <v>409.1999999999997</v>
      </c>
      <c r="EK101" s="18">
        <f>EJ101*VLOOKUP('Données projet'!$B$15,Paramètres!$A$1:$I$89,3,0)*VLOOKUP('Données projet'!$B$15,Paramètres!$A$1:$I$89,5,0)</f>
        <v>331.94303999999977</v>
      </c>
      <c r="EL101" s="14">
        <f t="shared" si="99"/>
        <v>77.833011192426099</v>
      </c>
      <c r="EM101" s="22">
        <f t="shared" si="73"/>
        <v>713.69328916014172</v>
      </c>
      <c r="EN101" s="60">
        <f t="shared" si="74"/>
        <v>1007.0266224934751</v>
      </c>
      <c r="EO101" s="60">
        <f ca="1">AVERAGE(OFFSET($EN$3,0,0,'Données projet'!$E$15+1,1))-AVERAGE(OFFSET($H$3,0,0,'Données projet'!$E$15+1,1))</f>
        <v>346.10839312896536</v>
      </c>
      <c r="EP101" s="60">
        <f t="shared" si="100"/>
        <v>196.24927250256087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5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8">
        <f t="shared" si="56"/>
        <v>488.6098562290428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5.5</v>
      </c>
      <c r="N102" s="14">
        <f>IF('Données projet'!$A$36&gt;35,N101+M102-V101,IF(A102&lt;'Données projet'!$A$36,$K$205^A102,IF(A102='Données projet'!$A$36,'Données projet'!$B$36,N101+M102-V101)))</f>
        <v>327.00000000000017</v>
      </c>
      <c r="O102" s="14">
        <f>N102*VLOOKUP('Données projet'!$B$9,Paramètres!$A$1:$I$89,3,0)*VLOOKUP('Données projet'!$B$9,Paramètres!$A$1:$I$89,5,0)</f>
        <v>295.86960000000016</v>
      </c>
      <c r="P102" s="14">
        <f t="shared" si="87"/>
        <v>70.309875568291275</v>
      </c>
      <c r="Q102" s="22">
        <f t="shared" si="107"/>
        <v>637.76258661477414</v>
      </c>
      <c r="R102" s="60">
        <f t="shared" si="55"/>
        <v>931.09591994810739</v>
      </c>
      <c r="S102" s="60">
        <f ca="1">AVERAGE(OFFSET($R$3,0,0,'Données projet'!$E$9+1,1))-AVERAGE(OFFSET($H$3,0,0,'Données projet'!$E$9+1,1))</f>
        <v>327.62615088747526</v>
      </c>
      <c r="T102" s="60">
        <f t="shared" si="88"/>
        <v>180.48047802041276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5.5</v>
      </c>
      <c r="AI102" s="14">
        <f>IF('Données projet'!$A$62&gt;35,AI101+AH102-AQ101,IF(A102&lt;'Données projet'!$A$62,$AF$205^A102,IF(A102='Données projet'!$A$62,'Données projet'!$B$62,AI101+AH102-AQ101)))</f>
        <v>327.00000000000017</v>
      </c>
      <c r="AJ102" s="14">
        <f>AI102*VLOOKUP('Données projet'!$B$10,Paramètres!$A$1:$I$89,3,0)*VLOOKUP('Données projet'!$B$10,Paramètres!$A$1:$I$89,5,0)</f>
        <v>275.46480000000014</v>
      </c>
      <c r="AK102" s="14">
        <f t="shared" si="89"/>
        <v>66.007681781116673</v>
      </c>
      <c r="AL102" s="22">
        <f t="shared" si="58"/>
        <v>594.73123910211177</v>
      </c>
      <c r="AM102" s="60">
        <f t="shared" si="59"/>
        <v>888.06457243544514</v>
      </c>
      <c r="AN102" s="60">
        <f ca="1">AVERAGE(OFFSET($AM$3,0,0,'Données projet'!$E$10+1,1))-AVERAGE(OFFSET($H$3,0,0,'Données projet'!$E$10+1,1))</f>
        <v>295.5242128298583</v>
      </c>
      <c r="AO102" s="60">
        <f t="shared" si="90"/>
        <v>164.21740841327744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3.8461538461538511</v>
      </c>
      <c r="BD102" s="13">
        <f>IF('Données projet'!$A$88&gt;35,BD101+BC102-BL101,IF(A102&lt;'Données projet'!$A$88,$BA$205^A102,IF(A102='Données projet'!$A$88,'Données projet'!$B$88,BD101+BC102-BL101)))</f>
        <v>282.05128205128221</v>
      </c>
      <c r="BE102" s="14">
        <f>BD102*VLOOKUP('Données projet'!$B$11,Paramètres!$A$1:$I$89,3,0)*VLOOKUP('Données projet'!$B$11,Paramètres!$A$1:$I$89,5,0)</f>
        <v>268.40000000000015</v>
      </c>
      <c r="BF102" s="14">
        <f t="shared" si="91"/>
        <v>64.509591536876769</v>
      </c>
      <c r="BG102" s="22">
        <f t="shared" si="61"/>
        <v>579.81753859339392</v>
      </c>
      <c r="BH102" s="60">
        <f t="shared" si="62"/>
        <v>873.15087192672718</v>
      </c>
      <c r="BI102" s="60">
        <f ca="1">AVERAGE(OFFSET($BH$3,0,0,'Données projet'!$E$11+1,1))-AVERAGE(OFFSET($H$3,0,0,'Données projet'!$E$11+1,1))</f>
        <v>276.19649531804959</v>
      </c>
      <c r="BJ102" s="60">
        <f t="shared" si="92"/>
        <v>253.14970964973463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1.1368683772161603E-13</v>
      </c>
      <c r="BZ102" s="14">
        <f>BY102*VLOOKUP('Données projet'!$B$12,Paramètres!$A$1:$I$89,3,0)*VLOOKUP('Données projet'!$B$12,Paramètres!$A$1:$I$89,5,0)</f>
        <v>7.4487616075202823E-14</v>
      </c>
      <c r="CA102" s="14">
        <f t="shared" si="93"/>
        <v>1.1580453144473142E-12</v>
      </c>
      <c r="CB102" s="22">
        <f t="shared" si="64"/>
        <v>2.1466615206600508E-12</v>
      </c>
      <c r="CC102" s="60">
        <f t="shared" si="65"/>
        <v>293.33333333333547</v>
      </c>
      <c r="CD102" s="60">
        <f ca="1">AVERAGE(OFFSET($CC$3,0,0,'Données projet'!$E$12+1,1))-AVERAGE(OFFSET($H$3,0,0,'Données projet'!$E$12+1,1))</f>
        <v>154.88061446835457</v>
      </c>
      <c r="CE102" s="60">
        <f t="shared" si="94"/>
        <v>201.47826692201693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0.40301014675785174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0.40301014675785174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5.5</v>
      </c>
      <c r="CT102" s="13">
        <f>IF('Données projet'!$A$140&gt;35,CT101+CS102-DB101,IF(A102&lt;'Données projet'!$A$140,$CQ$205^A102,IF(A102='Données projet'!$A$140,'Données projet'!$B$140,CT101+CS102-DB101)))</f>
        <v>293.00000000000011</v>
      </c>
      <c r="CU102" s="18">
        <f>CT102*VLOOKUP('Données projet'!$B$13,Paramètres!$A$1:$I$89,3,0)*VLOOKUP('Données projet'!$B$13,Paramètres!$A$1:$I$89,5,0)</f>
        <v>283.38960000000014</v>
      </c>
      <c r="CV102" s="14">
        <f t="shared" si="95"/>
        <v>67.682826374656429</v>
      </c>
      <c r="CW102" s="22">
        <f t="shared" si="67"/>
        <v>611.45114260252683</v>
      </c>
      <c r="CX102" s="60">
        <f t="shared" si="68"/>
        <v>904.7844759358602</v>
      </c>
      <c r="CY102" s="60">
        <f ca="1">AVERAGE(OFFSET($CX$3,0,0,'Données projet'!$E$13+1,1))-AVERAGE(OFFSET($H$3,0,0,'Données projet'!$E$13+1,1))</f>
        <v>293.44206058086951</v>
      </c>
      <c r="CZ102" s="60">
        <f t="shared" si="96"/>
        <v>182.15909509186827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5.5</v>
      </c>
      <c r="DO102" s="13">
        <f>IF('Données projet'!$A$166&gt;35,DO101+DN102-DW101,IF(A102&lt;'Données projet'!$A$166,$DL$205^A102,IF(A102='Données projet'!$A$166,'Données projet'!$B$166,DO101+DN102-DW101)))</f>
        <v>293.00000000000011</v>
      </c>
      <c r="DP102" s="18">
        <f>DO102*VLOOKUP('Données projet'!$B$14,Paramètres!$A$1:$I$89,3,0)*VLOOKUP('Données projet'!$B$14,Paramètres!$A$1:$I$89,5,0)</f>
        <v>315.38520000000011</v>
      </c>
      <c r="DQ102" s="14">
        <f t="shared" si="97"/>
        <v>74.39234450577986</v>
      </c>
      <c r="DR102" s="22">
        <f t="shared" si="70"/>
        <v>678.86255668090018</v>
      </c>
      <c r="DS102" s="60">
        <f t="shared" si="71"/>
        <v>972.19589001423356</v>
      </c>
      <c r="DT102" s="60">
        <f ca="1">AVERAGE(OFFSET($DS$3,0,0,'Données projet'!$E$14+1,1))-AVERAGE(OFFSET($H$3,0,0,'Données projet'!$E$14+1,1))</f>
        <v>338.92444234934266</v>
      </c>
      <c r="DU102" s="60">
        <f t="shared" si="98"/>
        <v>208.91548891910895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7.4</v>
      </c>
      <c r="EJ102" s="13">
        <f>IF('Données projet'!$A$192&gt;35,EJ101+EI102-ER101,IF(A102&lt;'Données projet'!$A$192,$EG$205^A102,IF(A102='Données projet'!$A$192,'Données projet'!$B$192,EJ101+EI102-ER101)))</f>
        <v>416.59999999999968</v>
      </c>
      <c r="EK102" s="18">
        <f>EJ102*VLOOKUP('Données projet'!$B$15,Paramètres!$A$1:$I$89,3,0)*VLOOKUP('Données projet'!$B$15,Paramètres!$A$1:$I$89,5,0)</f>
        <v>337.94591999999977</v>
      </c>
      <c r="EL102" s="14">
        <f t="shared" si="99"/>
        <v>79.075410933741537</v>
      </c>
      <c r="EM102" s="22">
        <f t="shared" si="73"/>
        <v>726.31215137626612</v>
      </c>
      <c r="EN102" s="60">
        <f t="shared" si="74"/>
        <v>1019.6454847095995</v>
      </c>
      <c r="EO102" s="60">
        <f ca="1">AVERAGE(OFFSET($EN$3,0,0,'Données projet'!$E$15+1,1))-AVERAGE(OFFSET($H$3,0,0,'Données projet'!$E$15+1,1))</f>
        <v>346.10839312896536</v>
      </c>
      <c r="EP102" s="60">
        <f t="shared" si="100"/>
        <v>196.24927250256087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5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8">
        <f t="shared" si="56"/>
        <v>490.53279670439605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5.5</v>
      </c>
      <c r="N103" s="14">
        <f>IF('Données projet'!$A$36&gt;35,N102+M103-V102,IF(A103&lt;'Données projet'!$A$36,$K$205^A103,IF(A103='Données projet'!$A$36,'Données projet'!$B$36,N102+M103-V102)))</f>
        <v>332.50000000000017</v>
      </c>
      <c r="O103" s="14">
        <f>N103*VLOOKUP('Données projet'!$B$9,Paramètres!$A$1:$I$89,3,0)*VLOOKUP('Données projet'!$B$9,Paramètres!$A$1:$I$89,5,0)</f>
        <v>300.84600000000012</v>
      </c>
      <c r="P103" s="14">
        <f t="shared" si="87"/>
        <v>71.353788493344268</v>
      </c>
      <c r="Q103" s="22">
        <f t="shared" si="107"/>
        <v>648.24796495924147</v>
      </c>
      <c r="R103" s="60">
        <f t="shared" si="55"/>
        <v>941.58129829257473</v>
      </c>
      <c r="S103" s="60">
        <f ca="1">AVERAGE(OFFSET($R$3,0,0,'Données projet'!$E$9+1,1))-AVERAGE(OFFSET($H$3,0,0,'Données projet'!$E$9+1,1))</f>
        <v>327.62615088747526</v>
      </c>
      <c r="T103" s="60">
        <f t="shared" si="88"/>
        <v>180.48047802041276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5.5</v>
      </c>
      <c r="AI103" s="14">
        <f>IF('Données projet'!$A$62&gt;35,AI102+AH103-AQ102,IF(A103&lt;'Données projet'!$A$62,$AF$205^A103,IF(A103='Données projet'!$A$62,'Données projet'!$B$62,AI102+AH103-AQ102)))</f>
        <v>332.50000000000017</v>
      </c>
      <c r="AJ103" s="14">
        <f>AI103*VLOOKUP('Données projet'!$B$10,Paramètres!$A$1:$I$89,3,0)*VLOOKUP('Données projet'!$B$10,Paramètres!$A$1:$I$89,5,0)</f>
        <v>280.09800000000018</v>
      </c>
      <c r="AK103" s="14">
        <f t="shared" si="89"/>
        <v>66.987718676462464</v>
      </c>
      <c r="AL103" s="22">
        <f t="shared" si="58"/>
        <v>604.50762669483913</v>
      </c>
      <c r="AM103" s="60">
        <f t="shared" si="59"/>
        <v>897.8409600281725</v>
      </c>
      <c r="AN103" s="60">
        <f ca="1">AVERAGE(OFFSET($AM$3,0,0,'Données projet'!$E$10+1,1))-AVERAGE(OFFSET($H$3,0,0,'Données projet'!$E$10+1,1))</f>
        <v>295.5242128298583</v>
      </c>
      <c r="AO103" s="60">
        <f t="shared" si="90"/>
        <v>164.21740841327744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285.89743589743591</v>
      </c>
      <c r="BB103" s="13">
        <f>VLOOKUP(A103,'Données projet'!$A$87:$I$107,9,0)</f>
        <v>3.8461538461538511</v>
      </c>
      <c r="BC103" s="13">
        <f t="array" ref="BC103">INDEX(BB:BB,MIN(IF(ISNUMBER(BB103:BB299),ROW(BB103:BB299),"")))</f>
        <v>3.8461538461538511</v>
      </c>
      <c r="BD103" s="13">
        <f>IF('Données projet'!$A$88&gt;35,BD102+BC103-BL102,IF(A103&lt;'Données projet'!$A$88,$BA$205^A103,IF(A103='Données projet'!$A$88,'Données projet'!$B$88,BD102+BC103-BL102)))</f>
        <v>285.89743589743608</v>
      </c>
      <c r="BE103" s="14">
        <f>BD103*VLOOKUP('Données projet'!$B$11,Paramètres!$A$1:$I$89,3,0)*VLOOKUP('Données projet'!$B$11,Paramètres!$A$1:$I$89,5,0)</f>
        <v>272.06000000000017</v>
      </c>
      <c r="BF103" s="14">
        <f t="shared" si="91"/>
        <v>65.286259698592175</v>
      </c>
      <c r="BG103" s="22">
        <f t="shared" si="61"/>
        <v>587.54473564171496</v>
      </c>
      <c r="BH103" s="60">
        <f t="shared" si="62"/>
        <v>880.87806897504834</v>
      </c>
      <c r="BI103" s="60">
        <f ca="1">AVERAGE(OFFSET($BH$3,0,0,'Données projet'!$E$11+1,1))-AVERAGE(OFFSET($H$3,0,0,'Données projet'!$E$11+1,1))</f>
        <v>276.19649531804959</v>
      </c>
      <c r="BJ103" s="60">
        <f t="shared" si="92"/>
        <v>253.14970964973463</v>
      </c>
      <c r="BK103" s="16">
        <f>IF(ISNA(VLOOKUP(A103,'Données projet'!$A$87:$I$107,3,0)),0,VLOOKUP(A103,'Données projet'!$A$87:$I$107,3,0))</f>
        <v>9</v>
      </c>
      <c r="BL103" s="16">
        <f>IF(ISNA(VLOOKUP(A103,'Données projet'!$A$87:$I$107,4,0)),0,VLOOKUP(A103,'Données projet'!$A$87:$I$107,4,0))</f>
        <v>28.205128205128204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1.1368683772161603E-13</v>
      </c>
      <c r="BZ103" s="14">
        <f>BY103*VLOOKUP('Données projet'!$B$12,Paramètres!$A$1:$I$89,3,0)*VLOOKUP('Données projet'!$B$12,Paramètres!$A$1:$I$89,5,0)</f>
        <v>7.4487616075202823E-14</v>
      </c>
      <c r="CA103" s="14">
        <f t="shared" si="93"/>
        <v>1.1580453144473142E-12</v>
      </c>
      <c r="CB103" s="22">
        <f t="shared" si="64"/>
        <v>2.1466615206600508E-12</v>
      </c>
      <c r="CC103" s="60">
        <f t="shared" si="65"/>
        <v>293.33333333333547</v>
      </c>
      <c r="CD103" s="60">
        <f ca="1">AVERAGE(OFFSET($CC$3,0,0,'Données projet'!$E$12+1,1))-AVERAGE(OFFSET($H$3,0,0,'Données projet'!$E$12+1,1))</f>
        <v>154.88061446835457</v>
      </c>
      <c r="CE103" s="60">
        <f t="shared" si="94"/>
        <v>201.47826692201693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0.39198981310137576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0.39198981310137576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5.5</v>
      </c>
      <c r="CT103" s="13">
        <f>IF('Données projet'!$A$140&gt;35,CT102+CS103-DB102,IF(A103&lt;'Données projet'!$A$140,$CQ$205^A103,IF(A103='Données projet'!$A$140,'Données projet'!$B$140,CT102+CS103-DB102)))</f>
        <v>298.50000000000011</v>
      </c>
      <c r="CU103" s="18">
        <f>CT103*VLOOKUP('Données projet'!$B$13,Paramètres!$A$1:$I$89,3,0)*VLOOKUP('Données projet'!$B$13,Paramètres!$A$1:$I$89,5,0)</f>
        <v>288.70920000000012</v>
      </c>
      <c r="CV103" s="14">
        <f t="shared" si="95"/>
        <v>68.804219335128607</v>
      </c>
      <c r="CW103" s="22">
        <f t="shared" si="67"/>
        <v>622.66920534201586</v>
      </c>
      <c r="CX103" s="60">
        <f t="shared" si="68"/>
        <v>916.00253867534911</v>
      </c>
      <c r="CY103" s="60">
        <f ca="1">AVERAGE(OFFSET($CX$3,0,0,'Données projet'!$E$13+1,1))-AVERAGE(OFFSET($H$3,0,0,'Données projet'!$E$13+1,1))</f>
        <v>293.44206058086951</v>
      </c>
      <c r="CZ103" s="60">
        <f t="shared" si="96"/>
        <v>182.15909509186827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5.5</v>
      </c>
      <c r="DO103" s="13">
        <f>IF('Données projet'!$A$166&gt;35,DO102+DN103-DW102,IF(A103&lt;'Données projet'!$A$166,$DL$205^A103,IF(A103='Données projet'!$A$166,'Données projet'!$B$166,DO102+DN103-DW102)))</f>
        <v>298.50000000000011</v>
      </c>
      <c r="DP103" s="18">
        <f>DO103*VLOOKUP('Données projet'!$B$14,Paramètres!$A$1:$I$89,3,0)*VLOOKUP('Données projet'!$B$14,Paramètres!$A$1:$I$89,5,0)</f>
        <v>321.30540000000008</v>
      </c>
      <c r="DQ103" s="14">
        <f t="shared" si="97"/>
        <v>75.624903131213387</v>
      </c>
      <c r="DR103" s="22">
        <f t="shared" si="70"/>
        <v>691.32027795353008</v>
      </c>
      <c r="DS103" s="60">
        <f t="shared" si="71"/>
        <v>984.65361128686345</v>
      </c>
      <c r="DT103" s="60">
        <f ca="1">AVERAGE(OFFSET($DS$3,0,0,'Données projet'!$E$14+1,1))-AVERAGE(OFFSET($H$3,0,0,'Données projet'!$E$14+1,1))</f>
        <v>338.92444234934266</v>
      </c>
      <c r="DU103" s="60">
        <f t="shared" si="98"/>
        <v>208.91548891910895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424</v>
      </c>
      <c r="EH103" s="13">
        <f>VLOOKUP(A103,'Données projet'!$A$191:$I$211,9,0)</f>
        <v>7.4</v>
      </c>
      <c r="EI103" s="13">
        <f t="array" ref="EI103">INDEX(EH:EH,MIN(IF(ISNUMBER(EH103:EH299),ROW(EH103:EH299),"")))</f>
        <v>7.4</v>
      </c>
      <c r="EJ103" s="13">
        <f>IF('Données projet'!$A$192&gt;35,EJ102+EI103-ER102,IF(A103&lt;'Données projet'!$A$192,$EG$205^A103,IF(A103='Données projet'!$A$192,'Données projet'!$B$192,EJ102+EI103-ER102)))</f>
        <v>423.99999999999966</v>
      </c>
      <c r="EK103" s="18">
        <f>EJ103*VLOOKUP('Données projet'!$B$15,Paramètres!$A$1:$I$89,3,0)*VLOOKUP('Données projet'!$B$15,Paramètres!$A$1:$I$89,5,0)</f>
        <v>343.94879999999972</v>
      </c>
      <c r="EL103" s="14">
        <f t="shared" si="99"/>
        <v>80.315244406893157</v>
      </c>
      <c r="EM103" s="22">
        <f t="shared" si="73"/>
        <v>738.92654400867161</v>
      </c>
      <c r="EN103" s="60">
        <f t="shared" si="74"/>
        <v>1032.259877342005</v>
      </c>
      <c r="EO103" s="60">
        <f ca="1">AVERAGE(OFFSET($EN$3,0,0,'Données projet'!$E$15+1,1))-AVERAGE(OFFSET($H$3,0,0,'Données projet'!$E$15+1,1))</f>
        <v>346.10839312896536</v>
      </c>
      <c r="EP103" s="60">
        <f t="shared" si="100"/>
        <v>196.24927250256087</v>
      </c>
      <c r="EQ103" s="16">
        <f>IF(ISNA(VLOOKUP(A103,'Données projet'!$A$191:$I$211,3,0)),0,VLOOKUP(A103,'Données projet'!$A$191:$I$211,3,0))</f>
        <v>8</v>
      </c>
      <c r="ER103" s="16">
        <f>IF(ISNA(VLOOKUP(A103,'Données projet'!$A$191:$I$211,4,0)),0,VLOOKUP(A103,'Données projet'!$A$191:$I$211,4,0))</f>
        <v>49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5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8">
        <f t="shared" si="56"/>
        <v>492.4553017979585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5.5</v>
      </c>
      <c r="N104" s="14">
        <f>IF('Données projet'!$A$36&gt;35,N103+M104-V103,IF(A104&lt;'Données projet'!$A$36,$K$205^A104,IF(A104='Données projet'!$A$36,'Données projet'!$B$36,N103+M104-V103)))</f>
        <v>338.00000000000017</v>
      </c>
      <c r="O104" s="14">
        <f>N104*VLOOKUP('Données projet'!$B$9,Paramètres!$A$1:$I$89,3,0)*VLOOKUP('Données projet'!$B$9,Paramètres!$A$1:$I$89,5,0)</f>
        <v>305.82240000000013</v>
      </c>
      <c r="P104" s="14">
        <f t="shared" si="87"/>
        <v>72.395693291268998</v>
      </c>
      <c r="Q104" s="22">
        <f t="shared" si="107"/>
        <v>658.72984581562707</v>
      </c>
      <c r="R104" s="60">
        <f t="shared" si="55"/>
        <v>952.06317914896044</v>
      </c>
      <c r="S104" s="60">
        <f ca="1">AVERAGE(OFFSET($R$3,0,0,'Données projet'!$E$9+1,1))-AVERAGE(OFFSET($H$3,0,0,'Données projet'!$E$9+1,1))</f>
        <v>327.62615088747526</v>
      </c>
      <c r="T104" s="60">
        <f t="shared" si="88"/>
        <v>180.48047802041276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5.5</v>
      </c>
      <c r="AI104" s="14">
        <f>IF('Données projet'!$A$62&gt;35,AI103+AH104-AQ103,IF(A104&lt;'Données projet'!$A$62,$AF$205^A104,IF(A104='Données projet'!$A$62,'Données projet'!$B$62,AI103+AH104-AQ103)))</f>
        <v>338.00000000000017</v>
      </c>
      <c r="AJ104" s="14">
        <f>AI104*VLOOKUP('Données projet'!$B$10,Paramètres!$A$1:$I$89,3,0)*VLOOKUP('Données projet'!$B$10,Paramètres!$A$1:$I$89,5,0)</f>
        <v>284.73120000000017</v>
      </c>
      <c r="AK104" s="14">
        <f t="shared" si="89"/>
        <v>67.96587032005101</v>
      </c>
      <c r="AL104" s="22">
        <f t="shared" si="58"/>
        <v>614.2807308074224</v>
      </c>
      <c r="AM104" s="60">
        <f t="shared" si="59"/>
        <v>907.61406414075577</v>
      </c>
      <c r="AN104" s="60">
        <f ca="1">AVERAGE(OFFSET($AM$3,0,0,'Données projet'!$E$10+1,1))-AVERAGE(OFFSET($H$3,0,0,'Données projet'!$E$10+1,1))</f>
        <v>295.5242128298583</v>
      </c>
      <c r="AO104" s="60">
        <f t="shared" si="90"/>
        <v>164.21740841327744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3.5897435897435854</v>
      </c>
      <c r="BD104" s="13">
        <f>IF('Données projet'!$A$88&gt;35,BD103+BC104-BL103,IF(A104&lt;'Données projet'!$A$88,$BA$205^A104,IF(A104='Données projet'!$A$88,'Données projet'!$B$88,BD103+BC104-BL103)))</f>
        <v>261.2820512820515</v>
      </c>
      <c r="BE104" s="14">
        <f>BD104*VLOOKUP('Données projet'!$B$11,Paramètres!$A$1:$I$89,3,0)*VLOOKUP('Données projet'!$B$11,Paramètres!$A$1:$I$89,5,0)</f>
        <v>248.63600000000019</v>
      </c>
      <c r="BF104" s="14">
        <f t="shared" si="91"/>
        <v>60.293767845706391</v>
      </c>
      <c r="BG104" s="22">
        <f t="shared" si="61"/>
        <v>538.05267899793887</v>
      </c>
      <c r="BH104" s="60">
        <f t="shared" si="62"/>
        <v>831.38601233127224</v>
      </c>
      <c r="BI104" s="60">
        <f ca="1">AVERAGE(OFFSET($BH$3,0,0,'Données projet'!$E$11+1,1))-AVERAGE(OFFSET($H$3,0,0,'Données projet'!$E$11+1,1))</f>
        <v>276.19649531804959</v>
      </c>
      <c r="BJ104" s="60">
        <f t="shared" si="92"/>
        <v>253.14970964973463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1.1368683772161603E-13</v>
      </c>
      <c r="BZ104" s="14">
        <f>BY104*VLOOKUP('Données projet'!$B$12,Paramètres!$A$1:$I$89,3,0)*VLOOKUP('Données projet'!$B$12,Paramètres!$A$1:$I$89,5,0)</f>
        <v>7.4487616075202823E-14</v>
      </c>
      <c r="CA104" s="14">
        <f t="shared" si="93"/>
        <v>1.1580453144473142E-12</v>
      </c>
      <c r="CB104" s="22">
        <f t="shared" si="64"/>
        <v>2.1466615206600508E-12</v>
      </c>
      <c r="CC104" s="60">
        <f t="shared" si="65"/>
        <v>293.33333333333547</v>
      </c>
      <c r="CD104" s="60">
        <f ca="1">AVERAGE(OFFSET($CC$3,0,0,'Données projet'!$E$12+1,1))-AVERAGE(OFFSET($H$3,0,0,'Données projet'!$E$12+1,1))</f>
        <v>154.88061446835457</v>
      </c>
      <c r="CE104" s="60">
        <f t="shared" si="94"/>
        <v>201.47826692201693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0.38127083104827025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0.38127083104827025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5.5</v>
      </c>
      <c r="CT104" s="13">
        <f>IF('Données projet'!$A$140&gt;35,CT103+CS104-DB103,IF(A104&lt;'Données projet'!$A$140,$CQ$205^A104,IF(A104='Données projet'!$A$140,'Données projet'!$B$140,CT103+CS104-DB103)))</f>
        <v>304.00000000000011</v>
      </c>
      <c r="CU104" s="18">
        <f>CT104*VLOOKUP('Données projet'!$B$13,Paramètres!$A$1:$I$89,3,0)*VLOOKUP('Données projet'!$B$13,Paramètres!$A$1:$I$89,5,0)</f>
        <v>294.0288000000001</v>
      </c>
      <c r="CV104" s="14">
        <f t="shared" si="95"/>
        <v>69.923209651185729</v>
      </c>
      <c r="CW104" s="22">
        <f t="shared" si="67"/>
        <v>633.88308347581528</v>
      </c>
      <c r="CX104" s="60">
        <f t="shared" si="68"/>
        <v>927.21641680914854</v>
      </c>
      <c r="CY104" s="60">
        <f ca="1">AVERAGE(OFFSET($CX$3,0,0,'Données projet'!$E$13+1,1))-AVERAGE(OFFSET($H$3,0,0,'Données projet'!$E$13+1,1))</f>
        <v>293.44206058086951</v>
      </c>
      <c r="CZ104" s="60">
        <f t="shared" si="96"/>
        <v>182.15909509186827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5.5</v>
      </c>
      <c r="DO104" s="13">
        <f>IF('Données projet'!$A$166&gt;35,DO103+DN104-DW103,IF(A104&lt;'Données projet'!$A$166,$DL$205^A104,IF(A104='Données projet'!$A$166,'Données projet'!$B$166,DO103+DN104-DW103)))</f>
        <v>304.00000000000011</v>
      </c>
      <c r="DP104" s="18">
        <f>DO104*VLOOKUP('Données projet'!$B$14,Paramètres!$A$1:$I$89,3,0)*VLOOKUP('Données projet'!$B$14,Paramètres!$A$1:$I$89,5,0)</f>
        <v>327.22560000000016</v>
      </c>
      <c r="DQ104" s="14">
        <f t="shared" si="97"/>
        <v>76.854820933847108</v>
      </c>
      <c r="DR104" s="22">
        <f t="shared" si="70"/>
        <v>703.77339979311728</v>
      </c>
      <c r="DS104" s="60">
        <f t="shared" si="71"/>
        <v>997.10673312645054</v>
      </c>
      <c r="DT104" s="60">
        <f ca="1">AVERAGE(OFFSET($DS$3,0,0,'Données projet'!$E$14+1,1))-AVERAGE(OFFSET($H$3,0,0,'Données projet'!$E$14+1,1))</f>
        <v>338.92444234934266</v>
      </c>
      <c r="DU104" s="60">
        <f t="shared" si="98"/>
        <v>208.91548891910895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6.5</v>
      </c>
      <c r="EJ104" s="13">
        <f>IF('Données projet'!$A$192&gt;35,EJ103+EI104-ER103,IF(A104&lt;'Données projet'!$A$192,$EG$205^A104,IF(A104='Données projet'!$A$192,'Données projet'!$B$192,EJ103+EI104-ER103)))</f>
        <v>381.49999999999966</v>
      </c>
      <c r="EK104" s="18">
        <f>EJ104*VLOOKUP('Données projet'!$B$15,Paramètres!$A$1:$I$89,3,0)*VLOOKUP('Données projet'!$B$15,Paramètres!$A$1:$I$89,5,0)</f>
        <v>309.47279999999972</v>
      </c>
      <c r="EL104" s="14">
        <f t="shared" si="99"/>
        <v>73.158718924277949</v>
      </c>
      <c r="EM104" s="22">
        <f t="shared" si="73"/>
        <v>666.41656212645023</v>
      </c>
      <c r="EN104" s="60">
        <f t="shared" si="74"/>
        <v>959.7498954597836</v>
      </c>
      <c r="EO104" s="60">
        <f ca="1">AVERAGE(OFFSET($EN$3,0,0,'Données projet'!$E$15+1,1))-AVERAGE(OFFSET($H$3,0,0,'Données projet'!$E$15+1,1))</f>
        <v>346.10839312896536</v>
      </c>
      <c r="EP104" s="60">
        <f t="shared" si="100"/>
        <v>196.24927250256087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5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8">
        <f t="shared" si="56"/>
        <v>494.37737631959351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5.5</v>
      </c>
      <c r="N105" s="14">
        <f>IF('Données projet'!$A$36&gt;35,N104+M105-V104,IF(A105&lt;'Données projet'!$A$36,$K$205^A105,IF(A105='Données projet'!$A$36,'Données projet'!$B$36,N104+M105-V104)))</f>
        <v>343.50000000000017</v>
      </c>
      <c r="O105" s="14">
        <f>N105*VLOOKUP('Données projet'!$B$9,Paramètres!$A$1:$I$89,3,0)*VLOOKUP('Données projet'!$B$9,Paramètres!$A$1:$I$89,5,0)</f>
        <v>310.79880000000014</v>
      </c>
      <c r="P105" s="14">
        <f t="shared" si="87"/>
        <v>73.435626410963707</v>
      </c>
      <c r="Q105" s="22">
        <f t="shared" si="107"/>
        <v>669.20829266576197</v>
      </c>
      <c r="R105" s="60">
        <f t="shared" si="55"/>
        <v>962.54162599909523</v>
      </c>
      <c r="S105" s="60">
        <f ca="1">AVERAGE(OFFSET($R$3,0,0,'Données projet'!$E$9+1,1))-AVERAGE(OFFSET($H$3,0,0,'Données projet'!$E$9+1,1))</f>
        <v>327.62615088747526</v>
      </c>
      <c r="T105" s="60">
        <f t="shared" si="88"/>
        <v>180.48047802041276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5.5</v>
      </c>
      <c r="AI105" s="14">
        <f>IF('Données projet'!$A$62&gt;35,AI104+AH105-AQ104,IF(A105&lt;'Données projet'!$A$62,$AF$205^A105,IF(A105='Données projet'!$A$62,'Données projet'!$B$62,AI104+AH105-AQ104)))</f>
        <v>343.50000000000017</v>
      </c>
      <c r="AJ105" s="14">
        <f>AI105*VLOOKUP('Données projet'!$B$10,Paramètres!$A$1:$I$89,3,0)*VLOOKUP('Données projet'!$B$10,Paramètres!$A$1:$I$89,5,0)</f>
        <v>289.36440000000016</v>
      </c>
      <c r="AK105" s="14">
        <f t="shared" si="89"/>
        <v>68.942170930507686</v>
      </c>
      <c r="AL105" s="22">
        <f t="shared" si="58"/>
        <v>624.05061103730111</v>
      </c>
      <c r="AM105" s="60">
        <f t="shared" si="59"/>
        <v>917.38394437063448</v>
      </c>
      <c r="AN105" s="60">
        <f ca="1">AVERAGE(OFFSET($AM$3,0,0,'Données projet'!$E$10+1,1))-AVERAGE(OFFSET($H$3,0,0,'Données projet'!$E$10+1,1))</f>
        <v>295.5242128298583</v>
      </c>
      <c r="AO105" s="60">
        <f t="shared" si="90"/>
        <v>164.21740841327744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3.5897435897435854</v>
      </c>
      <c r="BD105" s="13">
        <f>IF('Données projet'!$A$88&gt;35,BD104+BC105-BL104,IF(A105&lt;'Données projet'!$A$88,$BA$205^A105,IF(A105='Données projet'!$A$88,'Données projet'!$B$88,BD104+BC105-BL104)))</f>
        <v>264.87179487179509</v>
      </c>
      <c r="BE105" s="14">
        <f>BD105*VLOOKUP('Données projet'!$B$11,Paramètres!$A$1:$I$89,3,0)*VLOOKUP('Données projet'!$B$11,Paramètres!$A$1:$I$89,5,0)</f>
        <v>252.05200000000019</v>
      </c>
      <c r="BF105" s="14">
        <f t="shared" si="91"/>
        <v>61.025136500600851</v>
      </c>
      <c r="BG105" s="22">
        <f t="shared" si="61"/>
        <v>545.2760127385468</v>
      </c>
      <c r="BH105" s="60">
        <f t="shared" si="62"/>
        <v>838.60934607188005</v>
      </c>
      <c r="BI105" s="60">
        <f ca="1">AVERAGE(OFFSET($BH$3,0,0,'Données projet'!$E$11+1,1))-AVERAGE(OFFSET($H$3,0,0,'Données projet'!$E$11+1,1))</f>
        <v>276.19649531804959</v>
      </c>
      <c r="BJ105" s="60">
        <f t="shared" si="92"/>
        <v>253.14970964973463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1.1368683772161603E-13</v>
      </c>
      <c r="BZ105" s="14">
        <f>BY105*VLOOKUP('Données projet'!$B$12,Paramètres!$A$1:$I$89,3,0)*VLOOKUP('Données projet'!$B$12,Paramètres!$A$1:$I$89,5,0)</f>
        <v>7.4487616075202823E-14</v>
      </c>
      <c r="CA105" s="14">
        <f t="shared" si="93"/>
        <v>1.1580453144473142E-12</v>
      </c>
      <c r="CB105" s="22">
        <f t="shared" si="64"/>
        <v>2.1466615206600508E-12</v>
      </c>
      <c r="CC105" s="60">
        <f t="shared" si="65"/>
        <v>293.33333333333547</v>
      </c>
      <c r="CD105" s="60">
        <f ca="1">AVERAGE(OFFSET($CC$3,0,0,'Données projet'!$E$12+1,1))-AVERAGE(OFFSET($H$3,0,0,'Données projet'!$E$12+1,1))</f>
        <v>154.88061446835457</v>
      </c>
      <c r="CE105" s="60">
        <f t="shared" si="94"/>
        <v>201.47826692201693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0.3708449601230937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0.3708449601230937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5.5</v>
      </c>
      <c r="CT105" s="13">
        <f>IF('Données projet'!$A$140&gt;35,CT104+CS105-DB104,IF(A105&lt;'Données projet'!$A$140,$CQ$205^A105,IF(A105='Données projet'!$A$140,'Données projet'!$B$140,CT104+CS105-DB104)))</f>
        <v>309.50000000000011</v>
      </c>
      <c r="CU105" s="18">
        <f>CT105*VLOOKUP('Données projet'!$B$13,Paramètres!$A$1:$I$89,3,0)*VLOOKUP('Données projet'!$B$13,Paramètres!$A$1:$I$89,5,0)</f>
        <v>299.34840000000014</v>
      </c>
      <c r="CV105" s="14">
        <f t="shared" si="95"/>
        <v>71.03984580577341</v>
      </c>
      <c r="CW105" s="22">
        <f t="shared" si="67"/>
        <v>645.09286144505552</v>
      </c>
      <c r="CX105" s="60">
        <f t="shared" si="68"/>
        <v>938.42619477838889</v>
      </c>
      <c r="CY105" s="60">
        <f ca="1">AVERAGE(OFFSET($CX$3,0,0,'Données projet'!$E$13+1,1))-AVERAGE(OFFSET($H$3,0,0,'Données projet'!$E$13+1,1))</f>
        <v>293.44206058086951</v>
      </c>
      <c r="CZ105" s="60">
        <f t="shared" si="96"/>
        <v>182.15909509186827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5.5</v>
      </c>
      <c r="DO105" s="13">
        <f>IF('Données projet'!$A$166&gt;35,DO104+DN105-DW104,IF(A105&lt;'Données projet'!$A$166,$DL$205^A105,IF(A105='Données projet'!$A$166,'Données projet'!$B$166,DO104+DN105-DW104)))</f>
        <v>309.50000000000011</v>
      </c>
      <c r="DP105" s="18">
        <f>DO105*VLOOKUP('Données projet'!$B$14,Paramètres!$A$1:$I$89,3,0)*VLOOKUP('Données projet'!$B$14,Paramètres!$A$1:$I$89,5,0)</f>
        <v>333.14580000000012</v>
      </c>
      <c r="DQ105" s="14">
        <f t="shared" si="97"/>
        <v>78.082151202826495</v>
      </c>
      <c r="DR105" s="22">
        <f t="shared" si="70"/>
        <v>716.22201501158963</v>
      </c>
      <c r="DS105" s="60">
        <f t="shared" si="71"/>
        <v>1009.555348344923</v>
      </c>
      <c r="DT105" s="60">
        <f ca="1">AVERAGE(OFFSET($DS$3,0,0,'Données projet'!$E$14+1,1))-AVERAGE(OFFSET($H$3,0,0,'Données projet'!$E$14+1,1))</f>
        <v>338.92444234934266</v>
      </c>
      <c r="DU105" s="60">
        <f t="shared" si="98"/>
        <v>208.91548891910895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6.5</v>
      </c>
      <c r="EJ105" s="13">
        <f>IF('Données projet'!$A$192&gt;35,EJ104+EI105-ER104,IF(A105&lt;'Données projet'!$A$192,$EG$205^A105,IF(A105='Données projet'!$A$192,'Données projet'!$B$192,EJ104+EI105-ER104)))</f>
        <v>387.99999999999966</v>
      </c>
      <c r="EK105" s="18">
        <f>EJ105*VLOOKUP('Données projet'!$B$15,Paramètres!$A$1:$I$89,3,0)*VLOOKUP('Données projet'!$B$15,Paramètres!$A$1:$I$89,5,0)</f>
        <v>314.74559999999974</v>
      </c>
      <c r="EL105" s="14">
        <f t="shared" si="99"/>
        <v>74.25902232959433</v>
      </c>
      <c r="EM105" s="22">
        <f t="shared" si="73"/>
        <v>677.51638389070979</v>
      </c>
      <c r="EN105" s="60">
        <f t="shared" si="74"/>
        <v>970.84971722404316</v>
      </c>
      <c r="EO105" s="60">
        <f ca="1">AVERAGE(OFFSET($EN$3,0,0,'Données projet'!$E$15+1,1))-AVERAGE(OFFSET($H$3,0,0,'Données projet'!$E$15+1,1))</f>
        <v>346.10839312896536</v>
      </c>
      <c r="EP105" s="60">
        <f t="shared" si="100"/>
        <v>196.24927250256087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5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8">
        <f t="shared" si="56"/>
        <v>496.29902497941657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5.5</v>
      </c>
      <c r="N106" s="14">
        <f>IF('Données projet'!$A$36&gt;35,N105+M106-V105,IF(A106&lt;'Données projet'!$A$36,$K$205^A106,IF(A106='Données projet'!$A$36,'Données projet'!$B$36,N105+M106-V105)))</f>
        <v>349.00000000000017</v>
      </c>
      <c r="O106" s="14">
        <f>N106*VLOOKUP('Données projet'!$B$9,Paramètres!$A$1:$I$89,3,0)*VLOOKUP('Données projet'!$B$9,Paramètres!$A$1:$I$89,5,0)</f>
        <v>315.7752000000001</v>
      </c>
      <c r="P106" s="14">
        <f t="shared" si="87"/>
        <v>74.473623067174074</v>
      </c>
      <c r="Q106" s="22">
        <f t="shared" si="107"/>
        <v>679.68336684199494</v>
      </c>
      <c r="R106" s="60">
        <f t="shared" si="55"/>
        <v>973.0167001753282</v>
      </c>
      <c r="S106" s="60">
        <f ca="1">AVERAGE(OFFSET($R$3,0,0,'Données projet'!$E$9+1,1))-AVERAGE(OFFSET($H$3,0,0,'Données projet'!$E$9+1,1))</f>
        <v>327.62615088747526</v>
      </c>
      <c r="T106" s="60">
        <f t="shared" si="88"/>
        <v>180.48047802041276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5.5</v>
      </c>
      <c r="AI106" s="14">
        <f>IF('Données projet'!$A$62&gt;35,AI105+AH106-AQ105,IF(A106&lt;'Données projet'!$A$62,$AF$205^A106,IF(A106='Données projet'!$A$62,'Données projet'!$B$62,AI105+AH106-AQ105)))</f>
        <v>349.00000000000017</v>
      </c>
      <c r="AJ106" s="14">
        <f>AI106*VLOOKUP('Données projet'!$B$10,Paramètres!$A$1:$I$89,3,0)*VLOOKUP('Données projet'!$B$10,Paramètres!$A$1:$I$89,5,0)</f>
        <v>293.99760000000015</v>
      </c>
      <c r="AK106" s="14">
        <f t="shared" si="89"/>
        <v>69.916653567821541</v>
      </c>
      <c r="AL106" s="22">
        <f t="shared" si="58"/>
        <v>633.81732496395614</v>
      </c>
      <c r="AM106" s="60">
        <f t="shared" si="59"/>
        <v>927.15065829728951</v>
      </c>
      <c r="AN106" s="60">
        <f ca="1">AVERAGE(OFFSET($AM$3,0,0,'Données projet'!$E$10+1,1))-AVERAGE(OFFSET($H$3,0,0,'Données projet'!$E$10+1,1))</f>
        <v>295.5242128298583</v>
      </c>
      <c r="AO106" s="60">
        <f t="shared" si="90"/>
        <v>164.21740841327744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3.5897435897435854</v>
      </c>
      <c r="BD106" s="13">
        <f>IF('Données projet'!$A$88&gt;35,BD105+BC106-BL105,IF(A106&lt;'Données projet'!$A$88,$BA$205^A106,IF(A106='Données projet'!$A$88,'Données projet'!$B$88,BD105+BC106-BL105)))</f>
        <v>268.46153846153868</v>
      </c>
      <c r="BE106" s="14">
        <f>BD106*VLOOKUP('Données projet'!$B$11,Paramètres!$A$1:$I$89,3,0)*VLOOKUP('Données projet'!$B$11,Paramètres!$A$1:$I$89,5,0)</f>
        <v>255.46800000000019</v>
      </c>
      <c r="BF106" s="14">
        <f t="shared" si="91"/>
        <v>61.755352263609289</v>
      </c>
      <c r="BG106" s="22">
        <f t="shared" si="61"/>
        <v>552.4973385257864</v>
      </c>
      <c r="BH106" s="60">
        <f t="shared" si="62"/>
        <v>845.83067185911978</v>
      </c>
      <c r="BI106" s="60">
        <f ca="1">AVERAGE(OFFSET($BH$3,0,0,'Données projet'!$E$11+1,1))-AVERAGE(OFFSET($H$3,0,0,'Données projet'!$E$11+1,1))</f>
        <v>276.19649531804959</v>
      </c>
      <c r="BJ106" s="60">
        <f t="shared" si="92"/>
        <v>253.14970964973463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1.1368683772161603E-13</v>
      </c>
      <c r="BZ106" s="14">
        <f>BY106*VLOOKUP('Données projet'!$B$12,Paramètres!$A$1:$I$89,3,0)*VLOOKUP('Données projet'!$B$12,Paramètres!$A$1:$I$89,5,0)</f>
        <v>7.4487616075202823E-14</v>
      </c>
      <c r="CA106" s="14">
        <f t="shared" si="93"/>
        <v>1.1580453144473142E-12</v>
      </c>
      <c r="CB106" s="22">
        <f t="shared" si="64"/>
        <v>2.1466615206600508E-12</v>
      </c>
      <c r="CC106" s="60">
        <f t="shared" si="65"/>
        <v>293.33333333333547</v>
      </c>
      <c r="CD106" s="60">
        <f ca="1">AVERAGE(OFFSET($CC$3,0,0,'Données projet'!$E$12+1,1))-AVERAGE(OFFSET($H$3,0,0,'Données projet'!$E$12+1,1))</f>
        <v>154.88061446835457</v>
      </c>
      <c r="CE106" s="60">
        <f t="shared" si="94"/>
        <v>201.47826692201693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0.36070418518663883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0.36070418518663883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5.5</v>
      </c>
      <c r="CT106" s="13">
        <f>IF('Données projet'!$A$140&gt;35,CT105+CS106-DB105,IF(A106&lt;'Données projet'!$A$140,$CQ$205^A106,IF(A106='Données projet'!$A$140,'Données projet'!$B$140,CT105+CS106-DB105)))</f>
        <v>315.00000000000011</v>
      </c>
      <c r="CU106" s="18">
        <f>CT106*VLOOKUP('Données projet'!$B$13,Paramètres!$A$1:$I$89,3,0)*VLOOKUP('Données projet'!$B$13,Paramètres!$A$1:$I$89,5,0)</f>
        <v>304.66800000000012</v>
      </c>
      <c r="CV106" s="14">
        <f t="shared" si="95"/>
        <v>72.154174460006061</v>
      </c>
      <c r="CW106" s="22">
        <f t="shared" si="67"/>
        <v>656.29862051784403</v>
      </c>
      <c r="CX106" s="60">
        <f t="shared" si="68"/>
        <v>949.63195385117729</v>
      </c>
      <c r="CY106" s="60">
        <f ca="1">AVERAGE(OFFSET($CX$3,0,0,'Données projet'!$E$13+1,1))-AVERAGE(OFFSET($H$3,0,0,'Données projet'!$E$13+1,1))</f>
        <v>293.44206058086951</v>
      </c>
      <c r="CZ106" s="60">
        <f t="shared" si="96"/>
        <v>182.15909509186827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5.5</v>
      </c>
      <c r="DO106" s="13">
        <f>IF('Données projet'!$A$166&gt;35,DO105+DN106-DW105,IF(A106&lt;'Données projet'!$A$166,$DL$205^A106,IF(A106='Données projet'!$A$166,'Données projet'!$B$166,DO105+DN106-DW105)))</f>
        <v>315.00000000000011</v>
      </c>
      <c r="DP106" s="18">
        <f>DO106*VLOOKUP('Données projet'!$B$14,Paramètres!$A$1:$I$89,3,0)*VLOOKUP('Données projet'!$B$14,Paramètres!$A$1:$I$89,5,0)</f>
        <v>339.06600000000009</v>
      </c>
      <c r="DQ106" s="14">
        <f t="shared" si="97"/>
        <v>79.30694522486489</v>
      </c>
      <c r="DR106" s="22">
        <f t="shared" si="70"/>
        <v>728.66621293330638</v>
      </c>
      <c r="DS106" s="60">
        <f t="shared" si="71"/>
        <v>1021.9995462666398</v>
      </c>
      <c r="DT106" s="60">
        <f ca="1">AVERAGE(OFFSET($DS$3,0,0,'Données projet'!$E$14+1,1))-AVERAGE(OFFSET($H$3,0,0,'Données projet'!$E$14+1,1))</f>
        <v>338.92444234934266</v>
      </c>
      <c r="DU106" s="60">
        <f t="shared" si="98"/>
        <v>208.91548891910895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6.5</v>
      </c>
      <c r="EJ106" s="13">
        <f>IF('Données projet'!$A$192&gt;35,EJ105+EI106-ER105,IF(A106&lt;'Données projet'!$A$192,$EG$205^A106,IF(A106='Données projet'!$A$192,'Données projet'!$B$192,EJ105+EI106-ER105)))</f>
        <v>394.49999999999966</v>
      </c>
      <c r="EK106" s="18">
        <f>EJ106*VLOOKUP('Données projet'!$B$15,Paramètres!$A$1:$I$89,3,0)*VLOOKUP('Données projet'!$B$15,Paramètres!$A$1:$I$89,5,0)</f>
        <v>320.0183999999997</v>
      </c>
      <c r="EL106" s="14">
        <f t="shared" si="99"/>
        <v>75.357182127856873</v>
      </c>
      <c r="EM106" s="22">
        <f t="shared" si="73"/>
        <v>688.61247220601672</v>
      </c>
      <c r="EN106" s="60">
        <f t="shared" si="74"/>
        <v>981.94580553934998</v>
      </c>
      <c r="EO106" s="60">
        <f ca="1">AVERAGE(OFFSET($EN$3,0,0,'Données projet'!$E$15+1,1))-AVERAGE(OFFSET($H$3,0,0,'Données projet'!$E$15+1,1))</f>
        <v>346.10839312896536</v>
      </c>
      <c r="EP106" s="60">
        <f t="shared" si="100"/>
        <v>196.24927250256087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5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8">
        <f t="shared" si="56"/>
        <v>498.22025239081199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5.5</v>
      </c>
      <c r="N107" s="14">
        <f>IF('Données projet'!$A$36&gt;35,N106+M107-V106,IF(A107&lt;'Données projet'!$A$36,$K$205^A107,IF(A107='Données projet'!$A$36,'Données projet'!$B$36,N106+M107-V106)))</f>
        <v>354.50000000000017</v>
      </c>
      <c r="O107" s="14">
        <f>N107*VLOOKUP('Données projet'!$B$9,Paramètres!$A$1:$I$89,3,0)*VLOOKUP('Données projet'!$B$9,Paramètres!$A$1:$I$89,5,0)</f>
        <v>320.75160000000017</v>
      </c>
      <c r="P107" s="14">
        <f t="shared" si="87"/>
        <v>75.509717301059425</v>
      </c>
      <c r="Q107" s="22">
        <f t="shared" si="107"/>
        <v>690.15512763267873</v>
      </c>
      <c r="R107" s="60">
        <f t="shared" si="55"/>
        <v>983.4884609660121</v>
      </c>
      <c r="S107" s="60">
        <f ca="1">AVERAGE(OFFSET($R$3,0,0,'Données projet'!$E$9+1,1))-AVERAGE(OFFSET($H$3,0,0,'Données projet'!$E$9+1,1))</f>
        <v>327.62615088747526</v>
      </c>
      <c r="T107" s="60">
        <f t="shared" si="88"/>
        <v>180.48047802041276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5.5</v>
      </c>
      <c r="AI107" s="14">
        <f>IF('Données projet'!$A$62&gt;35,AI106+AH107-AQ106,IF(A107&lt;'Données projet'!$A$62,$AF$205^A107,IF(A107='Données projet'!$A$62,'Données projet'!$B$62,AI106+AH107-AQ106)))</f>
        <v>354.50000000000017</v>
      </c>
      <c r="AJ107" s="14">
        <f>AI107*VLOOKUP('Données projet'!$B$10,Paramètres!$A$1:$I$89,3,0)*VLOOKUP('Données projet'!$B$10,Paramètres!$A$1:$I$89,5,0)</f>
        <v>298.63080000000014</v>
      </c>
      <c r="AK107" s="14">
        <f t="shared" si="89"/>
        <v>70.889350190206017</v>
      </c>
      <c r="AL107" s="22">
        <f t="shared" si="58"/>
        <v>643.58092824794232</v>
      </c>
      <c r="AM107" s="60">
        <f t="shared" si="59"/>
        <v>936.9142615812757</v>
      </c>
      <c r="AN107" s="60">
        <f ca="1">AVERAGE(OFFSET($AM$3,0,0,'Données projet'!$E$10+1,1))-AVERAGE(OFFSET($H$3,0,0,'Données projet'!$E$10+1,1))</f>
        <v>295.5242128298583</v>
      </c>
      <c r="AO107" s="60">
        <f t="shared" si="90"/>
        <v>164.21740841327744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3.5897435897435854</v>
      </c>
      <c r="BD107" s="13">
        <f>IF('Données projet'!$A$88&gt;35,BD106+BC107-BL106,IF(A107&lt;'Données projet'!$A$88,$BA$205^A107,IF(A107='Données projet'!$A$88,'Données projet'!$B$88,BD106+BC107-BL106)))</f>
        <v>272.05128205128227</v>
      </c>
      <c r="BE107" s="14">
        <f>BD107*VLOOKUP('Données projet'!$B$11,Paramètres!$A$1:$I$89,3,0)*VLOOKUP('Données projet'!$B$11,Paramètres!$A$1:$I$89,5,0)</f>
        <v>258.88400000000024</v>
      </c>
      <c r="BF107" s="14">
        <f t="shared" si="91"/>
        <v>62.48443233272873</v>
      </c>
      <c r="BG107" s="22">
        <f t="shared" si="61"/>
        <v>559.71668631283626</v>
      </c>
      <c r="BH107" s="60">
        <f t="shared" si="62"/>
        <v>853.05001964616963</v>
      </c>
      <c r="BI107" s="60">
        <f ca="1">AVERAGE(OFFSET($BH$3,0,0,'Données projet'!$E$11+1,1))-AVERAGE(OFFSET($H$3,0,0,'Données projet'!$E$11+1,1))</f>
        <v>276.19649531804959</v>
      </c>
      <c r="BJ107" s="60">
        <f t="shared" si="92"/>
        <v>253.14970964973463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1.1368683772161603E-13</v>
      </c>
      <c r="BZ107" s="14">
        <f>BY107*VLOOKUP('Données projet'!$B$12,Paramètres!$A$1:$I$89,3,0)*VLOOKUP('Données projet'!$B$12,Paramètres!$A$1:$I$89,5,0)</f>
        <v>7.4487616075202823E-14</v>
      </c>
      <c r="CA107" s="14">
        <f t="shared" si="93"/>
        <v>1.1580453144473142E-12</v>
      </c>
      <c r="CB107" s="22">
        <f t="shared" si="64"/>
        <v>2.1466615206600508E-12</v>
      </c>
      <c r="CC107" s="60">
        <f t="shared" si="65"/>
        <v>293.33333333333547</v>
      </c>
      <c r="CD107" s="60">
        <f ca="1">AVERAGE(OFFSET($CC$3,0,0,'Données projet'!$E$12+1,1))-AVERAGE(OFFSET($H$3,0,0,'Données projet'!$E$12+1,1))</f>
        <v>154.88061446835457</v>
      </c>
      <c r="CE107" s="60">
        <f t="shared" si="94"/>
        <v>201.47826692201693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0.35084071027410146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0.35084071027410146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5.5</v>
      </c>
      <c r="CT107" s="13">
        <f>IF('Données projet'!$A$140&gt;35,CT106+CS107-DB106,IF(A107&lt;'Données projet'!$A$140,$CQ$205^A107,IF(A107='Données projet'!$A$140,'Données projet'!$B$140,CT106+CS107-DB106)))</f>
        <v>320.50000000000011</v>
      </c>
      <c r="CU107" s="18">
        <f>CT107*VLOOKUP('Données projet'!$B$13,Paramètres!$A$1:$I$89,3,0)*VLOOKUP('Données projet'!$B$13,Paramètres!$A$1:$I$89,5,0)</f>
        <v>309.9876000000001</v>
      </c>
      <c r="CV107" s="14">
        <f t="shared" si="95"/>
        <v>73.266240552218449</v>
      </c>
      <c r="CW107" s="22">
        <f t="shared" si="67"/>
        <v>667.50043896178056</v>
      </c>
      <c r="CX107" s="60">
        <f t="shared" si="68"/>
        <v>960.83377229511393</v>
      </c>
      <c r="CY107" s="60">
        <f ca="1">AVERAGE(OFFSET($CX$3,0,0,'Données projet'!$E$13+1,1))-AVERAGE(OFFSET($H$3,0,0,'Données projet'!$E$13+1,1))</f>
        <v>293.44206058086951</v>
      </c>
      <c r="CZ107" s="60">
        <f t="shared" si="96"/>
        <v>182.15909509186827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5.5</v>
      </c>
      <c r="DO107" s="13">
        <f>IF('Données projet'!$A$166&gt;35,DO106+DN107-DW106,IF(A107&lt;'Données projet'!$A$166,$DL$205^A107,IF(A107='Données projet'!$A$166,'Données projet'!$B$166,DO106+DN107-DW106)))</f>
        <v>320.50000000000011</v>
      </c>
      <c r="DP107" s="18">
        <f>DO107*VLOOKUP('Données projet'!$B$14,Paramètres!$A$1:$I$89,3,0)*VLOOKUP('Données projet'!$B$14,Paramètres!$A$1:$I$89,5,0)</f>
        <v>344.98620000000011</v>
      </c>
      <c r="DQ107" s="14">
        <f t="shared" si="97"/>
        <v>80.529252393113367</v>
      </c>
      <c r="DR107" s="22">
        <f t="shared" si="70"/>
        <v>741.10607958467256</v>
      </c>
      <c r="DS107" s="60">
        <f t="shared" si="71"/>
        <v>1034.4394129180059</v>
      </c>
      <c r="DT107" s="60">
        <f ca="1">AVERAGE(OFFSET($DS$3,0,0,'Données projet'!$E$14+1,1))-AVERAGE(OFFSET($H$3,0,0,'Données projet'!$E$14+1,1))</f>
        <v>338.92444234934266</v>
      </c>
      <c r="DU107" s="60">
        <f t="shared" si="98"/>
        <v>208.91548891910895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6.5</v>
      </c>
      <c r="EJ107" s="13">
        <f>IF('Données projet'!$A$192&gt;35,EJ106+EI107-ER106,IF(A107&lt;'Données projet'!$A$192,$EG$205^A107,IF(A107='Données projet'!$A$192,'Données projet'!$B$192,EJ106+EI107-ER106)))</f>
        <v>400.99999999999966</v>
      </c>
      <c r="EK107" s="18">
        <f>EJ107*VLOOKUP('Données projet'!$B$15,Paramètres!$A$1:$I$89,3,0)*VLOOKUP('Données projet'!$B$15,Paramètres!$A$1:$I$89,5,0)</f>
        <v>325.29119999999978</v>
      </c>
      <c r="EL107" s="14">
        <f t="shared" si="99"/>
        <v>76.453237715285894</v>
      </c>
      <c r="EM107" s="22">
        <f t="shared" si="73"/>
        <v>699.70489568745597</v>
      </c>
      <c r="EN107" s="60">
        <f t="shared" si="74"/>
        <v>993.03822902078923</v>
      </c>
      <c r="EO107" s="60">
        <f ca="1">AVERAGE(OFFSET($EN$3,0,0,'Données projet'!$E$15+1,1))-AVERAGE(OFFSET($H$3,0,0,'Données projet'!$E$15+1,1))</f>
        <v>346.10839312896536</v>
      </c>
      <c r="EP107" s="60">
        <f t="shared" si="100"/>
        <v>196.24927250256087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5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8">
        <f t="shared" si="56"/>
        <v>500.14106307332992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360</v>
      </c>
      <c r="L108" s="13">
        <f>VLOOKUP(A108,'Données projet'!$A$35:$I$55,9,0)</f>
        <v>5.5</v>
      </c>
      <c r="M108" s="13">
        <f t="array" ref="M108">INDEX(L:L,MIN(IF(ISNUMBER(L108:L304),ROW(L108:L304),"")))</f>
        <v>5.5</v>
      </c>
      <c r="N108" s="14">
        <f>IF('Données projet'!$A$36&gt;35,N107+M108-V107,IF(A108&lt;'Données projet'!$A$36,$K$205^A108,IF(A108='Données projet'!$A$36,'Données projet'!$B$36,N107+M108-V107)))</f>
        <v>360.00000000000017</v>
      </c>
      <c r="O108" s="14">
        <f>N108*VLOOKUP('Données projet'!$B$9,Paramètres!$A$1:$I$89,3,0)*VLOOKUP('Données projet'!$B$9,Paramètres!$A$1:$I$89,5,0)</f>
        <v>325.72800000000018</v>
      </c>
      <c r="P108" s="14">
        <f t="shared" si="87"/>
        <v>76.543942036894109</v>
      </c>
      <c r="Q108" s="22">
        <f t="shared" si="107"/>
        <v>700.62363238092428</v>
      </c>
      <c r="R108" s="60">
        <f t="shared" si="55"/>
        <v>993.95696571425765</v>
      </c>
      <c r="S108" s="60">
        <f ca="1">AVERAGE(OFFSET($R$3,0,0,'Données projet'!$E$9+1,1))-AVERAGE(OFFSET($H$3,0,0,'Données projet'!$E$9+1,1))</f>
        <v>327.62615088747526</v>
      </c>
      <c r="T108" s="60">
        <f t="shared" si="88"/>
        <v>180.48047802041276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53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360</v>
      </c>
      <c r="AG108" s="13">
        <f>VLOOKUP(A108,'Données projet'!$A$61:$I$81,9,0)</f>
        <v>5.5</v>
      </c>
      <c r="AH108" s="13">
        <f t="array" ref="AH108">INDEX(AG:AG,MIN(IF(ISNUMBER(AG108:AG304),ROW(AG108:AG304),"")))</f>
        <v>5.5</v>
      </c>
      <c r="AI108" s="14">
        <f>IF('Données projet'!$A$62&gt;35,AI107+AH108-AQ107,IF(A108&lt;'Données projet'!$A$62,$AF$205^A108,IF(A108='Données projet'!$A$62,'Données projet'!$B$62,AI107+AH108-AQ107)))</f>
        <v>360.00000000000017</v>
      </c>
      <c r="AJ108" s="14">
        <f>AI108*VLOOKUP('Données projet'!$B$10,Paramètres!$A$1:$I$89,3,0)*VLOOKUP('Données projet'!$B$10,Paramètres!$A$1:$I$89,5,0)</f>
        <v>303.26400000000018</v>
      </c>
      <c r="AK108" s="14">
        <f t="shared" si="89"/>
        <v>71.860291707330859</v>
      </c>
      <c r="AL108" s="22">
        <f t="shared" si="58"/>
        <v>653.34147472360155</v>
      </c>
      <c r="AM108" s="60">
        <f t="shared" si="59"/>
        <v>946.67480805693481</v>
      </c>
      <c r="AN108" s="60">
        <f ca="1">AVERAGE(OFFSET($AM$3,0,0,'Données projet'!$E$10+1,1))-AVERAGE(OFFSET($H$3,0,0,'Données projet'!$E$10+1,1))</f>
        <v>295.5242128298583</v>
      </c>
      <c r="AO108" s="60">
        <f t="shared" si="90"/>
        <v>164.21740841327744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53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3.5897435897435854</v>
      </c>
      <c r="BD108" s="13">
        <f>IF('Données projet'!$A$88&gt;35,BD107+BC108-BL107,IF(A108&lt;'Données projet'!$A$88,$BA$205^A108,IF(A108='Données projet'!$A$88,'Données projet'!$B$88,BD107+BC108-BL107)))</f>
        <v>275.64102564102586</v>
      </c>
      <c r="BE108" s="14">
        <f>BD108*VLOOKUP('Données projet'!$B$11,Paramètres!$A$1:$I$89,3,0)*VLOOKUP('Données projet'!$B$11,Paramètres!$A$1:$I$89,5,0)</f>
        <v>262.30000000000024</v>
      </c>
      <c r="BF108" s="14">
        <f t="shared" si="91"/>
        <v>63.212393426010266</v>
      </c>
      <c r="BG108" s="22">
        <f t="shared" si="61"/>
        <v>566.93408521696813</v>
      </c>
      <c r="BH108" s="60">
        <f t="shared" si="62"/>
        <v>860.2674185503015</v>
      </c>
      <c r="BI108" s="60">
        <f ca="1">AVERAGE(OFFSET($BH$3,0,0,'Données projet'!$E$11+1,1))-AVERAGE(OFFSET($H$3,0,0,'Données projet'!$E$11+1,1))</f>
        <v>276.19649531804959</v>
      </c>
      <c r="BJ108" s="60">
        <f t="shared" si="92"/>
        <v>253.14970964973463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1.1368683772161603E-13</v>
      </c>
      <c r="BZ108" s="14">
        <f>BY108*VLOOKUP('Données projet'!$B$12,Paramètres!$A$1:$I$89,3,0)*VLOOKUP('Données projet'!$B$12,Paramètres!$A$1:$I$89,5,0)</f>
        <v>7.4487616075202823E-14</v>
      </c>
      <c r="CA108" s="14">
        <f t="shared" si="93"/>
        <v>1.1580453144473142E-12</v>
      </c>
      <c r="CB108" s="22">
        <f t="shared" si="64"/>
        <v>2.1466615206600508E-12</v>
      </c>
      <c r="CC108" s="60">
        <f t="shared" si="65"/>
        <v>293.33333333333547</v>
      </c>
      <c r="CD108" s="60">
        <f ca="1">AVERAGE(OFFSET($CC$3,0,0,'Données projet'!$E$12+1,1))-AVERAGE(OFFSET($H$3,0,0,'Données projet'!$E$12+1,1))</f>
        <v>154.88061446835457</v>
      </c>
      <c r="CE108" s="60">
        <f t="shared" si="94"/>
        <v>201.47826692201693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0.34124695260174509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0.34124695260174509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326</v>
      </c>
      <c r="CR108" s="13">
        <f>VLOOKUP(A108,'Données projet'!$A$139:$I$159,9,0)</f>
        <v>5.5</v>
      </c>
      <c r="CS108" s="13">
        <f t="array" ref="CS108">INDEX(CR:CR,MIN(IF(ISNUMBER(CR108:CR304),ROW(CR108:CR304),"")))</f>
        <v>5.5</v>
      </c>
      <c r="CT108" s="13">
        <f>IF('Données projet'!$A$140&gt;35,CT107+CS108-DB107,IF(A108&lt;'Données projet'!$A$140,$CQ$205^A108,IF(A108='Données projet'!$A$140,'Données projet'!$B$140,CT107+CS108-DB107)))</f>
        <v>326.00000000000011</v>
      </c>
      <c r="CU108" s="18">
        <f>CT108*VLOOKUP('Données projet'!$B$13,Paramètres!$A$1:$I$89,3,0)*VLOOKUP('Données projet'!$B$13,Paramètres!$A$1:$I$89,5,0)</f>
        <v>315.30720000000008</v>
      </c>
      <c r="CV108" s="14">
        <f t="shared" si="95"/>
        <v>74.376087390025049</v>
      </c>
      <c r="CW108" s="22">
        <f t="shared" si="67"/>
        <v>678.69839220429378</v>
      </c>
      <c r="CX108" s="60">
        <f t="shared" si="68"/>
        <v>972.03172553762715</v>
      </c>
      <c r="CY108" s="60">
        <f ca="1">AVERAGE(OFFSET($CX$3,0,0,'Données projet'!$E$13+1,1))-AVERAGE(OFFSET($H$3,0,0,'Données projet'!$E$13+1,1))</f>
        <v>293.44206058086951</v>
      </c>
      <c r="CZ108" s="60">
        <f t="shared" si="96"/>
        <v>182.15909509186827</v>
      </c>
      <c r="DA108" s="16">
        <f>IF(ISNA(VLOOKUP(A108,'Données projet'!$A$139:$I$159,3,0)),0,VLOOKUP(A108,'Données projet'!$A$139:$I$159,3,0))</f>
        <v>9</v>
      </c>
      <c r="DB108" s="16">
        <f>IF(ISNA(VLOOKUP(A108,'Données projet'!$A$139:$I$159,4,0)),0,VLOOKUP(A108,'Données projet'!$A$139:$I$159,4,0))</f>
        <v>41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326</v>
      </c>
      <c r="DM108" s="13">
        <f>VLOOKUP(A108,'Données projet'!$A$165:$I$185,9,0)</f>
        <v>5.5</v>
      </c>
      <c r="DN108" s="13">
        <f t="array" ref="DN108">INDEX(DM:DM,MIN(IF(ISNUMBER(DM108:DM304),ROW(DM108:DM304),"")))</f>
        <v>5.5</v>
      </c>
      <c r="DO108" s="13">
        <f>IF('Données projet'!$A$166&gt;35,DO107+DN108-DW107,IF(A108&lt;'Données projet'!$A$166,$DL$205^A108,IF(A108='Données projet'!$A$166,'Données projet'!$B$166,DO107+DN108-DW107)))</f>
        <v>326.00000000000011</v>
      </c>
      <c r="DP108" s="18">
        <f>DO108*VLOOKUP('Données projet'!$B$14,Paramètres!$A$1:$I$89,3,0)*VLOOKUP('Données projet'!$B$14,Paramètres!$A$1:$I$89,5,0)</f>
        <v>350.90640000000008</v>
      </c>
      <c r="DQ108" s="14">
        <f t="shared" si="97"/>
        <v>81.749120308346747</v>
      </c>
      <c r="DR108" s="22">
        <f t="shared" si="70"/>
        <v>753.54169787037063</v>
      </c>
      <c r="DS108" s="60">
        <f t="shared" si="71"/>
        <v>1046.8750312037039</v>
      </c>
      <c r="DT108" s="60">
        <f ca="1">AVERAGE(OFFSET($DS$3,0,0,'Données projet'!$E$14+1,1))-AVERAGE(OFFSET($H$3,0,0,'Données projet'!$E$14+1,1))</f>
        <v>338.92444234934266</v>
      </c>
      <c r="DU108" s="60">
        <f t="shared" si="98"/>
        <v>208.91548891910895</v>
      </c>
      <c r="DV108" s="16">
        <f>IF(ISNA(VLOOKUP(A108,'Données projet'!$A$165:$I$185,3,0)),0,VLOOKUP(A108,'Données projet'!$A$165:$I$185,3,0))</f>
        <v>9</v>
      </c>
      <c r="DW108" s="16">
        <f>IF(ISNA(VLOOKUP(A108,'Données projet'!$A$165:$I$185,4,0)),0,VLOOKUP(A108,'Données projet'!$A$165:$I$185,4,0))</f>
        <v>41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6.5</v>
      </c>
      <c r="EJ108" s="13">
        <f>IF('Données projet'!$A$192&gt;35,EJ107+EI108-ER107,IF(A108&lt;'Données projet'!$A$192,$EG$205^A108,IF(A108='Données projet'!$A$192,'Données projet'!$B$192,EJ107+EI108-ER107)))</f>
        <v>407.49999999999966</v>
      </c>
      <c r="EK108" s="18">
        <f>EJ108*VLOOKUP('Données projet'!$B$15,Paramètres!$A$1:$I$89,3,0)*VLOOKUP('Données projet'!$B$15,Paramètres!$A$1:$I$89,5,0)</f>
        <v>330.56399999999974</v>
      </c>
      <c r="EL108" s="14">
        <f t="shared" si="99"/>
        <v>77.547227137682782</v>
      </c>
      <c r="EM108" s="22">
        <f t="shared" si="73"/>
        <v>710.79372059813034</v>
      </c>
      <c r="EN108" s="60">
        <f t="shared" si="74"/>
        <v>1004.1270539314637</v>
      </c>
      <c r="EO108" s="60">
        <f ca="1">AVERAGE(OFFSET($EN$3,0,0,'Données projet'!$E$15+1,1))-AVERAGE(OFFSET($H$3,0,0,'Données projet'!$E$15+1,1))</f>
        <v>346.10839312896536</v>
      </c>
      <c r="EP108" s="60">
        <f t="shared" si="100"/>
        <v>196.24927250256087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5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8">
        <f t="shared" si="56"/>
        <v>502.06146145546995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4.9000000000000004</v>
      </c>
      <c r="N109" s="14">
        <f>IF('Données projet'!$A$36&gt;35,N108+M109-V108,IF(A109&lt;'Données projet'!$A$36,$K$205^A109,IF(A109='Données projet'!$A$36,'Données projet'!$B$36,N108+M109-V108)))</f>
        <v>311.90000000000015</v>
      </c>
      <c r="O109" s="14">
        <f>N109*VLOOKUP('Données projet'!$B$9,Paramètres!$A$1:$I$89,3,0)*VLOOKUP('Données projet'!$B$9,Paramètres!$A$1:$I$89,5,0)</f>
        <v>282.20712000000015</v>
      </c>
      <c r="P109" s="14">
        <f t="shared" si="87"/>
        <v>67.433223428275326</v>
      </c>
      <c r="Q109" s="22">
        <f t="shared" si="107"/>
        <v>608.95693147091299</v>
      </c>
      <c r="R109" s="60">
        <f t="shared" si="55"/>
        <v>902.29026480424636</v>
      </c>
      <c r="S109" s="60">
        <f ca="1">AVERAGE(OFFSET($R$3,0,0,'Données projet'!$E$9+1,1))-AVERAGE(OFFSET($H$3,0,0,'Données projet'!$E$9+1,1))</f>
        <v>327.62615088747526</v>
      </c>
      <c r="T109" s="60">
        <f t="shared" si="88"/>
        <v>180.48047802041276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4.9000000000000004</v>
      </c>
      <c r="AI109" s="14">
        <f>IF('Données projet'!$A$62&gt;35,AI108+AH109-AQ108,IF(A109&lt;'Données projet'!$A$62,$AF$205^A109,IF(A109='Données projet'!$A$62,'Données projet'!$B$62,AI108+AH109-AQ108)))</f>
        <v>311.90000000000015</v>
      </c>
      <c r="AJ109" s="14">
        <f>AI109*VLOOKUP('Données projet'!$B$10,Paramètres!$A$1:$I$89,3,0)*VLOOKUP('Données projet'!$B$10,Paramètres!$A$1:$I$89,5,0)</f>
        <v>262.74456000000015</v>
      </c>
      <c r="AK109" s="14">
        <f t="shared" si="89"/>
        <v>63.307049223906304</v>
      </c>
      <c r="AL109" s="22">
        <f t="shared" si="58"/>
        <v>567.8732193983036</v>
      </c>
      <c r="AM109" s="60">
        <f t="shared" si="59"/>
        <v>861.20655273163698</v>
      </c>
      <c r="AN109" s="60">
        <f ca="1">AVERAGE(OFFSET($AM$3,0,0,'Données projet'!$E$10+1,1))-AVERAGE(OFFSET($H$3,0,0,'Données projet'!$E$10+1,1))</f>
        <v>295.5242128298583</v>
      </c>
      <c r="AO109" s="60">
        <f t="shared" si="90"/>
        <v>164.21740841327744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3.5897435897435854</v>
      </c>
      <c r="BD109" s="13">
        <f>IF('Données projet'!$A$88&gt;35,BD108+BC109-BL108,IF(A109&lt;'Données projet'!$A$88,$BA$205^A109,IF(A109='Données projet'!$A$88,'Données projet'!$B$88,BD108+BC109-BL108)))</f>
        <v>279.23076923076945</v>
      </c>
      <c r="BE109" s="14">
        <f>BD109*VLOOKUP('Données projet'!$B$11,Paramètres!$A$1:$I$89,3,0)*VLOOKUP('Données projet'!$B$11,Paramètres!$A$1:$I$89,5,0)</f>
        <v>265.71600000000024</v>
      </c>
      <c r="BF109" s="14">
        <f t="shared" si="91"/>
        <v>63.939251801025335</v>
      </c>
      <c r="BG109" s="22">
        <f t="shared" si="61"/>
        <v>574.14956355345282</v>
      </c>
      <c r="BH109" s="60">
        <f t="shared" si="62"/>
        <v>867.48289688678619</v>
      </c>
      <c r="BI109" s="60">
        <f ca="1">AVERAGE(OFFSET($BH$3,0,0,'Données projet'!$E$11+1,1))-AVERAGE(OFFSET($H$3,0,0,'Données projet'!$E$11+1,1))</f>
        <v>276.19649531804959</v>
      </c>
      <c r="BJ109" s="60">
        <f t="shared" si="92"/>
        <v>253.14970964973463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1.1368683772161603E-13</v>
      </c>
      <c r="BZ109" s="14">
        <f>BY109*VLOOKUP('Données projet'!$B$12,Paramètres!$A$1:$I$89,3,0)*VLOOKUP('Données projet'!$B$12,Paramètres!$A$1:$I$89,5,0)</f>
        <v>7.4487616075202823E-14</v>
      </c>
      <c r="CA109" s="14">
        <f t="shared" si="93"/>
        <v>1.1580453144473142E-12</v>
      </c>
      <c r="CB109" s="22">
        <f t="shared" si="64"/>
        <v>2.1466615206600508E-12</v>
      </c>
      <c r="CC109" s="60">
        <f t="shared" si="65"/>
        <v>293.33333333333547</v>
      </c>
      <c r="CD109" s="60">
        <f ca="1">AVERAGE(OFFSET($CC$3,0,0,'Données projet'!$E$12+1,1))-AVERAGE(OFFSET($H$3,0,0,'Données projet'!$E$12+1,1))</f>
        <v>154.88061446835457</v>
      </c>
      <c r="CE109" s="60">
        <f t="shared" si="94"/>
        <v>201.47826692201693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0.33191553673745305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0.33191553673745305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5</v>
      </c>
      <c r="CT109" s="13">
        <f>IF('Données projet'!$A$140&gt;35,CT108+CS109-DB108,IF(A109&lt;'Données projet'!$A$140,$CQ$205^A109,IF(A109='Données projet'!$A$140,'Données projet'!$B$140,CT108+CS109-DB108)))</f>
        <v>290.00000000000011</v>
      </c>
      <c r="CU109" s="18">
        <f>CT109*VLOOKUP('Données projet'!$B$13,Paramètres!$A$1:$I$89,3,0)*VLOOKUP('Données projet'!$B$13,Paramètres!$A$1:$I$89,5,0)</f>
        <v>280.48800000000011</v>
      </c>
      <c r="CV109" s="14">
        <f t="shared" si="95"/>
        <v>67.070126855467564</v>
      </c>
      <c r="CW109" s="22">
        <f t="shared" si="67"/>
        <v>605.33040427327285</v>
      </c>
      <c r="CX109" s="60">
        <f t="shared" si="68"/>
        <v>898.66373760660622</v>
      </c>
      <c r="CY109" s="60">
        <f ca="1">AVERAGE(OFFSET($CX$3,0,0,'Données projet'!$E$13+1,1))-AVERAGE(OFFSET($H$3,0,0,'Données projet'!$E$13+1,1))</f>
        <v>293.44206058086951</v>
      </c>
      <c r="CZ109" s="60">
        <f t="shared" si="96"/>
        <v>182.15909509186827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5</v>
      </c>
      <c r="DO109" s="13">
        <f>IF('Données projet'!$A$166&gt;35,DO108+DN109-DW108,IF(A109&lt;'Données projet'!$A$166,$DL$205^A109,IF(A109='Données projet'!$A$166,'Données projet'!$B$166,DO108+DN109-DW108)))</f>
        <v>290.00000000000011</v>
      </c>
      <c r="DP109" s="18">
        <f>DO109*VLOOKUP('Données projet'!$B$14,Paramètres!$A$1:$I$89,3,0)*VLOOKUP('Données projet'!$B$14,Paramètres!$A$1:$I$89,5,0)</f>
        <v>312.15600000000006</v>
      </c>
      <c r="DQ109" s="14">
        <f t="shared" si="97"/>
        <v>73.718907001002549</v>
      </c>
      <c r="DR109" s="22">
        <f t="shared" si="70"/>
        <v>672.06546302674622</v>
      </c>
      <c r="DS109" s="60">
        <f t="shared" si="71"/>
        <v>965.39879636007959</v>
      </c>
      <c r="DT109" s="60">
        <f ca="1">AVERAGE(OFFSET($DS$3,0,0,'Données projet'!$E$14+1,1))-AVERAGE(OFFSET($H$3,0,0,'Données projet'!$E$14+1,1))</f>
        <v>338.92444234934266</v>
      </c>
      <c r="DU109" s="60">
        <f t="shared" si="98"/>
        <v>208.91548891910895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6.5</v>
      </c>
      <c r="EJ109" s="13">
        <f>IF('Données projet'!$A$192&gt;35,EJ108+EI109-ER108,IF(A109&lt;'Données projet'!$A$192,$EG$205^A109,IF(A109='Données projet'!$A$192,'Données projet'!$B$192,EJ108+EI109-ER108)))</f>
        <v>413.99999999999966</v>
      </c>
      <c r="EK109" s="18">
        <f>EJ109*VLOOKUP('Données projet'!$B$15,Paramètres!$A$1:$I$89,3,0)*VLOOKUP('Données projet'!$B$15,Paramètres!$A$1:$I$89,5,0)</f>
        <v>335.83679999999976</v>
      </c>
      <c r="EL109" s="14">
        <f t="shared" si="99"/>
        <v>78.639187157507692</v>
      </c>
      <c r="EM109" s="22">
        <f t="shared" si="73"/>
        <v>721.87901096599217</v>
      </c>
      <c r="EN109" s="60">
        <f t="shared" si="74"/>
        <v>1015.2123442993254</v>
      </c>
      <c r="EO109" s="60">
        <f ca="1">AVERAGE(OFFSET($EN$3,0,0,'Données projet'!$E$15+1,1))-AVERAGE(OFFSET($H$3,0,0,'Données projet'!$E$15+1,1))</f>
        <v>346.10839312896536</v>
      </c>
      <c r="EP109" s="60">
        <f t="shared" si="100"/>
        <v>196.24927250256087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5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8">
        <f t="shared" si="56"/>
        <v>503.98145187735673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4.9000000000000004</v>
      </c>
      <c r="N110" s="14">
        <f>IF('Données projet'!$A$36&gt;35,N109+M110-V109,IF(A110&lt;'Données projet'!$A$36,$K$205^A110,IF(A110='Données projet'!$A$36,'Données projet'!$B$36,N109+M110-V109)))</f>
        <v>316.80000000000013</v>
      </c>
      <c r="O110" s="14">
        <f>N110*VLOOKUP('Données projet'!$B$9,Paramètres!$A$1:$I$89,3,0)*VLOOKUP('Données projet'!$B$9,Paramètres!$A$1:$I$89,5,0)</f>
        <v>286.64064000000008</v>
      </c>
      <c r="P110" s="14">
        <f t="shared" si="87"/>
        <v>68.368446832003599</v>
      </c>
      <c r="Q110" s="22">
        <f t="shared" si="107"/>
        <v>618.30749289907305</v>
      </c>
      <c r="R110" s="60">
        <f t="shared" si="55"/>
        <v>911.64082623240643</v>
      </c>
      <c r="S110" s="60">
        <f ca="1">AVERAGE(OFFSET($R$3,0,0,'Données projet'!$E$9+1,1))-AVERAGE(OFFSET($H$3,0,0,'Données projet'!$E$9+1,1))</f>
        <v>327.62615088747526</v>
      </c>
      <c r="T110" s="60">
        <f t="shared" si="88"/>
        <v>180.48047802041276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4.9000000000000004</v>
      </c>
      <c r="AI110" s="14">
        <f>IF('Données projet'!$A$62&gt;35,AI109+AH110-AQ109,IF(A110&lt;'Données projet'!$A$62,$AF$205^A110,IF(A110='Données projet'!$A$62,'Données projet'!$B$62,AI109+AH110-AQ109)))</f>
        <v>316.80000000000013</v>
      </c>
      <c r="AJ110" s="14">
        <f>AI110*VLOOKUP('Données projet'!$B$10,Paramètres!$A$1:$I$89,3,0)*VLOOKUP('Données projet'!$B$10,Paramètres!$A$1:$I$89,5,0)</f>
        <v>266.87232000000017</v>
      </c>
      <c r="AK110" s="14">
        <f t="shared" si="89"/>
        <v>64.185047205393118</v>
      </c>
      <c r="AL110" s="22">
        <f t="shared" si="58"/>
        <v>576.59158121606004</v>
      </c>
      <c r="AM110" s="60">
        <f t="shared" si="59"/>
        <v>869.92491454939341</v>
      </c>
      <c r="AN110" s="60">
        <f ca="1">AVERAGE(OFFSET($AM$3,0,0,'Données projet'!$E$10+1,1))-AVERAGE(OFFSET($H$3,0,0,'Données projet'!$E$10+1,1))</f>
        <v>295.5242128298583</v>
      </c>
      <c r="AO110" s="60">
        <f t="shared" si="90"/>
        <v>164.21740841327744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3.5897435897435854</v>
      </c>
      <c r="BD110" s="13">
        <f>IF('Données projet'!$A$88&gt;35,BD109+BC110-BL109,IF(A110&lt;'Données projet'!$A$88,$BA$205^A110,IF(A110='Données projet'!$A$88,'Données projet'!$B$88,BD109+BC110-BL109)))</f>
        <v>282.82051282051304</v>
      </c>
      <c r="BE110" s="14">
        <f>BD110*VLOOKUP('Données projet'!$B$11,Paramètres!$A$1:$I$89,3,0)*VLOOKUP('Données projet'!$B$11,Paramètres!$A$1:$I$89,5,0)</f>
        <v>269.13200000000023</v>
      </c>
      <c r="BF110" s="14">
        <f t="shared" si="91"/>
        <v>64.665023273302722</v>
      </c>
      <c r="BG110" s="22">
        <f t="shared" si="61"/>
        <v>581.36314886766934</v>
      </c>
      <c r="BH110" s="60">
        <f t="shared" si="62"/>
        <v>874.69648220100271</v>
      </c>
      <c r="BI110" s="60">
        <f ca="1">AVERAGE(OFFSET($BH$3,0,0,'Données projet'!$E$11+1,1))-AVERAGE(OFFSET($H$3,0,0,'Données projet'!$E$11+1,1))</f>
        <v>276.19649531804959</v>
      </c>
      <c r="BJ110" s="60">
        <f t="shared" si="92"/>
        <v>253.14970964973463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1.1368683772161603E-13</v>
      </c>
      <c r="BZ110" s="14">
        <f>BY110*VLOOKUP('Données projet'!$B$12,Paramètres!$A$1:$I$89,3,0)*VLOOKUP('Données projet'!$B$12,Paramètres!$A$1:$I$89,5,0)</f>
        <v>7.4487616075202823E-14</v>
      </c>
      <c r="CA110" s="14">
        <f t="shared" si="93"/>
        <v>1.1580453144473142E-12</v>
      </c>
      <c r="CB110" s="22">
        <f t="shared" si="64"/>
        <v>2.1466615206600508E-12</v>
      </c>
      <c r="CC110" s="60">
        <f t="shared" si="65"/>
        <v>293.33333333333547</v>
      </c>
      <c r="CD110" s="60">
        <f ca="1">AVERAGE(OFFSET($CC$3,0,0,'Données projet'!$E$12+1,1))-AVERAGE(OFFSET($H$3,0,0,'Données projet'!$E$12+1,1))</f>
        <v>154.88061446835457</v>
      </c>
      <c r="CE110" s="60">
        <f t="shared" si="94"/>
        <v>201.47826692201693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0.32283928893068792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0.32283928893068792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5</v>
      </c>
      <c r="CT110" s="13">
        <f>IF('Données projet'!$A$140&gt;35,CT109+CS110-DB109,IF(A110&lt;'Données projet'!$A$140,$CQ$205^A110,IF(A110='Données projet'!$A$140,'Données projet'!$B$140,CT109+CS110-DB109)))</f>
        <v>295.00000000000011</v>
      </c>
      <c r="CU110" s="18">
        <f>CT110*VLOOKUP('Données projet'!$B$13,Paramètres!$A$1:$I$89,3,0)*VLOOKUP('Données projet'!$B$13,Paramètres!$A$1:$I$89,5,0)</f>
        <v>285.32400000000013</v>
      </c>
      <c r="CV110" s="14">
        <f t="shared" si="95"/>
        <v>68.09088676365819</v>
      </c>
      <c r="CW110" s="22">
        <f t="shared" si="67"/>
        <v>615.53092778003827</v>
      </c>
      <c r="CX110" s="60">
        <f t="shared" si="68"/>
        <v>908.86426111337164</v>
      </c>
      <c r="CY110" s="60">
        <f ca="1">AVERAGE(OFFSET($CX$3,0,0,'Données projet'!$E$13+1,1))-AVERAGE(OFFSET($H$3,0,0,'Données projet'!$E$13+1,1))</f>
        <v>293.44206058086951</v>
      </c>
      <c r="CZ110" s="60">
        <f t="shared" si="96"/>
        <v>182.15909509186827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5</v>
      </c>
      <c r="DO110" s="13">
        <f>IF('Données projet'!$A$166&gt;35,DO109+DN110-DW109,IF(A110&lt;'Données projet'!$A$166,$DL$205^A110,IF(A110='Données projet'!$A$166,'Données projet'!$B$166,DO109+DN110-DW109)))</f>
        <v>295.00000000000011</v>
      </c>
      <c r="DP110" s="18">
        <f>DO110*VLOOKUP('Données projet'!$B$14,Paramètres!$A$1:$I$89,3,0)*VLOOKUP('Données projet'!$B$14,Paramètres!$A$1:$I$89,5,0)</f>
        <v>317.53800000000012</v>
      </c>
      <c r="DQ110" s="14">
        <f t="shared" si="97"/>
        <v>74.840856641927189</v>
      </c>
      <c r="DR110" s="22">
        <f t="shared" si="70"/>
        <v>683.39317531802351</v>
      </c>
      <c r="DS110" s="60">
        <f t="shared" si="71"/>
        <v>976.72650865135688</v>
      </c>
      <c r="DT110" s="60">
        <f ca="1">AVERAGE(OFFSET($DS$3,0,0,'Données projet'!$E$14+1,1))-AVERAGE(OFFSET($H$3,0,0,'Données projet'!$E$14+1,1))</f>
        <v>338.92444234934266</v>
      </c>
      <c r="DU110" s="60">
        <f t="shared" si="98"/>
        <v>208.91548891910895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6.5</v>
      </c>
      <c r="EJ110" s="13">
        <f>IF('Données projet'!$A$192&gt;35,EJ109+EI110-ER109,IF(A110&lt;'Données projet'!$A$192,$EG$205^A110,IF(A110='Données projet'!$A$192,'Données projet'!$B$192,EJ109+EI110-ER109)))</f>
        <v>420.49999999999966</v>
      </c>
      <c r="EK110" s="18">
        <f>EJ110*VLOOKUP('Données projet'!$B$15,Paramètres!$A$1:$I$89,3,0)*VLOOKUP('Données projet'!$B$15,Paramètres!$A$1:$I$89,5,0)</f>
        <v>341.10959999999972</v>
      </c>
      <c r="EL110" s="14">
        <f t="shared" si="99"/>
        <v>79.729153316624988</v>
      </c>
      <c r="EM110" s="22">
        <f t="shared" si="73"/>
        <v>732.96082869312124</v>
      </c>
      <c r="EN110" s="60">
        <f t="shared" si="74"/>
        <v>1026.2941620264546</v>
      </c>
      <c r="EO110" s="60">
        <f ca="1">AVERAGE(OFFSET($EN$3,0,0,'Données projet'!$E$15+1,1))-AVERAGE(OFFSET($H$3,0,0,'Données projet'!$E$15+1,1))</f>
        <v>346.10839312896536</v>
      </c>
      <c r="EP110" s="60">
        <f t="shared" si="100"/>
        <v>196.24927250256087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5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8">
        <f t="shared" si="56"/>
        <v>505.90103859331265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4.9000000000000004</v>
      </c>
      <c r="N111" s="14">
        <f>IF('Données projet'!$A$36&gt;35,N110+M111-V110,IF(A111&lt;'Données projet'!$A$36,$K$205^A111,IF(A111='Données projet'!$A$36,'Données projet'!$B$36,N110+M111-V110)))</f>
        <v>321.7000000000001</v>
      </c>
      <c r="O111" s="14">
        <f>N111*VLOOKUP('Données projet'!$B$9,Paramètres!$A$1:$I$89,3,0)*VLOOKUP('Données projet'!$B$9,Paramètres!$A$1:$I$89,5,0)</f>
        <v>291.07416000000006</v>
      </c>
      <c r="P111" s="14">
        <f t="shared" si="87"/>
        <v>69.301987923222626</v>
      </c>
      <c r="Q111" s="22">
        <f t="shared" si="107"/>
        <v>627.65512429961279</v>
      </c>
      <c r="R111" s="60">
        <f t="shared" si="55"/>
        <v>920.98845763294617</v>
      </c>
      <c r="S111" s="60">
        <f ca="1">AVERAGE(OFFSET($R$3,0,0,'Données projet'!$E$9+1,1))-AVERAGE(OFFSET($H$3,0,0,'Données projet'!$E$9+1,1))</f>
        <v>327.62615088747526</v>
      </c>
      <c r="T111" s="60">
        <f t="shared" si="88"/>
        <v>180.48047802041276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4.9000000000000004</v>
      </c>
      <c r="AI111" s="14">
        <f>IF('Données projet'!$A$62&gt;35,AI110+AH111-AQ110,IF(A111&lt;'Données projet'!$A$62,$AF$205^A111,IF(A111='Données projet'!$A$62,'Données projet'!$B$62,AI110+AH111-AQ110)))</f>
        <v>321.7000000000001</v>
      </c>
      <c r="AJ111" s="14">
        <f>AI111*VLOOKUP('Données projet'!$B$10,Paramètres!$A$1:$I$89,3,0)*VLOOKUP('Données projet'!$B$10,Paramètres!$A$1:$I$89,5,0)</f>
        <v>271.00008000000014</v>
      </c>
      <c r="AK111" s="14">
        <f t="shared" si="89"/>
        <v>65.061465813458071</v>
      </c>
      <c r="AL111" s="22">
        <f t="shared" si="58"/>
        <v>585.30719229177305</v>
      </c>
      <c r="AM111" s="60">
        <f t="shared" si="59"/>
        <v>878.64052562510642</v>
      </c>
      <c r="AN111" s="60">
        <f ca="1">AVERAGE(OFFSET($AM$3,0,0,'Données projet'!$E$10+1,1))-AVERAGE(OFFSET($H$3,0,0,'Données projet'!$E$10+1,1))</f>
        <v>295.5242128298583</v>
      </c>
      <c r="AO111" s="60">
        <f t="shared" si="90"/>
        <v>164.21740841327744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3.5897435897435854</v>
      </c>
      <c r="BD111" s="13">
        <f>IF('Données projet'!$A$88&gt;35,BD110+BC111-BL110,IF(A111&lt;'Données projet'!$A$88,$BA$205^A111,IF(A111='Données projet'!$A$88,'Données projet'!$B$88,BD110+BC111-BL110)))</f>
        <v>286.41025641025664</v>
      </c>
      <c r="BE111" s="14">
        <f>BD111*VLOOKUP('Données projet'!$B$11,Paramètres!$A$1:$I$89,3,0)*VLOOKUP('Données projet'!$B$11,Paramètres!$A$1:$I$89,5,0)</f>
        <v>272.54800000000023</v>
      </c>
      <c r="BF111" s="14">
        <f t="shared" si="91"/>
        <v>65.389723233802428</v>
      </c>
      <c r="BG111" s="22">
        <f t="shared" si="61"/>
        <v>588.57486796553962</v>
      </c>
      <c r="BH111" s="60">
        <f t="shared" si="62"/>
        <v>881.90820129887288</v>
      </c>
      <c r="BI111" s="60">
        <f ca="1">AVERAGE(OFFSET($BH$3,0,0,'Données projet'!$E$11+1,1))-AVERAGE(OFFSET($H$3,0,0,'Données projet'!$E$11+1,1))</f>
        <v>276.19649531804959</v>
      </c>
      <c r="BJ111" s="60">
        <f t="shared" si="92"/>
        <v>253.14970964973463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1.1368683772161603E-13</v>
      </c>
      <c r="BZ111" s="14">
        <f>BY111*VLOOKUP('Données projet'!$B$12,Paramètres!$A$1:$I$89,3,0)*VLOOKUP('Données projet'!$B$12,Paramètres!$A$1:$I$89,5,0)</f>
        <v>7.4487616075202823E-14</v>
      </c>
      <c r="CA111" s="14">
        <f t="shared" si="93"/>
        <v>1.1580453144473142E-12</v>
      </c>
      <c r="CB111" s="22">
        <f t="shared" si="64"/>
        <v>2.1466615206600508E-12</v>
      </c>
      <c r="CC111" s="60">
        <f t="shared" si="65"/>
        <v>293.33333333333547</v>
      </c>
      <c r="CD111" s="60">
        <f ca="1">AVERAGE(OFFSET($CC$3,0,0,'Données projet'!$E$12+1,1))-AVERAGE(OFFSET($H$3,0,0,'Données projet'!$E$12+1,1))</f>
        <v>154.88061446835457</v>
      </c>
      <c r="CE111" s="60">
        <f t="shared" si="94"/>
        <v>201.47826692201693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0.31401123159749789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0.31401123159749789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5</v>
      </c>
      <c r="CT111" s="13">
        <f>IF('Données projet'!$A$140&gt;35,CT110+CS111-DB110,IF(A111&lt;'Données projet'!$A$140,$CQ$205^A111,IF(A111='Données projet'!$A$140,'Données projet'!$B$140,CT110+CS111-DB110)))</f>
        <v>300.00000000000011</v>
      </c>
      <c r="CU111" s="18">
        <f>CT111*VLOOKUP('Données projet'!$B$13,Paramètres!$A$1:$I$89,3,0)*VLOOKUP('Données projet'!$B$13,Paramètres!$A$1:$I$89,5,0)</f>
        <v>290.16000000000008</v>
      </c>
      <c r="CV111" s="14">
        <f t="shared" si="95"/>
        <v>69.109634717039938</v>
      </c>
      <c r="CW111" s="22">
        <f t="shared" si="67"/>
        <v>625.72794713217797</v>
      </c>
      <c r="CX111" s="60">
        <f t="shared" si="68"/>
        <v>919.06128046551135</v>
      </c>
      <c r="CY111" s="60">
        <f ca="1">AVERAGE(OFFSET($CX$3,0,0,'Données projet'!$E$13+1,1))-AVERAGE(OFFSET($H$3,0,0,'Données projet'!$E$13+1,1))</f>
        <v>293.44206058086951</v>
      </c>
      <c r="CZ111" s="60">
        <f t="shared" si="96"/>
        <v>182.15909509186827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5</v>
      </c>
      <c r="DO111" s="13">
        <f>IF('Données projet'!$A$166&gt;35,DO110+DN111-DW110,IF(A111&lt;'Données projet'!$A$166,$DL$205^A111,IF(A111='Données projet'!$A$166,'Données projet'!$B$166,DO110+DN111-DW110)))</f>
        <v>300.00000000000011</v>
      </c>
      <c r="DP111" s="18">
        <f>DO111*VLOOKUP('Données projet'!$B$14,Paramètres!$A$1:$I$89,3,0)*VLOOKUP('Données projet'!$B$14,Paramètres!$A$1:$I$89,5,0)</f>
        <v>322.92000000000007</v>
      </c>
      <c r="DQ111" s="14">
        <f t="shared" si="97"/>
        <v>75.960594879408745</v>
      </c>
      <c r="DR111" s="22">
        <f t="shared" si="70"/>
        <v>694.71703608163705</v>
      </c>
      <c r="DS111" s="60">
        <f t="shared" si="71"/>
        <v>988.05036941497042</v>
      </c>
      <c r="DT111" s="60">
        <f ca="1">AVERAGE(OFFSET($DS$3,0,0,'Données projet'!$E$14+1,1))-AVERAGE(OFFSET($H$3,0,0,'Données projet'!$E$14+1,1))</f>
        <v>338.92444234934266</v>
      </c>
      <c r="DU111" s="60">
        <f t="shared" si="98"/>
        <v>208.91548891910895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6.5</v>
      </c>
      <c r="EJ111" s="13">
        <f>IF('Données projet'!$A$192&gt;35,EJ110+EI111-ER110,IF(A111&lt;'Données projet'!$A$192,$EG$205^A111,IF(A111='Données projet'!$A$192,'Données projet'!$B$192,EJ110+EI111-ER110)))</f>
        <v>426.99999999999966</v>
      </c>
      <c r="EK111" s="18">
        <f>EJ111*VLOOKUP('Données projet'!$B$15,Paramètres!$A$1:$I$89,3,0)*VLOOKUP('Données projet'!$B$15,Paramètres!$A$1:$I$89,5,0)</f>
        <v>346.38239999999973</v>
      </c>
      <c r="EL111" s="14">
        <f t="shared" si="99"/>
        <v>80.8171599950592</v>
      </c>
      <c r="EM111" s="22">
        <f t="shared" si="73"/>
        <v>744.03923365806088</v>
      </c>
      <c r="EN111" s="60">
        <f t="shared" si="74"/>
        <v>1037.3725669913943</v>
      </c>
      <c r="EO111" s="60">
        <f ca="1">AVERAGE(OFFSET($EN$3,0,0,'Données projet'!$E$15+1,1))-AVERAGE(OFFSET($H$3,0,0,'Données projet'!$E$15+1,1))</f>
        <v>346.10839312896536</v>
      </c>
      <c r="EP111" s="60">
        <f t="shared" si="100"/>
        <v>196.24927250256087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5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8">
        <f t="shared" si="56"/>
        <v>507.82022577433264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4.9000000000000004</v>
      </c>
      <c r="N112" s="14">
        <f>IF('Données projet'!$A$36&gt;35,N111+M112-V111,IF(A112&lt;'Données projet'!$A$36,$K$205^A112,IF(A112='Données projet'!$A$36,'Données projet'!$B$36,N111+M112-V111)))</f>
        <v>326.60000000000008</v>
      </c>
      <c r="O112" s="14">
        <f>N112*VLOOKUP('Données projet'!$B$9,Paramètres!$A$1:$I$89,3,0)*VLOOKUP('Données projet'!$B$9,Paramètres!$A$1:$I$89,5,0)</f>
        <v>295.50768000000005</v>
      </c>
      <c r="P112" s="14">
        <f t="shared" si="87"/>
        <v>70.233875285761329</v>
      </c>
      <c r="Q112" s="22">
        <f t="shared" si="107"/>
        <v>636.99987545603437</v>
      </c>
      <c r="R112" s="60">
        <f t="shared" si="55"/>
        <v>930.33320878936775</v>
      </c>
      <c r="S112" s="60">
        <f ca="1">AVERAGE(OFFSET($R$3,0,0,'Données projet'!$E$9+1,1))-AVERAGE(OFFSET($H$3,0,0,'Données projet'!$E$9+1,1))</f>
        <v>327.62615088747526</v>
      </c>
      <c r="T112" s="60">
        <f t="shared" si="88"/>
        <v>180.48047802041276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4.9000000000000004</v>
      </c>
      <c r="AI112" s="14">
        <f>IF('Données projet'!$A$62&gt;35,AI111+AH112-AQ111,IF(A112&lt;'Données projet'!$A$62,$AF$205^A112,IF(A112='Données projet'!$A$62,'Données projet'!$B$62,AI111+AH112-AQ111)))</f>
        <v>326.60000000000008</v>
      </c>
      <c r="AJ112" s="14">
        <f>AI112*VLOOKUP('Données projet'!$B$10,Paramètres!$A$1:$I$89,3,0)*VLOOKUP('Données projet'!$B$10,Paramètres!$A$1:$I$89,5,0)</f>
        <v>275.12784000000011</v>
      </c>
      <c r="AK112" s="14">
        <f t="shared" si="89"/>
        <v>65.936331882912981</v>
      </c>
      <c r="AL112" s="22">
        <f t="shared" si="58"/>
        <v>594.02009936274032</v>
      </c>
      <c r="AM112" s="60">
        <f t="shared" si="59"/>
        <v>887.3534326960737</v>
      </c>
      <c r="AN112" s="60">
        <f ca="1">AVERAGE(OFFSET($AM$3,0,0,'Données projet'!$E$10+1,1))-AVERAGE(OFFSET($H$3,0,0,'Données projet'!$E$10+1,1))</f>
        <v>295.5242128298583</v>
      </c>
      <c r="AO112" s="60">
        <f t="shared" si="90"/>
        <v>164.21740841327744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3.5897435897435854</v>
      </c>
      <c r="BD112" s="13">
        <f>IF('Données projet'!$A$88&gt;35,BD111+BC112-BL111,IF(A112&lt;'Données projet'!$A$88,$BA$205^A112,IF(A112='Données projet'!$A$88,'Données projet'!$B$88,BD111+BC112-BL111)))</f>
        <v>290.00000000000023</v>
      </c>
      <c r="BE112" s="14">
        <f>BD112*VLOOKUP('Données projet'!$B$11,Paramètres!$A$1:$I$89,3,0)*VLOOKUP('Données projet'!$B$11,Paramètres!$A$1:$I$89,5,0)</f>
        <v>275.96400000000023</v>
      </c>
      <c r="BF112" s="14">
        <f t="shared" si="91"/>
        <v>66.113366665488911</v>
      </c>
      <c r="BG112" s="22">
        <f t="shared" si="61"/>
        <v>595.78474694239355</v>
      </c>
      <c r="BH112" s="60">
        <f t="shared" si="62"/>
        <v>889.11808027572692</v>
      </c>
      <c r="BI112" s="60">
        <f ca="1">AVERAGE(OFFSET($BH$3,0,0,'Données projet'!$E$11+1,1))-AVERAGE(OFFSET($H$3,0,0,'Données projet'!$E$11+1,1))</f>
        <v>276.19649531804959</v>
      </c>
      <c r="BJ112" s="60">
        <f t="shared" si="92"/>
        <v>253.14970964973463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1.1368683772161603E-13</v>
      </c>
      <c r="BZ112" s="14">
        <f>BY112*VLOOKUP('Données projet'!$B$12,Paramètres!$A$1:$I$89,3,0)*VLOOKUP('Données projet'!$B$12,Paramètres!$A$1:$I$89,5,0)</f>
        <v>7.4487616075202823E-14</v>
      </c>
      <c r="CA112" s="14">
        <f t="shared" si="93"/>
        <v>1.1580453144473142E-12</v>
      </c>
      <c r="CB112" s="22">
        <f t="shared" si="64"/>
        <v>2.1466615206600508E-12</v>
      </c>
      <c r="CC112" s="60">
        <f t="shared" si="65"/>
        <v>293.33333333333547</v>
      </c>
      <c r="CD112" s="60">
        <f ca="1">AVERAGE(OFFSET($CC$3,0,0,'Données projet'!$E$12+1,1))-AVERAGE(OFFSET($H$3,0,0,'Données projet'!$E$12+1,1))</f>
        <v>154.88061446835457</v>
      </c>
      <c r="CE112" s="60">
        <f t="shared" si="94"/>
        <v>201.47826692201693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0.30542457795633132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0.30542457795633132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5</v>
      </c>
      <c r="CT112" s="13">
        <f>IF('Données projet'!$A$140&gt;35,CT111+CS112-DB111,IF(A112&lt;'Données projet'!$A$140,$CQ$205^A112,IF(A112='Données projet'!$A$140,'Données projet'!$B$140,CT111+CS112-DB111)))</f>
        <v>305.00000000000011</v>
      </c>
      <c r="CU112" s="18">
        <f>CT112*VLOOKUP('Données projet'!$B$13,Paramètres!$A$1:$I$89,3,0)*VLOOKUP('Données projet'!$B$13,Paramètres!$A$1:$I$89,5,0)</f>
        <v>294.99600000000015</v>
      </c>
      <c r="CV112" s="14">
        <f t="shared" si="95"/>
        <v>70.126408118585445</v>
      </c>
      <c r="CW112" s="22">
        <f t="shared" si="67"/>
        <v>635.92152747320313</v>
      </c>
      <c r="CX112" s="60">
        <f t="shared" si="68"/>
        <v>929.2548608065365</v>
      </c>
      <c r="CY112" s="60">
        <f ca="1">AVERAGE(OFFSET($CX$3,0,0,'Données projet'!$E$13+1,1))-AVERAGE(OFFSET($H$3,0,0,'Données projet'!$E$13+1,1))</f>
        <v>293.44206058086951</v>
      </c>
      <c r="CZ112" s="60">
        <f t="shared" si="96"/>
        <v>182.15909509186827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5</v>
      </c>
      <c r="DO112" s="13">
        <f>IF('Données projet'!$A$166&gt;35,DO111+DN112-DW111,IF(A112&lt;'Données projet'!$A$166,$DL$205^A112,IF(A112='Données projet'!$A$166,'Données projet'!$B$166,DO111+DN112-DW111)))</f>
        <v>305.00000000000011</v>
      </c>
      <c r="DP112" s="18">
        <f>DO112*VLOOKUP('Données projet'!$B$14,Paramètres!$A$1:$I$89,3,0)*VLOOKUP('Données projet'!$B$14,Paramètres!$A$1:$I$89,5,0)</f>
        <v>328.30200000000013</v>
      </c>
      <c r="DQ112" s="14">
        <f t="shared" si="97"/>
        <v>77.078162824242909</v>
      </c>
      <c r="DR112" s="22">
        <f t="shared" si="70"/>
        <v>706.03711691888986</v>
      </c>
      <c r="DS112" s="60">
        <f t="shared" si="71"/>
        <v>999.37045025222324</v>
      </c>
      <c r="DT112" s="60">
        <f ca="1">AVERAGE(OFFSET($DS$3,0,0,'Données projet'!$E$14+1,1))-AVERAGE(OFFSET($H$3,0,0,'Données projet'!$E$14+1,1))</f>
        <v>338.92444234934266</v>
      </c>
      <c r="DU112" s="60">
        <f t="shared" si="98"/>
        <v>208.91548891910895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6.5</v>
      </c>
      <c r="EJ112" s="13">
        <f>IF('Données projet'!$A$192&gt;35,EJ111+EI112-ER111,IF(A112&lt;'Données projet'!$A$192,$EG$205^A112,IF(A112='Données projet'!$A$192,'Données projet'!$B$192,EJ111+EI112-ER111)))</f>
        <v>433.49999999999966</v>
      </c>
      <c r="EK112" s="18">
        <f>EJ112*VLOOKUP('Données projet'!$B$15,Paramètres!$A$1:$I$89,3,0)*VLOOKUP('Données projet'!$B$15,Paramètres!$A$1:$I$89,5,0)</f>
        <v>351.65519999999975</v>
      </c>
      <c r="EL112" s="14">
        <f t="shared" si="99"/>
        <v>81.903240466071438</v>
      </c>
      <c r="EM112" s="22">
        <f t="shared" si="73"/>
        <v>755.11428381174073</v>
      </c>
      <c r="EN112" s="60">
        <f t="shared" si="74"/>
        <v>1048.447617145074</v>
      </c>
      <c r="EO112" s="60">
        <f ca="1">AVERAGE(OFFSET($EN$3,0,0,'Données projet'!$E$15+1,1))-AVERAGE(OFFSET($H$3,0,0,'Données projet'!$E$15+1,1))</f>
        <v>346.10839312896536</v>
      </c>
      <c r="EP112" s="60">
        <f t="shared" si="100"/>
        <v>196.24927250256087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5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8">
        <f t="shared" si="56"/>
        <v>509.73901751046503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4.9000000000000004</v>
      </c>
      <c r="N113" s="14">
        <f>IF('Données projet'!$A$36&gt;35,N112+M113-V112,IF(A113&lt;'Données projet'!$A$36,$K$205^A113,IF(A113='Données projet'!$A$36,'Données projet'!$B$36,N112+M113-V112)))</f>
        <v>331.50000000000006</v>
      </c>
      <c r="O113" s="14">
        <f>N113*VLOOKUP('Données projet'!$B$9,Paramètres!$A$1:$I$89,3,0)*VLOOKUP('Données projet'!$B$9,Paramètres!$A$1:$I$89,5,0)</f>
        <v>299.94120000000004</v>
      </c>
      <c r="P113" s="14">
        <f t="shared" si="87"/>
        <v>71.164136596531506</v>
      </c>
      <c r="Q113" s="22">
        <f t="shared" si="107"/>
        <v>646.34179457229243</v>
      </c>
      <c r="R113" s="60">
        <f t="shared" si="55"/>
        <v>939.67512790562569</v>
      </c>
      <c r="S113" s="60">
        <f ca="1">AVERAGE(OFFSET($R$3,0,0,'Données projet'!$E$9+1,1))-AVERAGE(OFFSET($H$3,0,0,'Données projet'!$E$9+1,1))</f>
        <v>327.62615088747526</v>
      </c>
      <c r="T113" s="60">
        <f t="shared" si="88"/>
        <v>180.48047802041276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4.9000000000000004</v>
      </c>
      <c r="AI113" s="14">
        <f>IF('Données projet'!$A$62&gt;35,AI112+AH113-AQ112,IF(A113&lt;'Données projet'!$A$62,$AF$205^A113,IF(A113='Données projet'!$A$62,'Données projet'!$B$62,AI112+AH113-AQ112)))</f>
        <v>331.50000000000006</v>
      </c>
      <c r="AJ113" s="14">
        <f>AI113*VLOOKUP('Données projet'!$B$10,Paramètres!$A$1:$I$89,3,0)*VLOOKUP('Données projet'!$B$10,Paramètres!$A$1:$I$89,5,0)</f>
        <v>279.25560000000007</v>
      </c>
      <c r="AK113" s="14">
        <f t="shared" si="89"/>
        <v>66.809671397146161</v>
      </c>
      <c r="AL113" s="22">
        <f t="shared" si="58"/>
        <v>602.73034768336299</v>
      </c>
      <c r="AM113" s="60">
        <f t="shared" si="59"/>
        <v>896.06368101669636</v>
      </c>
      <c r="AN113" s="60">
        <f ca="1">AVERAGE(OFFSET($AM$3,0,0,'Données projet'!$E$10+1,1))-AVERAGE(OFFSET($H$3,0,0,'Données projet'!$E$10+1,1))</f>
        <v>295.5242128298583</v>
      </c>
      <c r="AO113" s="60">
        <f t="shared" si="90"/>
        <v>164.21740841327744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293.58974358974359</v>
      </c>
      <c r="BB113" s="13">
        <f>VLOOKUP(A113,'Données projet'!$A$87:$I$107,9,0)</f>
        <v>3.5897435897435854</v>
      </c>
      <c r="BC113" s="13">
        <f t="array" ref="BC113">INDEX(BB:BB,MIN(IF(ISNUMBER(BB113:BB309),ROW(BB113:BB309),"")))</f>
        <v>3.5897435897435854</v>
      </c>
      <c r="BD113" s="13">
        <f>IF('Données projet'!$A$88&gt;35,BD112+BC113-BL112,IF(A113&lt;'Données projet'!$A$88,$BA$205^A113,IF(A113='Données projet'!$A$88,'Données projet'!$B$88,BD112+BC113-BL112)))</f>
        <v>293.58974358974382</v>
      </c>
      <c r="BE113" s="14">
        <f>BD113*VLOOKUP('Données projet'!$B$11,Paramètres!$A$1:$I$89,3,0)*VLOOKUP('Données projet'!$B$11,Paramètres!$A$1:$I$89,5,0)</f>
        <v>279.38000000000022</v>
      </c>
      <c r="BF113" s="14">
        <f t="shared" si="91"/>
        <v>66.835968159060357</v>
      </c>
      <c r="BG113" s="22">
        <f t="shared" si="61"/>
        <v>602.99281121036381</v>
      </c>
      <c r="BH113" s="60">
        <f t="shared" si="62"/>
        <v>896.32614454369718</v>
      </c>
      <c r="BI113" s="60">
        <f ca="1">AVERAGE(OFFSET($BH$3,0,0,'Données projet'!$E$11+1,1))-AVERAGE(OFFSET($H$3,0,0,'Données projet'!$E$11+1,1))</f>
        <v>276.19649531804959</v>
      </c>
      <c r="BJ113" s="60">
        <f t="shared" si="92"/>
        <v>253.14970964973463</v>
      </c>
      <c r="BK113" s="16">
        <f>IF(ISNA(VLOOKUP(A113,'Données projet'!$A$87:$I$107,3,0)),0,VLOOKUP(A113,'Données projet'!$A$87:$I$107,3,0))</f>
        <v>10</v>
      </c>
      <c r="BL113" s="16">
        <f>IF(ISNA(VLOOKUP(A113,'Données projet'!$A$87:$I$107,4,0)),0,VLOOKUP(A113,'Données projet'!$A$87:$I$107,4,0))</f>
        <v>26.282051282051281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1.1368683772161603E-13</v>
      </c>
      <c r="BZ113" s="14">
        <f>BY113*VLOOKUP('Données projet'!$B$12,Paramètres!$A$1:$I$89,3,0)*VLOOKUP('Données projet'!$B$12,Paramètres!$A$1:$I$89,5,0)</f>
        <v>7.4487616075202823E-14</v>
      </c>
      <c r="CA113" s="14">
        <f t="shared" si="93"/>
        <v>1.1580453144473142E-12</v>
      </c>
      <c r="CB113" s="22">
        <f t="shared" si="64"/>
        <v>2.1466615206600508E-12</v>
      </c>
      <c r="CC113" s="60">
        <f t="shared" si="65"/>
        <v>293.33333333333547</v>
      </c>
      <c r="CD113" s="60">
        <f ca="1">AVERAGE(OFFSET($CC$3,0,0,'Données projet'!$E$12+1,1))-AVERAGE(OFFSET($H$3,0,0,'Données projet'!$E$12+1,1))</f>
        <v>154.88061446835457</v>
      </c>
      <c r="CE113" s="60">
        <f t="shared" si="94"/>
        <v>201.47826692201693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0.29707272681053493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0.29707272681053493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5</v>
      </c>
      <c r="CT113" s="13">
        <f>IF('Données projet'!$A$140&gt;35,CT112+CS113-DB112,IF(A113&lt;'Données projet'!$A$140,$CQ$205^A113,IF(A113='Données projet'!$A$140,'Données projet'!$B$140,CT112+CS113-DB112)))</f>
        <v>310.00000000000011</v>
      </c>
      <c r="CU113" s="18">
        <f>CT113*VLOOKUP('Données projet'!$B$13,Paramètres!$A$1:$I$89,3,0)*VLOOKUP('Données projet'!$B$13,Paramètres!$A$1:$I$89,5,0)</f>
        <v>299.83200000000011</v>
      </c>
      <c r="CV113" s="14">
        <f t="shared" si="95"/>
        <v>71.141243074631944</v>
      </c>
      <c r="CW113" s="22">
        <f t="shared" si="67"/>
        <v>646.11173168831738</v>
      </c>
      <c r="CX113" s="60">
        <f t="shared" si="68"/>
        <v>939.44506502165063</v>
      </c>
      <c r="CY113" s="60">
        <f ca="1">AVERAGE(OFFSET($CX$3,0,0,'Données projet'!$E$13+1,1))-AVERAGE(OFFSET($H$3,0,0,'Données projet'!$E$13+1,1))</f>
        <v>293.44206058086951</v>
      </c>
      <c r="CZ113" s="60">
        <f t="shared" si="96"/>
        <v>182.15909509186827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5</v>
      </c>
      <c r="DO113" s="13">
        <f>IF('Données projet'!$A$166&gt;35,DO112+DN113-DW112,IF(A113&lt;'Données projet'!$A$166,$DL$205^A113,IF(A113='Données projet'!$A$166,'Données projet'!$B$166,DO112+DN113-DW112)))</f>
        <v>310.00000000000011</v>
      </c>
      <c r="DP113" s="18">
        <f>DO113*VLOOKUP('Données projet'!$B$14,Paramètres!$A$1:$I$89,3,0)*VLOOKUP('Données projet'!$B$14,Paramètres!$A$1:$I$89,5,0)</f>
        <v>333.68400000000008</v>
      </c>
      <c r="DQ113" s="14">
        <f t="shared" si="97"/>
        <v>78.193600162051666</v>
      </c>
      <c r="DR113" s="22">
        <f t="shared" si="70"/>
        <v>717.35348694890672</v>
      </c>
      <c r="DS113" s="60">
        <f t="shared" si="71"/>
        <v>1010.68682028224</v>
      </c>
      <c r="DT113" s="60">
        <f ca="1">AVERAGE(OFFSET($DS$3,0,0,'Données projet'!$E$14+1,1))-AVERAGE(OFFSET($H$3,0,0,'Données projet'!$E$14+1,1))</f>
        <v>338.92444234934266</v>
      </c>
      <c r="DU113" s="60">
        <f t="shared" si="98"/>
        <v>208.91548891910895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440</v>
      </c>
      <c r="EH113" s="13">
        <f>VLOOKUP(A113,'Données projet'!$A$191:$I$211,9,0)</f>
        <v>6.5</v>
      </c>
      <c r="EI113" s="13">
        <f t="array" ref="EI113">INDEX(EH:EH,MIN(IF(ISNUMBER(EH113:EH309),ROW(EH113:EH309),"")))</f>
        <v>6.5</v>
      </c>
      <c r="EJ113" s="13">
        <f>IF('Données projet'!$A$192&gt;35,EJ112+EI113-ER112,IF(A113&lt;'Données projet'!$A$192,$EG$205^A113,IF(A113='Données projet'!$A$192,'Données projet'!$B$192,EJ112+EI113-ER112)))</f>
        <v>439.99999999999966</v>
      </c>
      <c r="EK113" s="18">
        <f>EJ113*VLOOKUP('Données projet'!$B$15,Paramètres!$A$1:$I$89,3,0)*VLOOKUP('Données projet'!$B$15,Paramètres!$A$1:$I$89,5,0)</f>
        <v>356.92799999999977</v>
      </c>
      <c r="EL113" s="14">
        <f t="shared" si="99"/>
        <v>82.987426947838912</v>
      </c>
      <c r="EM113" s="22">
        <f t="shared" si="73"/>
        <v>766.18603526748575</v>
      </c>
      <c r="EN113" s="60">
        <f t="shared" si="74"/>
        <v>1059.519368600819</v>
      </c>
      <c r="EO113" s="60">
        <f ca="1">AVERAGE(OFFSET($EN$3,0,0,'Données projet'!$E$15+1,1))-AVERAGE(OFFSET($H$3,0,0,'Données projet'!$E$15+1,1))</f>
        <v>346.10839312896536</v>
      </c>
      <c r="EP113" s="60">
        <f t="shared" si="100"/>
        <v>196.24927250256087</v>
      </c>
      <c r="EQ113" s="16">
        <f>IF(ISNA(VLOOKUP(A113,'Données projet'!$A$191:$I$211,3,0)),0,VLOOKUP(A113,'Données projet'!$A$191:$I$211,3,0))</f>
        <v>9</v>
      </c>
      <c r="ER113" s="16">
        <f>IF(ISNA(VLOOKUP(A113,'Données projet'!$A$191:$I$211,4,0)),0,VLOOKUP(A113,'Données projet'!$A$191:$I$211,4,0))</f>
        <v>45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5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8">
        <f t="shared" si="56"/>
        <v>511.6574178131043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4.9000000000000004</v>
      </c>
      <c r="N114" s="14">
        <f>IF('Données projet'!$A$36&gt;35,N113+M114-V113,IF(A114&lt;'Données projet'!$A$36,$K$205^A114,IF(A114='Données projet'!$A$36,'Données projet'!$B$36,N113+M114-V113)))</f>
        <v>336.40000000000003</v>
      </c>
      <c r="O114" s="14">
        <f>N114*VLOOKUP('Données projet'!$B$9,Paramètres!$A$1:$I$89,3,0)*VLOOKUP('Données projet'!$B$9,Paramètres!$A$1:$I$89,5,0)</f>
        <v>304.37472000000002</v>
      </c>
      <c r="P114" s="14">
        <f t="shared" si="87"/>
        <v>72.092798667275119</v>
      </c>
      <c r="Q114" s="22">
        <f t="shared" si="107"/>
        <v>655.68092834550419</v>
      </c>
      <c r="R114" s="60">
        <f t="shared" si="55"/>
        <v>949.01426167883756</v>
      </c>
      <c r="S114" s="60">
        <f ca="1">AVERAGE(OFFSET($R$3,0,0,'Données projet'!$E$9+1,1))-AVERAGE(OFFSET($H$3,0,0,'Données projet'!$E$9+1,1))</f>
        <v>327.62615088747526</v>
      </c>
      <c r="T114" s="60">
        <f t="shared" si="88"/>
        <v>180.48047802041276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4.9000000000000004</v>
      </c>
      <c r="AI114" s="14">
        <f>IF('Données projet'!$A$62&gt;35,AI113+AH114-AQ113,IF(A114&lt;'Données projet'!$A$62,$AF$205^A114,IF(A114='Données projet'!$A$62,'Données projet'!$B$62,AI113+AH114-AQ113)))</f>
        <v>336.40000000000003</v>
      </c>
      <c r="AJ114" s="14">
        <f>AI114*VLOOKUP('Données projet'!$B$10,Paramètres!$A$1:$I$89,3,0)*VLOOKUP('Données projet'!$B$10,Paramètres!$A$1:$I$89,5,0)</f>
        <v>283.38336000000004</v>
      </c>
      <c r="AK114" s="14">
        <f t="shared" si="89"/>
        <v>67.681509527314645</v>
      </c>
      <c r="AL114" s="22">
        <f t="shared" si="58"/>
        <v>611.43798109340639</v>
      </c>
      <c r="AM114" s="60">
        <f t="shared" si="59"/>
        <v>904.77131442673976</v>
      </c>
      <c r="AN114" s="60">
        <f ca="1">AVERAGE(OFFSET($AM$3,0,0,'Données projet'!$E$10+1,1))-AVERAGE(OFFSET($H$3,0,0,'Données projet'!$E$10+1,1))</f>
        <v>295.5242128298583</v>
      </c>
      <c r="AO114" s="60">
        <f t="shared" si="90"/>
        <v>164.21740841327744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3.3333333333333313</v>
      </c>
      <c r="BD114" s="13">
        <f>IF('Données projet'!$A$88&gt;35,BD113+BC114-BL113,IF(A114&lt;'Données projet'!$A$88,$BA$205^A114,IF(A114='Données projet'!$A$88,'Données projet'!$B$88,BD113+BC114-BL113)))</f>
        <v>270.64102564102586</v>
      </c>
      <c r="BE114" s="14">
        <f>BD114*VLOOKUP('Données projet'!$B$11,Paramètres!$A$1:$I$89,3,0)*VLOOKUP('Données projet'!$B$11,Paramètres!$A$1:$I$89,5,0)</f>
        <v>257.5420000000002</v>
      </c>
      <c r="BF114" s="14">
        <f t="shared" si="91"/>
        <v>62.198142384392476</v>
      </c>
      <c r="BG114" s="22">
        <f t="shared" si="61"/>
        <v>556.8807479861506</v>
      </c>
      <c r="BH114" s="60">
        <f t="shared" si="62"/>
        <v>850.21408131948397</v>
      </c>
      <c r="BI114" s="60">
        <f ca="1">AVERAGE(OFFSET($BH$3,0,0,'Données projet'!$E$11+1,1))-AVERAGE(OFFSET($H$3,0,0,'Données projet'!$E$11+1,1))</f>
        <v>276.19649531804959</v>
      </c>
      <c r="BJ114" s="60">
        <f t="shared" si="92"/>
        <v>253.14970964973463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1.1368683772161603E-13</v>
      </c>
      <c r="BZ114" s="14">
        <f>BY114*VLOOKUP('Données projet'!$B$12,Paramètres!$A$1:$I$89,3,0)*VLOOKUP('Données projet'!$B$12,Paramètres!$A$1:$I$89,5,0)</f>
        <v>7.4487616075202823E-14</v>
      </c>
      <c r="CA114" s="14">
        <f t="shared" si="93"/>
        <v>1.1580453144473142E-12</v>
      </c>
      <c r="CB114" s="22">
        <f t="shared" si="64"/>
        <v>2.1466615206600508E-12</v>
      </c>
      <c r="CC114" s="60">
        <f t="shared" si="65"/>
        <v>293.33333333333547</v>
      </c>
      <c r="CD114" s="60">
        <f ca="1">AVERAGE(OFFSET($CC$3,0,0,'Données projet'!$E$12+1,1))-AVERAGE(OFFSET($H$3,0,0,'Données projet'!$E$12+1,1))</f>
        <v>154.88061446835457</v>
      </c>
      <c r="CE114" s="60">
        <f t="shared" si="94"/>
        <v>201.47826692201693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0.28894925747352512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0.28894925747352512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5</v>
      </c>
      <c r="CT114" s="13">
        <f>IF('Données projet'!$A$140&gt;35,CT113+CS114-DB113,IF(A114&lt;'Données projet'!$A$140,$CQ$205^A114,IF(A114='Données projet'!$A$140,'Données projet'!$B$140,CT113+CS114-DB113)))</f>
        <v>315.00000000000011</v>
      </c>
      <c r="CU114" s="18">
        <f>CT114*VLOOKUP('Données projet'!$B$13,Paramètres!$A$1:$I$89,3,0)*VLOOKUP('Données projet'!$B$13,Paramètres!$A$1:$I$89,5,0)</f>
        <v>304.66800000000012</v>
      </c>
      <c r="CV114" s="14">
        <f t="shared" si="95"/>
        <v>72.154174460006061</v>
      </c>
      <c r="CW114" s="22">
        <f t="shared" si="67"/>
        <v>656.29862051784403</v>
      </c>
      <c r="CX114" s="60">
        <f t="shared" si="68"/>
        <v>949.63195385117729</v>
      </c>
      <c r="CY114" s="60">
        <f ca="1">AVERAGE(OFFSET($CX$3,0,0,'Données projet'!$E$13+1,1))-AVERAGE(OFFSET($H$3,0,0,'Données projet'!$E$13+1,1))</f>
        <v>293.44206058086951</v>
      </c>
      <c r="CZ114" s="60">
        <f t="shared" si="96"/>
        <v>182.15909509186827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5</v>
      </c>
      <c r="DO114" s="13">
        <f>IF('Données projet'!$A$166&gt;35,DO113+DN114-DW113,IF(A114&lt;'Données projet'!$A$166,$DL$205^A114,IF(A114='Données projet'!$A$166,'Données projet'!$B$166,DO113+DN114-DW113)))</f>
        <v>315.00000000000011</v>
      </c>
      <c r="DP114" s="18">
        <f>DO114*VLOOKUP('Données projet'!$B$14,Paramètres!$A$1:$I$89,3,0)*VLOOKUP('Données projet'!$B$14,Paramètres!$A$1:$I$89,5,0)</f>
        <v>339.06600000000009</v>
      </c>
      <c r="DQ114" s="14">
        <f t="shared" si="97"/>
        <v>79.30694522486489</v>
      </c>
      <c r="DR114" s="22">
        <f t="shared" si="70"/>
        <v>728.66621293330638</v>
      </c>
      <c r="DS114" s="60">
        <f t="shared" si="71"/>
        <v>1021.9995462666398</v>
      </c>
      <c r="DT114" s="60">
        <f ca="1">AVERAGE(OFFSET($DS$3,0,0,'Données projet'!$E$14+1,1))-AVERAGE(OFFSET($H$3,0,0,'Données projet'!$E$14+1,1))</f>
        <v>338.92444234934266</v>
      </c>
      <c r="DU114" s="60">
        <f t="shared" si="98"/>
        <v>208.91548891910895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5.8</v>
      </c>
      <c r="EJ114" s="13">
        <f>IF('Données projet'!$A$192&gt;35,EJ113+EI114-ER113,IF(A114&lt;'Données projet'!$A$192,$EG$205^A114,IF(A114='Données projet'!$A$192,'Données projet'!$B$192,EJ113+EI114-ER113)))</f>
        <v>400.79999999999967</v>
      </c>
      <c r="EK114" s="18">
        <f>EJ114*VLOOKUP('Données projet'!$B$15,Paramètres!$A$1:$I$89,3,0)*VLOOKUP('Données projet'!$B$15,Paramètres!$A$1:$I$89,5,0)</f>
        <v>325.12895999999972</v>
      </c>
      <c r="EL114" s="14">
        <f t="shared" si="99"/>
        <v>76.419543928687006</v>
      </c>
      <c r="EM114" s="22">
        <f t="shared" si="73"/>
        <v>699.36364434246263</v>
      </c>
      <c r="EN114" s="60">
        <f t="shared" si="74"/>
        <v>992.69697767579601</v>
      </c>
      <c r="EO114" s="60">
        <f ca="1">AVERAGE(OFFSET($EN$3,0,0,'Données projet'!$E$15+1,1))-AVERAGE(OFFSET($H$3,0,0,'Données projet'!$E$15+1,1))</f>
        <v>346.10839312896536</v>
      </c>
      <c r="EP114" s="60">
        <f t="shared" si="100"/>
        <v>196.24927250256087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5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8">
        <f t="shared" si="56"/>
        <v>513.57543061719775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4.9000000000000004</v>
      </c>
      <c r="N115" s="14">
        <f>IF('Données projet'!$A$36&gt;35,N114+M115-V114,IF(A115&lt;'Données projet'!$A$36,$K$205^A115,IF(A115='Données projet'!$A$36,'Données projet'!$B$36,N114+M115-V114)))</f>
        <v>341.3</v>
      </c>
      <c r="O115" s="14">
        <f>N115*VLOOKUP('Données projet'!$B$9,Paramètres!$A$1:$I$89,3,0)*VLOOKUP('Données projet'!$B$9,Paramètres!$A$1:$I$89,5,0)</f>
        <v>308.80823999999996</v>
      </c>
      <c r="P115" s="14">
        <f t="shared" si="87"/>
        <v>73.019887483808844</v>
      </c>
      <c r="Q115" s="22">
        <f t="shared" si="107"/>
        <v>665.01732203430026</v>
      </c>
      <c r="R115" s="60">
        <f t="shared" si="55"/>
        <v>958.35065536763364</v>
      </c>
      <c r="S115" s="60">
        <f ca="1">AVERAGE(OFFSET($R$3,0,0,'Données projet'!$E$9+1,1))-AVERAGE(OFFSET($H$3,0,0,'Données projet'!$E$9+1,1))</f>
        <v>327.62615088747526</v>
      </c>
      <c r="T115" s="60">
        <f t="shared" si="88"/>
        <v>180.48047802041276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4.9000000000000004</v>
      </c>
      <c r="AI115" s="14">
        <f>IF('Données projet'!$A$62&gt;35,AI114+AH115-AQ114,IF(A115&lt;'Données projet'!$A$62,$AF$205^A115,IF(A115='Données projet'!$A$62,'Données projet'!$B$62,AI114+AH115-AQ114)))</f>
        <v>341.3</v>
      </c>
      <c r="AJ115" s="14">
        <f>AI115*VLOOKUP('Données projet'!$B$10,Paramètres!$A$1:$I$89,3,0)*VLOOKUP('Données projet'!$B$10,Paramètres!$A$1:$I$89,5,0)</f>
        <v>287.51112000000006</v>
      </c>
      <c r="AK115" s="14">
        <f t="shared" si="89"/>
        <v>68.551870669187977</v>
      </c>
      <c r="AL115" s="22">
        <f t="shared" si="58"/>
        <v>620.14304208216913</v>
      </c>
      <c r="AM115" s="60">
        <f t="shared" si="59"/>
        <v>913.47637541550239</v>
      </c>
      <c r="AN115" s="60">
        <f ca="1">AVERAGE(OFFSET($AM$3,0,0,'Données projet'!$E$10+1,1))-AVERAGE(OFFSET($H$3,0,0,'Données projet'!$E$10+1,1))</f>
        <v>295.5242128298583</v>
      </c>
      <c r="AO115" s="60">
        <f t="shared" si="90"/>
        <v>164.21740841327744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3.3333333333333313</v>
      </c>
      <c r="BD115" s="13">
        <f>IF('Données projet'!$A$88&gt;35,BD114+BC115-BL114,IF(A115&lt;'Données projet'!$A$88,$BA$205^A115,IF(A115='Données projet'!$A$88,'Données projet'!$B$88,BD114+BC115-BL114)))</f>
        <v>273.97435897435918</v>
      </c>
      <c r="BE115" s="14">
        <f>BD115*VLOOKUP('Données projet'!$B$11,Paramètres!$A$1:$I$89,3,0)*VLOOKUP('Données projet'!$B$11,Paramètres!$A$1:$I$89,5,0)</f>
        <v>260.71400000000023</v>
      </c>
      <c r="BF115" s="14">
        <f t="shared" si="91"/>
        <v>62.874549602698941</v>
      </c>
      <c r="BG115" s="22">
        <f t="shared" si="61"/>
        <v>563.58339055803435</v>
      </c>
      <c r="BH115" s="60">
        <f t="shared" si="62"/>
        <v>856.91672389136761</v>
      </c>
      <c r="BI115" s="60">
        <f ca="1">AVERAGE(OFFSET($BH$3,0,0,'Données projet'!$E$11+1,1))-AVERAGE(OFFSET($H$3,0,0,'Données projet'!$E$11+1,1))</f>
        <v>276.19649531804959</v>
      </c>
      <c r="BJ115" s="60">
        <f t="shared" si="92"/>
        <v>253.14970964973463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1.1368683772161603E-13</v>
      </c>
      <c r="BZ115" s="14">
        <f>BY115*VLOOKUP('Données projet'!$B$12,Paramètres!$A$1:$I$89,3,0)*VLOOKUP('Données projet'!$B$12,Paramètres!$A$1:$I$89,5,0)</f>
        <v>7.4487616075202823E-14</v>
      </c>
      <c r="CA115" s="14">
        <f t="shared" si="93"/>
        <v>1.1580453144473142E-12</v>
      </c>
      <c r="CB115" s="22">
        <f t="shared" si="64"/>
        <v>2.1466615206600508E-12</v>
      </c>
      <c r="CC115" s="60">
        <f t="shared" si="65"/>
        <v>293.33333333333547</v>
      </c>
      <c r="CD115" s="60">
        <f ca="1">AVERAGE(OFFSET($CC$3,0,0,'Données projet'!$E$12+1,1))-AVERAGE(OFFSET($H$3,0,0,'Données projet'!$E$12+1,1))</f>
        <v>154.88061446835457</v>
      </c>
      <c r="CE115" s="60">
        <f t="shared" si="94"/>
        <v>201.47826692201693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0.28104792483273056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0.28104792483273056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5</v>
      </c>
      <c r="CT115" s="13">
        <f>IF('Données projet'!$A$140&gt;35,CT114+CS115-DB114,IF(A115&lt;'Données projet'!$A$140,$CQ$205^A115,IF(A115='Données projet'!$A$140,'Données projet'!$B$140,CT114+CS115-DB114)))</f>
        <v>320.00000000000011</v>
      </c>
      <c r="CU115" s="18">
        <f>CT115*VLOOKUP('Données projet'!$B$13,Paramètres!$A$1:$I$89,3,0)*VLOOKUP('Données projet'!$B$13,Paramètres!$A$1:$I$89,5,0)</f>
        <v>309.50400000000013</v>
      </c>
      <c r="CV115" s="14">
        <f t="shared" si="95"/>
        <v>73.165235978896575</v>
      </c>
      <c r="CW115" s="22">
        <f t="shared" si="67"/>
        <v>666.48225266324516</v>
      </c>
      <c r="CX115" s="60">
        <f t="shared" si="68"/>
        <v>959.81558599657842</v>
      </c>
      <c r="CY115" s="60">
        <f ca="1">AVERAGE(OFFSET($CX$3,0,0,'Données projet'!$E$13+1,1))-AVERAGE(OFFSET($H$3,0,0,'Données projet'!$E$13+1,1))</f>
        <v>293.44206058086951</v>
      </c>
      <c r="CZ115" s="60">
        <f t="shared" si="96"/>
        <v>182.15909509186827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5</v>
      </c>
      <c r="DO115" s="13">
        <f>IF('Données projet'!$A$166&gt;35,DO114+DN115-DW114,IF(A115&lt;'Données projet'!$A$166,$DL$205^A115,IF(A115='Données projet'!$A$166,'Données projet'!$B$166,DO114+DN115-DW114)))</f>
        <v>320.00000000000011</v>
      </c>
      <c r="DP115" s="18">
        <f>DO115*VLOOKUP('Données projet'!$B$14,Paramètres!$A$1:$I$89,3,0)*VLOOKUP('Données projet'!$B$14,Paramètres!$A$1:$I$89,5,0)</f>
        <v>344.44800000000009</v>
      </c>
      <c r="DQ115" s="14">
        <f t="shared" si="97"/>
        <v>80.418235058027051</v>
      </c>
      <c r="DR115" s="22">
        <f t="shared" si="70"/>
        <v>739.97535939273064</v>
      </c>
      <c r="DS115" s="60">
        <f t="shared" si="71"/>
        <v>1033.308692726064</v>
      </c>
      <c r="DT115" s="60">
        <f ca="1">AVERAGE(OFFSET($DS$3,0,0,'Données projet'!$E$14+1,1))-AVERAGE(OFFSET($H$3,0,0,'Données projet'!$E$14+1,1))</f>
        <v>338.92444234934266</v>
      </c>
      <c r="DU115" s="60">
        <f t="shared" si="98"/>
        <v>208.91548891910895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5.8</v>
      </c>
      <c r="EJ115" s="13">
        <f>IF('Données projet'!$A$192&gt;35,EJ114+EI115-ER114,IF(A115&lt;'Données projet'!$A$192,$EG$205^A115,IF(A115='Données projet'!$A$192,'Données projet'!$B$192,EJ114+EI115-ER114)))</f>
        <v>406.59999999999968</v>
      </c>
      <c r="EK115" s="18">
        <f>EJ115*VLOOKUP('Données projet'!$B$15,Paramètres!$A$1:$I$89,3,0)*VLOOKUP('Données projet'!$B$15,Paramètres!$A$1:$I$89,5,0)</f>
        <v>329.83391999999975</v>
      </c>
      <c r="EL115" s="14">
        <f t="shared" si="99"/>
        <v>77.395873541822183</v>
      </c>
      <c r="EM115" s="22">
        <f t="shared" si="73"/>
        <v>709.25855708533982</v>
      </c>
      <c r="EN115" s="60">
        <f t="shared" si="74"/>
        <v>1002.5918904186731</v>
      </c>
      <c r="EO115" s="60">
        <f ca="1">AVERAGE(OFFSET($EN$3,0,0,'Données projet'!$E$15+1,1))-AVERAGE(OFFSET($H$3,0,0,'Données projet'!$E$15+1,1))</f>
        <v>346.10839312896536</v>
      </c>
      <c r="EP115" s="60">
        <f t="shared" si="100"/>
        <v>196.24927250256087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5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8">
        <f t="shared" si="56"/>
        <v>515.49305978337225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4.9000000000000004</v>
      </c>
      <c r="N116" s="14">
        <f>IF('Données projet'!$A$36&gt;35,N115+M116-V115,IF(A116&lt;'Données projet'!$A$36,$K$205^A116,IF(A116='Données projet'!$A$36,'Données projet'!$B$36,N115+M116-V115)))</f>
        <v>346.2</v>
      </c>
      <c r="O116" s="14">
        <f>N116*VLOOKUP('Données projet'!$B$9,Paramètres!$A$1:$I$89,3,0)*VLOOKUP('Données projet'!$B$9,Paramètres!$A$1:$I$89,5,0)</f>
        <v>313.24176</v>
      </c>
      <c r="P116" s="14">
        <f t="shared" si="87"/>
        <v>73.945428242952033</v>
      </c>
      <c r="Q116" s="22">
        <f t="shared" si="107"/>
        <v>674.35101952314142</v>
      </c>
      <c r="R116" s="60">
        <f t="shared" si="55"/>
        <v>967.68435285647479</v>
      </c>
      <c r="S116" s="60">
        <f ca="1">AVERAGE(OFFSET($R$3,0,0,'Données projet'!$E$9+1,1))-AVERAGE(OFFSET($H$3,0,0,'Données projet'!$E$9+1,1))</f>
        <v>327.62615088747526</v>
      </c>
      <c r="T116" s="60">
        <f t="shared" si="88"/>
        <v>180.48047802041276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4.9000000000000004</v>
      </c>
      <c r="AI116" s="14">
        <f>IF('Données projet'!$A$62&gt;35,AI115+AH116-AQ115,IF(A116&lt;'Données projet'!$A$62,$AF$205^A116,IF(A116='Données projet'!$A$62,'Données projet'!$B$62,AI115+AH116-AQ115)))</f>
        <v>346.2</v>
      </c>
      <c r="AJ116" s="14">
        <f>AI116*VLOOKUP('Données projet'!$B$10,Paramètres!$A$1:$I$89,3,0)*VLOOKUP('Données projet'!$B$10,Paramètres!$A$1:$I$89,5,0)</f>
        <v>291.63888000000003</v>
      </c>
      <c r="AK116" s="14">
        <f t="shared" si="89"/>
        <v>69.42077847781627</v>
      </c>
      <c r="AL116" s="22">
        <f t="shared" si="58"/>
        <v>628.8455718488633</v>
      </c>
      <c r="AM116" s="60">
        <f t="shared" si="59"/>
        <v>922.17890518219656</v>
      </c>
      <c r="AN116" s="60">
        <f ca="1">AVERAGE(OFFSET($AM$3,0,0,'Données projet'!$E$10+1,1))-AVERAGE(OFFSET($H$3,0,0,'Données projet'!$E$10+1,1))</f>
        <v>295.5242128298583</v>
      </c>
      <c r="AO116" s="60">
        <f t="shared" si="90"/>
        <v>164.21740841327744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3.3333333333333313</v>
      </c>
      <c r="BD116" s="13">
        <f>IF('Données projet'!$A$88&gt;35,BD115+BC116-BL115,IF(A116&lt;'Données projet'!$A$88,$BA$205^A116,IF(A116='Données projet'!$A$88,'Données projet'!$B$88,BD115+BC116-BL115)))</f>
        <v>277.30769230769249</v>
      </c>
      <c r="BE116" s="14">
        <f>BD116*VLOOKUP('Données projet'!$B$11,Paramètres!$A$1:$I$89,3,0)*VLOOKUP('Données projet'!$B$11,Paramètres!$A$1:$I$89,5,0)</f>
        <v>263.88600000000019</v>
      </c>
      <c r="BF116" s="14">
        <f t="shared" si="91"/>
        <v>63.54999955224892</v>
      </c>
      <c r="BG116" s="22">
        <f t="shared" si="61"/>
        <v>570.28436588683383</v>
      </c>
      <c r="BH116" s="60">
        <f t="shared" si="62"/>
        <v>863.6176992201672</v>
      </c>
      <c r="BI116" s="60">
        <f ca="1">AVERAGE(OFFSET($BH$3,0,0,'Données projet'!$E$11+1,1))-AVERAGE(OFFSET($H$3,0,0,'Données projet'!$E$11+1,1))</f>
        <v>276.19649531804959</v>
      </c>
      <c r="BJ116" s="60">
        <f t="shared" si="92"/>
        <v>253.14970964973463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1.1368683772161603E-13</v>
      </c>
      <c r="BZ116" s="14">
        <f>BY116*VLOOKUP('Données projet'!$B$12,Paramètres!$A$1:$I$89,3,0)*VLOOKUP('Données projet'!$B$12,Paramètres!$A$1:$I$89,5,0)</f>
        <v>7.4487616075202823E-14</v>
      </c>
      <c r="CA116" s="14">
        <f t="shared" si="93"/>
        <v>1.1580453144473142E-12</v>
      </c>
      <c r="CB116" s="22">
        <f t="shared" si="64"/>
        <v>2.1466615206600508E-12</v>
      </c>
      <c r="CC116" s="60">
        <f t="shared" si="65"/>
        <v>293.33333333333547</v>
      </c>
      <c r="CD116" s="60">
        <f ca="1">AVERAGE(OFFSET($CC$3,0,0,'Données projet'!$E$12+1,1))-AVERAGE(OFFSET($H$3,0,0,'Données projet'!$E$12+1,1))</f>
        <v>154.88061446835457</v>
      </c>
      <c r="CE116" s="60">
        <f t="shared" si="94"/>
        <v>201.47826692201693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0.2733626545485115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0.2733626545485115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5</v>
      </c>
      <c r="CT116" s="13">
        <f>IF('Données projet'!$A$140&gt;35,CT115+CS116-DB115,IF(A116&lt;'Données projet'!$A$140,$CQ$205^A116,IF(A116='Données projet'!$A$140,'Données projet'!$B$140,CT115+CS116-DB115)))</f>
        <v>325.00000000000011</v>
      </c>
      <c r="CU116" s="18">
        <f>CT116*VLOOKUP('Données projet'!$B$13,Paramètres!$A$1:$I$89,3,0)*VLOOKUP('Données projet'!$B$13,Paramètres!$A$1:$I$89,5,0)</f>
        <v>314.34000000000009</v>
      </c>
      <c r="CV116" s="14">
        <f t="shared" si="95"/>
        <v>74.174460221814215</v>
      </c>
      <c r="CW116" s="22">
        <f t="shared" si="67"/>
        <v>676.66268488632659</v>
      </c>
      <c r="CX116" s="60">
        <f t="shared" si="68"/>
        <v>969.99601821965985</v>
      </c>
      <c r="CY116" s="60">
        <f ca="1">AVERAGE(OFFSET($CX$3,0,0,'Données projet'!$E$13+1,1))-AVERAGE(OFFSET($H$3,0,0,'Données projet'!$E$13+1,1))</f>
        <v>293.44206058086951</v>
      </c>
      <c r="CZ116" s="60">
        <f t="shared" si="96"/>
        <v>182.15909509186827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5</v>
      </c>
      <c r="DO116" s="13">
        <f>IF('Données projet'!$A$166&gt;35,DO115+DN116-DW115,IF(A116&lt;'Données projet'!$A$166,$DL$205^A116,IF(A116='Données projet'!$A$166,'Données projet'!$B$166,DO115+DN116-DW115)))</f>
        <v>325.00000000000011</v>
      </c>
      <c r="DP116" s="18">
        <f>DO116*VLOOKUP('Données projet'!$B$14,Paramètres!$A$1:$I$89,3,0)*VLOOKUP('Données projet'!$B$14,Paramètres!$A$1:$I$89,5,0)</f>
        <v>349.8300000000001</v>
      </c>
      <c r="DQ116" s="14">
        <f t="shared" si="97"/>
        <v>81.527505482803917</v>
      </c>
      <c r="DR116" s="22">
        <f t="shared" si="70"/>
        <v>751.28098871588372</v>
      </c>
      <c r="DS116" s="60">
        <f t="shared" si="71"/>
        <v>1044.614322049217</v>
      </c>
      <c r="DT116" s="60">
        <f ca="1">AVERAGE(OFFSET($DS$3,0,0,'Données projet'!$E$14+1,1))-AVERAGE(OFFSET($H$3,0,0,'Données projet'!$E$14+1,1))</f>
        <v>338.92444234934266</v>
      </c>
      <c r="DU116" s="60">
        <f t="shared" si="98"/>
        <v>208.91548891910895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5.8</v>
      </c>
      <c r="EJ116" s="13">
        <f>IF('Données projet'!$A$192&gt;35,EJ115+EI116-ER115,IF(A116&lt;'Données projet'!$A$192,$EG$205^A116,IF(A116='Données projet'!$A$192,'Données projet'!$B$192,EJ115+EI116-ER115)))</f>
        <v>412.39999999999969</v>
      </c>
      <c r="EK116" s="18">
        <f>EJ116*VLOOKUP('Données projet'!$B$15,Paramètres!$A$1:$I$89,3,0)*VLOOKUP('Données projet'!$B$15,Paramètres!$A$1:$I$89,5,0)</f>
        <v>334.53887999999978</v>
      </c>
      <c r="EL116" s="14">
        <f t="shared" si="99"/>
        <v>78.370583341013131</v>
      </c>
      <c r="EM116" s="22">
        <f t="shared" si="73"/>
        <v>719.15064865226407</v>
      </c>
      <c r="EN116" s="60">
        <f t="shared" si="74"/>
        <v>1012.4839819855974</v>
      </c>
      <c r="EO116" s="60">
        <f ca="1">AVERAGE(OFFSET($EN$3,0,0,'Données projet'!$E$15+1,1))-AVERAGE(OFFSET($H$3,0,0,'Données projet'!$E$15+1,1))</f>
        <v>346.10839312896536</v>
      </c>
      <c r="EP116" s="60">
        <f t="shared" si="100"/>
        <v>196.24927250256087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5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8">
        <f t="shared" si="56"/>
        <v>517.41030909998244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4.9000000000000004</v>
      </c>
      <c r="N117" s="14">
        <f>IF('Données projet'!$A$36&gt;35,N116+M117-V116,IF(A117&lt;'Données projet'!$A$36,$K$205^A117,IF(A117='Données projet'!$A$36,'Données projet'!$B$36,N116+M117-V116)))</f>
        <v>351.09999999999997</v>
      </c>
      <c r="O117" s="14">
        <f>N117*VLOOKUP('Données projet'!$B$9,Paramètres!$A$1:$I$89,3,0)*VLOOKUP('Données projet'!$B$9,Paramètres!$A$1:$I$89,5,0)</f>
        <v>317.67527999999999</v>
      </c>
      <c r="P117" s="14">
        <f t="shared" si="87"/>
        <v>74.869445387304125</v>
      </c>
      <c r="Q117" s="22">
        <f t="shared" si="107"/>
        <v>683.68206338288792</v>
      </c>
      <c r="R117" s="60">
        <f t="shared" si="55"/>
        <v>977.01539671622118</v>
      </c>
      <c r="S117" s="60">
        <f ca="1">AVERAGE(OFFSET($R$3,0,0,'Données projet'!$E$9+1,1))-AVERAGE(OFFSET($H$3,0,0,'Données projet'!$E$9+1,1))</f>
        <v>327.62615088747526</v>
      </c>
      <c r="T117" s="60">
        <f t="shared" si="88"/>
        <v>180.48047802041276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4.9000000000000004</v>
      </c>
      <c r="AI117" s="14">
        <f>IF('Données projet'!$A$62&gt;35,AI116+AH117-AQ116,IF(A117&lt;'Données projet'!$A$62,$AF$205^A117,IF(A117='Données projet'!$A$62,'Données projet'!$B$62,AI116+AH117-AQ116)))</f>
        <v>351.09999999999997</v>
      </c>
      <c r="AJ117" s="14">
        <f>AI117*VLOOKUP('Données projet'!$B$10,Paramètres!$A$1:$I$89,3,0)*VLOOKUP('Données projet'!$B$10,Paramètres!$A$1:$I$89,5,0)</f>
        <v>295.76664</v>
      </c>
      <c r="AK117" s="14">
        <f t="shared" si="89"/>
        <v>70.288255900179905</v>
      </c>
      <c r="AL117" s="22">
        <f t="shared" si="58"/>
        <v>637.54561035947995</v>
      </c>
      <c r="AM117" s="60">
        <f t="shared" si="59"/>
        <v>930.87894369281321</v>
      </c>
      <c r="AN117" s="60">
        <f ca="1">AVERAGE(OFFSET($AM$3,0,0,'Données projet'!$E$10+1,1))-AVERAGE(OFFSET($H$3,0,0,'Données projet'!$E$10+1,1))</f>
        <v>295.5242128298583</v>
      </c>
      <c r="AO117" s="60">
        <f t="shared" si="90"/>
        <v>164.21740841327744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3.3333333333333313</v>
      </c>
      <c r="BD117" s="13">
        <f>IF('Données projet'!$A$88&gt;35,BD116+BC117-BL116,IF(A117&lt;'Données projet'!$A$88,$BA$205^A117,IF(A117='Données projet'!$A$88,'Données projet'!$B$88,BD116+BC117-BL116)))</f>
        <v>280.64102564102581</v>
      </c>
      <c r="BE117" s="14">
        <f>BD117*VLOOKUP('Données projet'!$B$11,Paramètres!$A$1:$I$89,3,0)*VLOOKUP('Données projet'!$B$11,Paramètres!$A$1:$I$89,5,0)</f>
        <v>267.05800000000016</v>
      </c>
      <c r="BF117" s="14">
        <f t="shared" si="91"/>
        <v>64.22450507075888</v>
      </c>
      <c r="BG117" s="22">
        <f t="shared" si="61"/>
        <v>576.98369633157199</v>
      </c>
      <c r="BH117" s="60">
        <f t="shared" si="62"/>
        <v>870.31702966490525</v>
      </c>
      <c r="BI117" s="60">
        <f ca="1">AVERAGE(OFFSET($BH$3,0,0,'Données projet'!$E$11+1,1))-AVERAGE(OFFSET($H$3,0,0,'Données projet'!$E$11+1,1))</f>
        <v>276.19649531804959</v>
      </c>
      <c r="BJ117" s="60">
        <f t="shared" si="92"/>
        <v>253.14970964973463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1.1368683772161603E-13</v>
      </c>
      <c r="BZ117" s="14">
        <f>BY117*VLOOKUP('Données projet'!$B$12,Paramètres!$A$1:$I$89,3,0)*VLOOKUP('Données projet'!$B$12,Paramètres!$A$1:$I$89,5,0)</f>
        <v>7.4487616075202823E-14</v>
      </c>
      <c r="CA117" s="14">
        <f t="shared" si="93"/>
        <v>1.1580453144473142E-12</v>
      </c>
      <c r="CB117" s="22">
        <f t="shared" si="64"/>
        <v>2.1466615206600508E-12</v>
      </c>
      <c r="CC117" s="60">
        <f t="shared" si="65"/>
        <v>293.33333333333547</v>
      </c>
      <c r="CD117" s="60">
        <f ca="1">AVERAGE(OFFSET($CC$3,0,0,'Données projet'!$E$12+1,1))-AVERAGE(OFFSET($H$3,0,0,'Données projet'!$E$12+1,1))</f>
        <v>154.88061446835457</v>
      </c>
      <c r="CE117" s="60">
        <f t="shared" si="94"/>
        <v>201.47826692201693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0.26588753838436524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0.26588753838436524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5</v>
      </c>
      <c r="CT117" s="13">
        <f>IF('Données projet'!$A$140&gt;35,CT116+CS117-DB116,IF(A117&lt;'Données projet'!$A$140,$CQ$205^A117,IF(A117='Données projet'!$A$140,'Données projet'!$B$140,CT116+CS117-DB116)))</f>
        <v>330.00000000000011</v>
      </c>
      <c r="CU117" s="18">
        <f>CT117*VLOOKUP('Données projet'!$B$13,Paramètres!$A$1:$I$89,3,0)*VLOOKUP('Données projet'!$B$13,Paramètres!$A$1:$I$89,5,0)</f>
        <v>319.17600000000016</v>
      </c>
      <c r="CV117" s="14">
        <f t="shared" si="95"/>
        <v>75.181878718947743</v>
      </c>
      <c r="CW117" s="22">
        <f t="shared" si="67"/>
        <v>686.83997210216751</v>
      </c>
      <c r="CX117" s="60">
        <f t="shared" si="68"/>
        <v>980.17330543550088</v>
      </c>
      <c r="CY117" s="60">
        <f ca="1">AVERAGE(OFFSET($CX$3,0,0,'Données projet'!$E$13+1,1))-AVERAGE(OFFSET($H$3,0,0,'Données projet'!$E$13+1,1))</f>
        <v>293.44206058086951</v>
      </c>
      <c r="CZ117" s="60">
        <f t="shared" si="96"/>
        <v>182.15909509186827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5</v>
      </c>
      <c r="DO117" s="13">
        <f>IF('Données projet'!$A$166&gt;35,DO116+DN117-DW116,IF(A117&lt;'Données projet'!$A$166,$DL$205^A117,IF(A117='Données projet'!$A$166,'Données projet'!$B$166,DO116+DN117-DW116)))</f>
        <v>330.00000000000011</v>
      </c>
      <c r="DP117" s="18">
        <f>DO117*VLOOKUP('Données projet'!$B$14,Paramètres!$A$1:$I$89,3,0)*VLOOKUP('Données projet'!$B$14,Paramètres!$A$1:$I$89,5,0)</f>
        <v>355.2120000000001</v>
      </c>
      <c r="DQ117" s="14">
        <f t="shared" si="97"/>
        <v>82.634791155027401</v>
      </c>
      <c r="DR117" s="22">
        <f t="shared" si="70"/>
        <v>762.58316126167301</v>
      </c>
      <c r="DS117" s="60">
        <f t="shared" si="71"/>
        <v>1055.9164945950063</v>
      </c>
      <c r="DT117" s="60">
        <f ca="1">AVERAGE(OFFSET($DS$3,0,0,'Données projet'!$E$14+1,1))-AVERAGE(OFFSET($H$3,0,0,'Données projet'!$E$14+1,1))</f>
        <v>338.92444234934266</v>
      </c>
      <c r="DU117" s="60">
        <f t="shared" si="98"/>
        <v>208.91548891910895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5.8</v>
      </c>
      <c r="EJ117" s="13">
        <f>IF('Données projet'!$A$192&gt;35,EJ116+EI117-ER116,IF(A117&lt;'Données projet'!$A$192,$EG$205^A117,IF(A117='Données projet'!$A$192,'Données projet'!$B$192,EJ116+EI117-ER116)))</f>
        <v>418.1999999999997</v>
      </c>
      <c r="EK117" s="18">
        <f>EJ117*VLOOKUP('Données projet'!$B$15,Paramètres!$A$1:$I$89,3,0)*VLOOKUP('Données projet'!$B$15,Paramètres!$A$1:$I$89,5,0)</f>
        <v>339.24383999999981</v>
      </c>
      <c r="EL117" s="14">
        <f t="shared" si="99"/>
        <v>79.343698739947342</v>
      </c>
      <c r="EM117" s="22">
        <f t="shared" si="73"/>
        <v>729.03996330540792</v>
      </c>
      <c r="EN117" s="60">
        <f t="shared" si="74"/>
        <v>1022.3732966387413</v>
      </c>
      <c r="EO117" s="60">
        <f ca="1">AVERAGE(OFFSET($EN$3,0,0,'Données projet'!$E$15+1,1))-AVERAGE(OFFSET($H$3,0,0,'Données projet'!$E$15+1,1))</f>
        <v>346.10839312896536</v>
      </c>
      <c r="EP117" s="60">
        <f t="shared" si="100"/>
        <v>196.24927250256087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5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8">
        <f t="shared" si="56"/>
        <v>519.32718228508566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356</v>
      </c>
      <c r="L118" s="13">
        <f>VLOOKUP(A118,'Données projet'!$A$35:$I$55,9,0)</f>
        <v>4.9000000000000004</v>
      </c>
      <c r="M118" s="13">
        <f t="array" ref="M118">INDEX(L:L,MIN(IF(ISNUMBER(L118:L314),ROW(L118:L314),"")))</f>
        <v>4.9000000000000004</v>
      </c>
      <c r="N118" s="14">
        <f>IF('Données projet'!$A$36&gt;35,N117+M118-V117,IF(A118&lt;'Données projet'!$A$36,$K$205^A118,IF(A118='Données projet'!$A$36,'Données projet'!$B$36,N117+M118-V117)))</f>
        <v>355.99999999999994</v>
      </c>
      <c r="O118" s="14">
        <f>N118*VLOOKUP('Données projet'!$B$9,Paramètres!$A$1:$I$89,3,0)*VLOOKUP('Données projet'!$B$9,Paramètres!$A$1:$I$89,5,0)</f>
        <v>322.10879999999997</v>
      </c>
      <c r="P118" s="14">
        <f t="shared" si="87"/>
        <v>75.791962638025268</v>
      </c>
      <c r="Q118" s="22">
        <f t="shared" si="107"/>
        <v>693.01049492789389</v>
      </c>
      <c r="R118" s="60">
        <f t="shared" si="55"/>
        <v>986.34382826122715</v>
      </c>
      <c r="S118" s="60">
        <f ca="1">AVERAGE(OFFSET($R$3,0,0,'Données projet'!$E$9+1,1))-AVERAGE(OFFSET($H$3,0,0,'Données projet'!$E$9+1,1))</f>
        <v>327.62615088747526</v>
      </c>
      <c r="T118" s="60">
        <f t="shared" si="88"/>
        <v>180.48047802041276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49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356</v>
      </c>
      <c r="AG118" s="13">
        <f>VLOOKUP(A118,'Données projet'!$A$61:$I$81,9,0)</f>
        <v>4.9000000000000004</v>
      </c>
      <c r="AH118" s="13">
        <f t="array" ref="AH118">INDEX(AG:AG,MIN(IF(ISNUMBER(AG118:AG314),ROW(AG118:AG314),"")))</f>
        <v>4.9000000000000004</v>
      </c>
      <c r="AI118" s="14">
        <f>IF('Données projet'!$A$62&gt;35,AI117+AH118-AQ117,IF(A118&lt;'Données projet'!$A$62,$AF$205^A118,IF(A118='Données projet'!$A$62,'Données projet'!$B$62,AI117+AH118-AQ117)))</f>
        <v>355.99999999999994</v>
      </c>
      <c r="AJ118" s="14">
        <f>AI118*VLOOKUP('Données projet'!$B$10,Paramètres!$A$1:$I$89,3,0)*VLOOKUP('Données projet'!$B$10,Paramètres!$A$1:$I$89,5,0)</f>
        <v>299.89439999999996</v>
      </c>
      <c r="AK118" s="14">
        <f t="shared" si="89"/>
        <v>71.154325205964</v>
      </c>
      <c r="AL118" s="22">
        <f t="shared" si="58"/>
        <v>646.24319640038709</v>
      </c>
      <c r="AM118" s="60">
        <f t="shared" si="59"/>
        <v>939.57652973372046</v>
      </c>
      <c r="AN118" s="60">
        <f ca="1">AVERAGE(OFFSET($AM$3,0,0,'Données projet'!$E$10+1,1))-AVERAGE(OFFSET($H$3,0,0,'Données projet'!$E$10+1,1))</f>
        <v>295.5242128298583</v>
      </c>
      <c r="AO118" s="60">
        <f t="shared" si="90"/>
        <v>164.21740841327744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49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3.3333333333333313</v>
      </c>
      <c r="BD118" s="13">
        <f>IF('Données projet'!$A$88&gt;35,BD117+BC118-BL117,IF(A118&lt;'Données projet'!$A$88,$BA$205^A118,IF(A118='Données projet'!$A$88,'Données projet'!$B$88,BD117+BC118-BL117)))</f>
        <v>283.97435897435912</v>
      </c>
      <c r="BE118" s="14">
        <f>BD118*VLOOKUP('Données projet'!$B$11,Paramètres!$A$1:$I$89,3,0)*VLOOKUP('Données projet'!$B$11,Paramètres!$A$1:$I$89,5,0)</f>
        <v>270.23000000000013</v>
      </c>
      <c r="BF118" s="14">
        <f t="shared" si="91"/>
        <v>64.898078673435194</v>
      </c>
      <c r="BG118" s="22">
        <f t="shared" si="61"/>
        <v>583.68140368956654</v>
      </c>
      <c r="BH118" s="60">
        <f t="shared" si="62"/>
        <v>877.01473702289991</v>
      </c>
      <c r="BI118" s="60">
        <f ca="1">AVERAGE(OFFSET($BH$3,0,0,'Données projet'!$E$11+1,1))-AVERAGE(OFFSET($H$3,0,0,'Données projet'!$E$11+1,1))</f>
        <v>276.19649531804959</v>
      </c>
      <c r="BJ118" s="60">
        <f t="shared" si="92"/>
        <v>253.14970964973463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1.1368683772161603E-13</v>
      </c>
      <c r="BZ118" s="14">
        <f>BY118*VLOOKUP('Données projet'!$B$12,Paramètres!$A$1:$I$89,3,0)*VLOOKUP('Données projet'!$B$12,Paramètres!$A$1:$I$89,5,0)</f>
        <v>7.4487616075202823E-14</v>
      </c>
      <c r="CA118" s="14">
        <f t="shared" si="93"/>
        <v>1.1580453144473142E-12</v>
      </c>
      <c r="CB118" s="22">
        <f t="shared" si="64"/>
        <v>2.1466615206600508E-12</v>
      </c>
      <c r="CC118" s="60">
        <f t="shared" si="65"/>
        <v>293.33333333333547</v>
      </c>
      <c r="CD118" s="60">
        <f ca="1">AVERAGE(OFFSET($CC$3,0,0,'Données projet'!$E$12+1,1))-AVERAGE(OFFSET($H$3,0,0,'Données projet'!$E$12+1,1))</f>
        <v>154.88061446835457</v>
      </c>
      <c r="CE118" s="60">
        <f t="shared" si="94"/>
        <v>201.47826692201693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0.2586168296648268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0.2586168296648268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335</v>
      </c>
      <c r="CR118" s="13">
        <f>VLOOKUP(A118,'Données projet'!$A$139:$I$159,9,0)</f>
        <v>5</v>
      </c>
      <c r="CS118" s="13">
        <f t="array" ref="CS118">INDEX(CR:CR,MIN(IF(ISNUMBER(CR118:CR314),ROW(CR118:CR314),"")))</f>
        <v>5</v>
      </c>
      <c r="CT118" s="13">
        <f>IF('Données projet'!$A$140&gt;35,CT117+CS118-DB117,IF(A118&lt;'Données projet'!$A$140,$CQ$205^A118,IF(A118='Données projet'!$A$140,'Données projet'!$B$140,CT117+CS118-DB117)))</f>
        <v>335.00000000000011</v>
      </c>
      <c r="CU118" s="18">
        <f>CT118*VLOOKUP('Données projet'!$B$13,Paramètres!$A$1:$I$89,3,0)*VLOOKUP('Données projet'!$B$13,Paramètres!$A$1:$I$89,5,0)</f>
        <v>324.01200000000011</v>
      </c>
      <c r="CV118" s="14">
        <f t="shared" si="95"/>
        <v>76.187521990193076</v>
      </c>
      <c r="CW118" s="22">
        <f t="shared" si="67"/>
        <v>697.01416746625318</v>
      </c>
      <c r="CX118" s="60">
        <f t="shared" si="68"/>
        <v>990.34750079958644</v>
      </c>
      <c r="CY118" s="60">
        <f ca="1">AVERAGE(OFFSET($CX$3,0,0,'Données projet'!$E$13+1,1))-AVERAGE(OFFSET($H$3,0,0,'Données projet'!$E$13+1,1))</f>
        <v>293.44206058086951</v>
      </c>
      <c r="CZ118" s="60">
        <f t="shared" si="96"/>
        <v>182.15909509186827</v>
      </c>
      <c r="DA118" s="16">
        <f>IF(ISNA(VLOOKUP(A118,'Données projet'!$A$139:$I$159,3,0)),0,VLOOKUP(A118,'Données projet'!$A$139:$I$159,3,0))</f>
        <v>10</v>
      </c>
      <c r="DB118" s="16">
        <f>IF(ISNA(VLOOKUP(A118,'Données projet'!$A$139:$I$159,4,0)),0,VLOOKUP(A118,'Données projet'!$A$139:$I$159,4,0))</f>
        <v>39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335</v>
      </c>
      <c r="DM118" s="13">
        <f>VLOOKUP(A118,'Données projet'!$A$165:$I$185,9,0)</f>
        <v>5</v>
      </c>
      <c r="DN118" s="13">
        <f t="array" ref="DN118">INDEX(DM:DM,MIN(IF(ISNUMBER(DM118:DM314),ROW(DM118:DM314),"")))</f>
        <v>5</v>
      </c>
      <c r="DO118" s="13">
        <f>IF('Données projet'!$A$166&gt;35,DO117+DN118-DW117,IF(A118&lt;'Données projet'!$A$166,$DL$205^A118,IF(A118='Données projet'!$A$166,'Données projet'!$B$166,DO117+DN118-DW117)))</f>
        <v>335.00000000000011</v>
      </c>
      <c r="DP118" s="18">
        <f>DO118*VLOOKUP('Données projet'!$B$14,Paramètres!$A$1:$I$89,3,0)*VLOOKUP('Données projet'!$B$14,Paramètres!$A$1:$I$89,5,0)</f>
        <v>360.59400000000011</v>
      </c>
      <c r="DQ118" s="14">
        <f t="shared" si="97"/>
        <v>83.740125620084939</v>
      </c>
      <c r="DR118" s="22">
        <f t="shared" si="70"/>
        <v>773.88193545498143</v>
      </c>
      <c r="DS118" s="60">
        <f t="shared" si="71"/>
        <v>1067.2152687883147</v>
      </c>
      <c r="DT118" s="60">
        <f ca="1">AVERAGE(OFFSET($DS$3,0,0,'Données projet'!$E$14+1,1))-AVERAGE(OFFSET($H$3,0,0,'Données projet'!$E$14+1,1))</f>
        <v>338.92444234934266</v>
      </c>
      <c r="DU118" s="60">
        <f t="shared" si="98"/>
        <v>208.91548891910895</v>
      </c>
      <c r="DV118" s="16">
        <f>IF(ISNA(VLOOKUP(A118,'Données projet'!$A$165:$I$185,3,0)),0,VLOOKUP(A118,'Données projet'!$A$165:$I$185,3,0))</f>
        <v>10</v>
      </c>
      <c r="DW118" s="16">
        <f>IF(ISNA(VLOOKUP(A118,'Données projet'!$A$165:$I$185,4,0)),0,VLOOKUP(A118,'Données projet'!$A$165:$I$185,4,0))</f>
        <v>39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5.8</v>
      </c>
      <c r="EJ118" s="13">
        <f>IF('Données projet'!$A$192&gt;35,EJ117+EI118-ER117,IF(A118&lt;'Données projet'!$A$192,$EG$205^A118,IF(A118='Données projet'!$A$192,'Données projet'!$B$192,EJ117+EI118-ER117)))</f>
        <v>423.99999999999972</v>
      </c>
      <c r="EK118" s="18">
        <f>EJ118*VLOOKUP('Données projet'!$B$15,Paramètres!$A$1:$I$89,3,0)*VLOOKUP('Données projet'!$B$15,Paramètres!$A$1:$I$89,5,0)</f>
        <v>343.94879999999978</v>
      </c>
      <c r="EL118" s="14">
        <f t="shared" si="99"/>
        <v>80.315244406893228</v>
      </c>
      <c r="EM118" s="22">
        <f t="shared" si="73"/>
        <v>738.92654400867195</v>
      </c>
      <c r="EN118" s="60">
        <f t="shared" si="74"/>
        <v>1032.2598773420052</v>
      </c>
      <c r="EO118" s="60">
        <f ca="1">AVERAGE(OFFSET($EN$3,0,0,'Données projet'!$E$15+1,1))-AVERAGE(OFFSET($H$3,0,0,'Données projet'!$E$15+1,1))</f>
        <v>346.10839312896536</v>
      </c>
      <c r="EP118" s="60">
        <f t="shared" si="100"/>
        <v>196.24927250256087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5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8">
        <f t="shared" si="56"/>
        <v>521.24368298834622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4.2</v>
      </c>
      <c r="N119" s="14">
        <f>IF('Données projet'!$A$36&gt;35,N118+M119-V118,IF(A119&lt;'Données projet'!$A$36,$K$205^A119,IF(A119='Données projet'!$A$36,'Données projet'!$B$36,N118+M119-V118)))</f>
        <v>311.19999999999993</v>
      </c>
      <c r="O119" s="14">
        <f>N119*VLOOKUP('Données projet'!$B$9,Paramètres!$A$1:$I$89,3,0)*VLOOKUP('Données projet'!$B$9,Paramètres!$A$1:$I$89,5,0)</f>
        <v>281.57375999999994</v>
      </c>
      <c r="P119" s="14">
        <f t="shared" si="87"/>
        <v>67.299481043334993</v>
      </c>
      <c r="Q119" s="22">
        <f t="shared" si="107"/>
        <v>607.62089481714168</v>
      </c>
      <c r="R119" s="60">
        <f t="shared" si="55"/>
        <v>900.95422815047505</v>
      </c>
      <c r="S119" s="60">
        <f ca="1">AVERAGE(OFFSET($R$3,0,0,'Données projet'!$E$9+1,1))-AVERAGE(OFFSET($H$3,0,0,'Données projet'!$E$9+1,1))</f>
        <v>327.62615088747526</v>
      </c>
      <c r="T119" s="60">
        <f t="shared" si="88"/>
        <v>180.48047802041276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4.2</v>
      </c>
      <c r="AI119" s="14">
        <f>IF('Données projet'!$A$62&gt;35,AI118+AH119-AQ118,IF(A119&lt;'Données projet'!$A$62,$AF$205^A119,IF(A119='Données projet'!$A$62,'Données projet'!$B$62,AI118+AH119-AQ118)))</f>
        <v>311.19999999999993</v>
      </c>
      <c r="AJ119" s="14">
        <f>AI119*VLOOKUP('Données projet'!$B$10,Paramètres!$A$1:$I$89,3,0)*VLOOKUP('Données projet'!$B$10,Paramètres!$A$1:$I$89,5,0)</f>
        <v>262.15487999999999</v>
      </c>
      <c r="AK119" s="14">
        <f t="shared" si="89"/>
        <v>63.18149040710518</v>
      </c>
      <c r="AL119" s="22">
        <f t="shared" si="58"/>
        <v>566.62751179237478</v>
      </c>
      <c r="AM119" s="60">
        <f t="shared" si="59"/>
        <v>859.96084512570815</v>
      </c>
      <c r="AN119" s="60">
        <f ca="1">AVERAGE(OFFSET($AM$3,0,0,'Données projet'!$E$10+1,1))-AVERAGE(OFFSET($H$3,0,0,'Données projet'!$E$10+1,1))</f>
        <v>295.5242128298583</v>
      </c>
      <c r="AO119" s="60">
        <f t="shared" si="90"/>
        <v>164.21740841327744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3.3333333333333313</v>
      </c>
      <c r="BD119" s="13">
        <f>IF('Données projet'!$A$88&gt;35,BD118+BC119-BL118,IF(A119&lt;'Données projet'!$A$88,$BA$205^A119,IF(A119='Données projet'!$A$88,'Données projet'!$B$88,BD118+BC119-BL118)))</f>
        <v>287.30769230769243</v>
      </c>
      <c r="BE119" s="14">
        <f>BD119*VLOOKUP('Données projet'!$B$11,Paramètres!$A$1:$I$89,3,0)*VLOOKUP('Données projet'!$B$11,Paramètres!$A$1:$I$89,5,0)</f>
        <v>273.40200000000016</v>
      </c>
      <c r="BF119" s="14">
        <f t="shared" si="91"/>
        <v>65.570732564764924</v>
      </c>
      <c r="BG119" s="22">
        <f t="shared" si="61"/>
        <v>590.37750921696579</v>
      </c>
      <c r="BH119" s="60">
        <f t="shared" si="62"/>
        <v>883.71084255029905</v>
      </c>
      <c r="BI119" s="60">
        <f ca="1">AVERAGE(OFFSET($BH$3,0,0,'Données projet'!$E$11+1,1))-AVERAGE(OFFSET($H$3,0,0,'Données projet'!$E$11+1,1))</f>
        <v>276.19649531804959</v>
      </c>
      <c r="BJ119" s="60">
        <f t="shared" si="92"/>
        <v>253.14970964973463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1.1368683772161603E-13</v>
      </c>
      <c r="BZ119" s="14">
        <f>BY119*VLOOKUP('Données projet'!$B$12,Paramètres!$A$1:$I$89,3,0)*VLOOKUP('Données projet'!$B$12,Paramètres!$A$1:$I$89,5,0)</f>
        <v>7.4487616075202823E-14</v>
      </c>
      <c r="CA119" s="14">
        <f t="shared" si="93"/>
        <v>1.1580453144473142E-12</v>
      </c>
      <c r="CB119" s="22">
        <f t="shared" si="64"/>
        <v>2.1466615206600508E-12</v>
      </c>
      <c r="CC119" s="60">
        <f t="shared" si="65"/>
        <v>293.33333333333547</v>
      </c>
      <c r="CD119" s="60">
        <f ca="1">AVERAGE(OFFSET($CC$3,0,0,'Données projet'!$E$12+1,1))-AVERAGE(OFFSET($H$3,0,0,'Données projet'!$E$12+1,1))</f>
        <v>154.88061446835457</v>
      </c>
      <c r="CE119" s="60">
        <f t="shared" si="94"/>
        <v>201.47826692201693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0.25154493885757412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0.25154493885757412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4.4000000000000004</v>
      </c>
      <c r="CT119" s="13">
        <f>IF('Données projet'!$A$140&gt;35,CT118+CS119-DB118,IF(A119&lt;'Données projet'!$A$140,$CQ$205^A119,IF(A119='Données projet'!$A$140,'Données projet'!$B$140,CT118+CS119-DB118)))</f>
        <v>300.40000000000009</v>
      </c>
      <c r="CU119" s="18">
        <f>CT119*VLOOKUP('Données projet'!$B$13,Paramètres!$A$1:$I$89,3,0)*VLOOKUP('Données projet'!$B$13,Paramètres!$A$1:$I$89,5,0)</f>
        <v>290.5468800000001</v>
      </c>
      <c r="CV119" s="14">
        <f t="shared" si="95"/>
        <v>69.191048766267073</v>
      </c>
      <c r="CW119" s="22">
        <f t="shared" si="67"/>
        <v>626.54355926791527</v>
      </c>
      <c r="CX119" s="60">
        <f t="shared" si="68"/>
        <v>919.87689260124853</v>
      </c>
      <c r="CY119" s="60">
        <f ca="1">AVERAGE(OFFSET($CX$3,0,0,'Données projet'!$E$13+1,1))-AVERAGE(OFFSET($H$3,0,0,'Données projet'!$E$13+1,1))</f>
        <v>293.44206058086951</v>
      </c>
      <c r="CZ119" s="60">
        <f t="shared" si="96"/>
        <v>182.15909509186827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4.4000000000000004</v>
      </c>
      <c r="DO119" s="13">
        <f>IF('Données projet'!$A$166&gt;35,DO118+DN119-DW118,IF(A119&lt;'Données projet'!$A$166,$DL$205^A119,IF(A119='Données projet'!$A$166,'Données projet'!$B$166,DO118+DN119-DW118)))</f>
        <v>300.40000000000009</v>
      </c>
      <c r="DP119" s="18">
        <f>DO119*VLOOKUP('Données projet'!$B$14,Paramètres!$A$1:$I$89,3,0)*VLOOKUP('Données projet'!$B$14,Paramètres!$A$1:$I$89,5,0)</f>
        <v>323.35056000000009</v>
      </c>
      <c r="DQ119" s="14">
        <f t="shared" si="97"/>
        <v>76.050079647142738</v>
      </c>
      <c r="DR119" s="22">
        <f t="shared" si="70"/>
        <v>695.6227807187737</v>
      </c>
      <c r="DS119" s="60">
        <f t="shared" si="71"/>
        <v>988.95611405210707</v>
      </c>
      <c r="DT119" s="60">
        <f ca="1">AVERAGE(OFFSET($DS$3,0,0,'Données projet'!$E$14+1,1))-AVERAGE(OFFSET($H$3,0,0,'Données projet'!$E$14+1,1))</f>
        <v>338.92444234934266</v>
      </c>
      <c r="DU119" s="60">
        <f t="shared" si="98"/>
        <v>208.91548891910895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5.8</v>
      </c>
      <c r="EJ119" s="13">
        <f>IF('Données projet'!$A$192&gt;35,EJ118+EI119-ER118,IF(A119&lt;'Données projet'!$A$192,$EG$205^A119,IF(A119='Données projet'!$A$192,'Données projet'!$B$192,EJ118+EI119-ER118)))</f>
        <v>429.79999999999973</v>
      </c>
      <c r="EK119" s="18">
        <f>EJ119*VLOOKUP('Données projet'!$B$15,Paramètres!$A$1:$I$89,3,0)*VLOOKUP('Données projet'!$B$15,Paramètres!$A$1:$I$89,5,0)</f>
        <v>348.65375999999981</v>
      </c>
      <c r="EL119" s="14">
        <f t="shared" si="99"/>
        <v>81.285244296456</v>
      </c>
      <c r="EM119" s="22">
        <f t="shared" si="73"/>
        <v>748.81043248299375</v>
      </c>
      <c r="EN119" s="60">
        <f t="shared" si="74"/>
        <v>1042.143765816327</v>
      </c>
      <c r="EO119" s="60">
        <f ca="1">AVERAGE(OFFSET($EN$3,0,0,'Données projet'!$E$15+1,1))-AVERAGE(OFFSET($H$3,0,0,'Données projet'!$E$15+1,1))</f>
        <v>346.10839312896536</v>
      </c>
      <c r="EP119" s="60">
        <f t="shared" si="100"/>
        <v>196.24927250256087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5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8">
        <f t="shared" si="56"/>
        <v>523.15981479287188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4.2</v>
      </c>
      <c r="N120" s="14">
        <f>IF('Données projet'!$A$36&gt;35,N119+M120-V119,IF(A120&lt;'Données projet'!$A$36,$K$205^A120,IF(A120='Données projet'!$A$36,'Données projet'!$B$36,N119+M120-V119)))</f>
        <v>315.39999999999992</v>
      </c>
      <c r="O120" s="14">
        <f>N120*VLOOKUP('Données projet'!$B$9,Paramètres!$A$1:$I$89,3,0)*VLOOKUP('Données projet'!$B$9,Paramètres!$A$1:$I$89,5,0)</f>
        <v>285.37391999999988</v>
      </c>
      <c r="P120" s="14">
        <f t="shared" si="87"/>
        <v>68.101413083167643</v>
      </c>
      <c r="Q120" s="22">
        <f t="shared" si="107"/>
        <v>615.63620511985016</v>
      </c>
      <c r="R120" s="60">
        <f t="shared" si="55"/>
        <v>908.96953845318353</v>
      </c>
      <c r="S120" s="60">
        <f ca="1">AVERAGE(OFFSET($R$3,0,0,'Données projet'!$E$9+1,1))-AVERAGE(OFFSET($H$3,0,0,'Données projet'!$E$9+1,1))</f>
        <v>327.62615088747526</v>
      </c>
      <c r="T120" s="60">
        <f t="shared" si="88"/>
        <v>180.48047802041276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4.2</v>
      </c>
      <c r="AI120" s="14">
        <f>IF('Données projet'!$A$62&gt;35,AI119+AH120-AQ119,IF(A120&lt;'Données projet'!$A$62,$AF$205^A120,IF(A120='Données projet'!$A$62,'Données projet'!$B$62,AI119+AH120-AQ119)))</f>
        <v>315.39999999999992</v>
      </c>
      <c r="AJ120" s="14">
        <f>AI120*VLOOKUP('Données projet'!$B$10,Paramètres!$A$1:$I$89,3,0)*VLOOKUP('Données projet'!$B$10,Paramètres!$A$1:$I$89,5,0)</f>
        <v>265.69295999999997</v>
      </c>
      <c r="AK120" s="14">
        <f t="shared" si="89"/>
        <v>63.934352995290837</v>
      </c>
      <c r="AL120" s="22">
        <f t="shared" si="58"/>
        <v>574.10090346679817</v>
      </c>
      <c r="AM120" s="60">
        <f t="shared" si="59"/>
        <v>867.43423680013143</v>
      </c>
      <c r="AN120" s="60">
        <f ca="1">AVERAGE(OFFSET($AM$3,0,0,'Données projet'!$E$10+1,1))-AVERAGE(OFFSET($H$3,0,0,'Données projet'!$E$10+1,1))</f>
        <v>295.5242128298583</v>
      </c>
      <c r="AO120" s="60">
        <f t="shared" si="90"/>
        <v>164.21740841327744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3.3333333333333313</v>
      </c>
      <c r="BD120" s="13">
        <f>IF('Données projet'!$A$88&gt;35,BD119+BC120-BL119,IF(A120&lt;'Données projet'!$A$88,$BA$205^A120,IF(A120='Données projet'!$A$88,'Données projet'!$B$88,BD119+BC120-BL119)))</f>
        <v>290.64102564102575</v>
      </c>
      <c r="BE120" s="14">
        <f>BD120*VLOOKUP('Données projet'!$B$11,Paramètres!$A$1:$I$89,3,0)*VLOOKUP('Données projet'!$B$11,Paramètres!$A$1:$I$89,5,0)</f>
        <v>276.57400000000013</v>
      </c>
      <c r="BF120" s="14">
        <f t="shared" si="91"/>
        <v>66.242478649743532</v>
      </c>
      <c r="BG120" s="22">
        <f t="shared" si="61"/>
        <v>597.07203364830355</v>
      </c>
      <c r="BH120" s="60">
        <f t="shared" si="62"/>
        <v>890.40536698163692</v>
      </c>
      <c r="BI120" s="60">
        <f ca="1">AVERAGE(OFFSET($BH$3,0,0,'Données projet'!$E$11+1,1))-AVERAGE(OFFSET($H$3,0,0,'Données projet'!$E$11+1,1))</f>
        <v>276.19649531804959</v>
      </c>
      <c r="BJ120" s="60">
        <f t="shared" si="92"/>
        <v>253.14970964973463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1.1368683772161603E-13</v>
      </c>
      <c r="BZ120" s="14">
        <f>BY120*VLOOKUP('Données projet'!$B$12,Paramètres!$A$1:$I$89,3,0)*VLOOKUP('Données projet'!$B$12,Paramètres!$A$1:$I$89,5,0)</f>
        <v>7.4487616075202823E-14</v>
      </c>
      <c r="CA120" s="14">
        <f t="shared" si="93"/>
        <v>1.1580453144473142E-12</v>
      </c>
      <c r="CB120" s="22">
        <f t="shared" si="64"/>
        <v>2.1466615206600508E-12</v>
      </c>
      <c r="CC120" s="60">
        <f t="shared" si="65"/>
        <v>293.33333333333547</v>
      </c>
      <c r="CD120" s="60">
        <f ca="1">AVERAGE(OFFSET($CC$3,0,0,'Données projet'!$E$12+1,1))-AVERAGE(OFFSET($H$3,0,0,'Données projet'!$E$12+1,1))</f>
        <v>154.88061446835457</v>
      </c>
      <c r="CE120" s="60">
        <f t="shared" si="94"/>
        <v>201.47826692201693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0.24466642927634033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0.24466642927634033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4.4000000000000004</v>
      </c>
      <c r="CT120" s="13">
        <f>IF('Données projet'!$A$140&gt;35,CT119+CS120-DB119,IF(A120&lt;'Données projet'!$A$140,$CQ$205^A120,IF(A120='Données projet'!$A$140,'Données projet'!$B$140,CT119+CS120-DB119)))</f>
        <v>304.80000000000007</v>
      </c>
      <c r="CU120" s="18">
        <f>CT120*VLOOKUP('Données projet'!$B$13,Paramètres!$A$1:$I$89,3,0)*VLOOKUP('Données projet'!$B$13,Paramètres!$A$1:$I$89,5,0)</f>
        <v>294.80256000000003</v>
      </c>
      <c r="CV120" s="14">
        <f t="shared" si="95"/>
        <v>70.085774636900737</v>
      </c>
      <c r="CW120" s="22">
        <f t="shared" si="67"/>
        <v>635.51384949260216</v>
      </c>
      <c r="CX120" s="60">
        <f t="shared" si="68"/>
        <v>928.84718282593553</v>
      </c>
      <c r="CY120" s="60">
        <f ca="1">AVERAGE(OFFSET($CX$3,0,0,'Données projet'!$E$13+1,1))-AVERAGE(OFFSET($H$3,0,0,'Données projet'!$E$13+1,1))</f>
        <v>293.44206058086951</v>
      </c>
      <c r="CZ120" s="60">
        <f t="shared" si="96"/>
        <v>182.15909509186827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4.4000000000000004</v>
      </c>
      <c r="DO120" s="13">
        <f>IF('Données projet'!$A$166&gt;35,DO119+DN120-DW119,IF(A120&lt;'Données projet'!$A$166,$DL$205^A120,IF(A120='Données projet'!$A$166,'Données projet'!$B$166,DO119+DN120-DW119)))</f>
        <v>304.80000000000007</v>
      </c>
      <c r="DP120" s="18">
        <f>DO120*VLOOKUP('Données projet'!$B$14,Paramètres!$A$1:$I$89,3,0)*VLOOKUP('Données projet'!$B$14,Paramètres!$A$1:$I$89,5,0)</f>
        <v>328.08672000000007</v>
      </c>
      <c r="DQ120" s="14">
        <f t="shared" si="97"/>
        <v>77.033501273745159</v>
      </c>
      <c r="DR120" s="22">
        <f t="shared" si="70"/>
        <v>705.5843853851062</v>
      </c>
      <c r="DS120" s="60">
        <f t="shared" si="71"/>
        <v>998.91771871843957</v>
      </c>
      <c r="DT120" s="60">
        <f ca="1">AVERAGE(OFFSET($DS$3,0,0,'Données projet'!$E$14+1,1))-AVERAGE(OFFSET($H$3,0,0,'Données projet'!$E$14+1,1))</f>
        <v>338.92444234934266</v>
      </c>
      <c r="DU120" s="60">
        <f t="shared" si="98"/>
        <v>208.91548891910895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5.8</v>
      </c>
      <c r="EJ120" s="13">
        <f>IF('Données projet'!$A$192&gt;35,EJ119+EI120-ER119,IF(A120&lt;'Données projet'!$A$192,$EG$205^A120,IF(A120='Données projet'!$A$192,'Données projet'!$B$192,EJ119+EI120-ER119)))</f>
        <v>435.59999999999974</v>
      </c>
      <c r="EK120" s="18">
        <f>EJ120*VLOOKUP('Données projet'!$B$15,Paramètres!$A$1:$I$89,3,0)*VLOOKUP('Données projet'!$B$15,Paramètres!$A$1:$I$89,5,0)</f>
        <v>353.35871999999978</v>
      </c>
      <c r="EL120" s="14">
        <f t="shared" si="99"/>
        <v>82.253721679570958</v>
      </c>
      <c r="EM120" s="22">
        <f t="shared" si="73"/>
        <v>758.69166925858565</v>
      </c>
      <c r="EN120" s="60">
        <f t="shared" si="74"/>
        <v>1052.025002591919</v>
      </c>
      <c r="EO120" s="60">
        <f ca="1">AVERAGE(OFFSET($EN$3,0,0,'Données projet'!$E$15+1,1))-AVERAGE(OFFSET($H$3,0,0,'Données projet'!$E$15+1,1))</f>
        <v>346.10839312896536</v>
      </c>
      <c r="EP120" s="60">
        <f t="shared" si="100"/>
        <v>196.24927250256087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5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8">
        <f t="shared" si="56"/>
        <v>525.07558121698594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4.2</v>
      </c>
      <c r="N121" s="14">
        <f>IF('Données projet'!$A$36&gt;35,N120+M121-V120,IF(A121&lt;'Données projet'!$A$36,$K$205^A121,IF(A121='Données projet'!$A$36,'Données projet'!$B$36,N120+M121-V120)))</f>
        <v>319.59999999999991</v>
      </c>
      <c r="O121" s="14">
        <f>N121*VLOOKUP('Données projet'!$B$9,Paramètres!$A$1:$I$89,3,0)*VLOOKUP('Données projet'!$B$9,Paramètres!$A$1:$I$89,5,0)</f>
        <v>289.17407999999989</v>
      </c>
      <c r="P121" s="14">
        <f t="shared" si="87"/>
        <v>68.902103026957676</v>
      </c>
      <c r="Q121" s="22">
        <f t="shared" si="107"/>
        <v>623.64935210528438</v>
      </c>
      <c r="R121" s="60">
        <f t="shared" si="55"/>
        <v>916.98268543861764</v>
      </c>
      <c r="S121" s="60">
        <f ca="1">AVERAGE(OFFSET($R$3,0,0,'Données projet'!$E$9+1,1))-AVERAGE(OFFSET($H$3,0,0,'Données projet'!$E$9+1,1))</f>
        <v>327.62615088747526</v>
      </c>
      <c r="T121" s="60">
        <f t="shared" si="88"/>
        <v>180.48047802041276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4.2</v>
      </c>
      <c r="AI121" s="14">
        <f>IF('Données projet'!$A$62&gt;35,AI120+AH121-AQ120,IF(A121&lt;'Données projet'!$A$62,$AF$205^A121,IF(A121='Données projet'!$A$62,'Données projet'!$B$62,AI120+AH121-AQ120)))</f>
        <v>319.59999999999991</v>
      </c>
      <c r="AJ121" s="14">
        <f>AI121*VLOOKUP('Données projet'!$B$10,Paramètres!$A$1:$I$89,3,0)*VLOOKUP('Données projet'!$B$10,Paramètres!$A$1:$I$89,5,0)</f>
        <v>269.23103999999995</v>
      </c>
      <c r="AK121" s="14">
        <f t="shared" si="89"/>
        <v>64.686049490098284</v>
      </c>
      <c r="AL121" s="22">
        <f t="shared" si="58"/>
        <v>581.57226419525443</v>
      </c>
      <c r="AM121" s="60">
        <f t="shared" si="59"/>
        <v>874.9055975285878</v>
      </c>
      <c r="AN121" s="60">
        <f ca="1">AVERAGE(OFFSET($AM$3,0,0,'Données projet'!$E$10+1,1))-AVERAGE(OFFSET($H$3,0,0,'Données projet'!$E$10+1,1))</f>
        <v>295.5242128298583</v>
      </c>
      <c r="AO121" s="60">
        <f t="shared" si="90"/>
        <v>164.21740841327744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3.3333333333333313</v>
      </c>
      <c r="BD121" s="13">
        <f>IF('Données projet'!$A$88&gt;35,BD120+BC121-BL120,IF(A121&lt;'Données projet'!$A$88,$BA$205^A121,IF(A121='Données projet'!$A$88,'Données projet'!$B$88,BD120+BC121-BL120)))</f>
        <v>293.97435897435906</v>
      </c>
      <c r="BE121" s="14">
        <f>BD121*VLOOKUP('Données projet'!$B$11,Paramètres!$A$1:$I$89,3,0)*VLOOKUP('Données projet'!$B$11,Paramètres!$A$1:$I$89,5,0)</f>
        <v>279.74600000000009</v>
      </c>
      <c r="BF121" s="14">
        <f t="shared" si="91"/>
        <v>66.913328544573034</v>
      </c>
      <c r="BG121" s="22">
        <f t="shared" si="61"/>
        <v>603.76499721513153</v>
      </c>
      <c r="BH121" s="60">
        <f t="shared" si="62"/>
        <v>897.0983305484649</v>
      </c>
      <c r="BI121" s="60">
        <f ca="1">AVERAGE(OFFSET($BH$3,0,0,'Données projet'!$E$11+1,1))-AVERAGE(OFFSET($H$3,0,0,'Données projet'!$E$11+1,1))</f>
        <v>276.19649531804959</v>
      </c>
      <c r="BJ121" s="60">
        <f t="shared" si="92"/>
        <v>253.14970964973463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1.1368683772161603E-13</v>
      </c>
      <c r="BZ121" s="14">
        <f>BY121*VLOOKUP('Données projet'!$B$12,Paramètres!$A$1:$I$89,3,0)*VLOOKUP('Données projet'!$B$12,Paramètres!$A$1:$I$89,5,0)</f>
        <v>7.4487616075202823E-14</v>
      </c>
      <c r="CA121" s="14">
        <f t="shared" si="93"/>
        <v>1.1580453144473142E-12</v>
      </c>
      <c r="CB121" s="22">
        <f t="shared" si="64"/>
        <v>2.1466615206600508E-12</v>
      </c>
      <c r="CC121" s="60">
        <f t="shared" si="65"/>
        <v>293.33333333333547</v>
      </c>
      <c r="CD121" s="60">
        <f ca="1">AVERAGE(OFFSET($CC$3,0,0,'Données projet'!$E$12+1,1))-AVERAGE(OFFSET($H$3,0,0,'Données projet'!$E$12+1,1))</f>
        <v>154.88061446835457</v>
      </c>
      <c r="CE121" s="60">
        <f t="shared" si="94"/>
        <v>201.47826692201693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0.23797601290133047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0.23797601290133047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4.4000000000000004</v>
      </c>
      <c r="CT121" s="13">
        <f>IF('Données projet'!$A$140&gt;35,CT120+CS121-DB120,IF(A121&lt;'Données projet'!$A$140,$CQ$205^A121,IF(A121='Données projet'!$A$140,'Données projet'!$B$140,CT120+CS121-DB120)))</f>
        <v>309.20000000000005</v>
      </c>
      <c r="CU121" s="18">
        <f>CT121*VLOOKUP('Données projet'!$B$13,Paramètres!$A$1:$I$89,3,0)*VLOOKUP('Données projet'!$B$13,Paramètres!$A$1:$I$89,5,0)</f>
        <v>299.05824000000007</v>
      </c>
      <c r="CV121" s="14">
        <f t="shared" si="95"/>
        <v>70.978998293504617</v>
      </c>
      <c r="CW121" s="22">
        <f t="shared" si="67"/>
        <v>644.48152336118721</v>
      </c>
      <c r="CX121" s="60">
        <f t="shared" si="68"/>
        <v>937.81485669452059</v>
      </c>
      <c r="CY121" s="60">
        <f ca="1">AVERAGE(OFFSET($CX$3,0,0,'Données projet'!$E$13+1,1))-AVERAGE(OFFSET($H$3,0,0,'Données projet'!$E$13+1,1))</f>
        <v>293.44206058086951</v>
      </c>
      <c r="CZ121" s="60">
        <f t="shared" si="96"/>
        <v>182.15909509186827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4.4000000000000004</v>
      </c>
      <c r="DO121" s="13">
        <f>IF('Données projet'!$A$166&gt;35,DO120+DN121-DW120,IF(A121&lt;'Données projet'!$A$166,$DL$205^A121,IF(A121='Données projet'!$A$166,'Données projet'!$B$166,DO120+DN121-DW120)))</f>
        <v>309.20000000000005</v>
      </c>
      <c r="DP121" s="18">
        <f>DO121*VLOOKUP('Données projet'!$B$14,Paramètres!$A$1:$I$89,3,0)*VLOOKUP('Données projet'!$B$14,Paramètres!$A$1:$I$89,5,0)</f>
        <v>332.82288000000005</v>
      </c>
      <c r="DQ121" s="14">
        <f t="shared" si="97"/>
        <v>78.015271769187478</v>
      </c>
      <c r="DR121" s="22">
        <f t="shared" si="70"/>
        <v>715.54311433133489</v>
      </c>
      <c r="DS121" s="60">
        <f t="shared" si="71"/>
        <v>1008.8764476646681</v>
      </c>
      <c r="DT121" s="60">
        <f ca="1">AVERAGE(OFFSET($DS$3,0,0,'Données projet'!$E$14+1,1))-AVERAGE(OFFSET($H$3,0,0,'Données projet'!$E$14+1,1))</f>
        <v>338.92444234934266</v>
      </c>
      <c r="DU121" s="60">
        <f t="shared" si="98"/>
        <v>208.91548891910895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5.8</v>
      </c>
      <c r="EJ121" s="13">
        <f>IF('Données projet'!$A$192&gt;35,EJ120+EI121-ER120,IF(A121&lt;'Données projet'!$A$192,$EG$205^A121,IF(A121='Données projet'!$A$192,'Données projet'!$B$192,EJ120+EI121-ER120)))</f>
        <v>441.39999999999975</v>
      </c>
      <c r="EK121" s="18">
        <f>EJ121*VLOOKUP('Données projet'!$B$15,Paramètres!$A$1:$I$89,3,0)*VLOOKUP('Données projet'!$B$15,Paramètres!$A$1:$I$89,5,0)</f>
        <v>358.06367999999981</v>
      </c>
      <c r="EL121" s="14">
        <f t="shared" si="99"/>
        <v>83.220699171853212</v>
      </c>
      <c r="EM121" s="22">
        <f t="shared" si="73"/>
        <v>768.57029372431055</v>
      </c>
      <c r="EN121" s="60">
        <f t="shared" si="74"/>
        <v>1061.9036270576439</v>
      </c>
      <c r="EO121" s="60">
        <f ca="1">AVERAGE(OFFSET($EN$3,0,0,'Données projet'!$E$15+1,1))-AVERAGE(OFFSET($H$3,0,0,'Données projet'!$E$15+1,1))</f>
        <v>346.10839312896536</v>
      </c>
      <c r="EP121" s="60">
        <f t="shared" si="100"/>
        <v>196.24927250256087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5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8">
        <f t="shared" si="56"/>
        <v>526.9909857159372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4.2</v>
      </c>
      <c r="N122" s="14">
        <f>IF('Données projet'!$A$36&gt;35,N121+M122-V121,IF(A122&lt;'Données projet'!$A$36,$K$205^A122,IF(A122='Données projet'!$A$36,'Données projet'!$B$36,N121+M122-V121)))</f>
        <v>323.7999999999999</v>
      </c>
      <c r="O122" s="14">
        <f>N122*VLOOKUP('Données projet'!$B$9,Paramètres!$A$1:$I$89,3,0)*VLOOKUP('Données projet'!$B$9,Paramètres!$A$1:$I$89,5,0)</f>
        <v>292.9742399999999</v>
      </c>
      <c r="P122" s="14">
        <f t="shared" si="87"/>
        <v>69.701569084730806</v>
      </c>
      <c r="Q122" s="22">
        <f t="shared" si="107"/>
        <v>631.66036748923932</v>
      </c>
      <c r="R122" s="60">
        <f t="shared" si="55"/>
        <v>924.99370082257269</v>
      </c>
      <c r="S122" s="60">
        <f ca="1">AVERAGE(OFFSET($R$3,0,0,'Données projet'!$E$9+1,1))-AVERAGE(OFFSET($H$3,0,0,'Données projet'!$E$9+1,1))</f>
        <v>327.62615088747526</v>
      </c>
      <c r="T122" s="60">
        <f t="shared" si="88"/>
        <v>180.48047802041276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4.2</v>
      </c>
      <c r="AI122" s="14">
        <f>IF('Données projet'!$A$62&gt;35,AI121+AH122-AQ121,IF(A122&lt;'Données projet'!$A$62,$AF$205^A122,IF(A122='Données projet'!$A$62,'Données projet'!$B$62,AI121+AH122-AQ121)))</f>
        <v>323.7999999999999</v>
      </c>
      <c r="AJ122" s="14">
        <f>AI122*VLOOKUP('Données projet'!$B$10,Paramètres!$A$1:$I$89,3,0)*VLOOKUP('Données projet'!$B$10,Paramètres!$A$1:$I$89,5,0)</f>
        <v>272.76911999999993</v>
      </c>
      <c r="AK122" s="14">
        <f t="shared" si="89"/>
        <v>65.436596987299211</v>
      </c>
      <c r="AL122" s="22">
        <f t="shared" si="58"/>
        <v>589.04162375287922</v>
      </c>
      <c r="AM122" s="60">
        <f t="shared" si="59"/>
        <v>882.37495708621259</v>
      </c>
      <c r="AN122" s="60">
        <f ca="1">AVERAGE(OFFSET($AM$3,0,0,'Données projet'!$E$10+1,1))-AVERAGE(OFFSET($H$3,0,0,'Données projet'!$E$10+1,1))</f>
        <v>295.5242128298583</v>
      </c>
      <c r="AO122" s="60">
        <f t="shared" si="90"/>
        <v>164.21740841327744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3.3333333333333313</v>
      </c>
      <c r="BD122" s="13">
        <f>IF('Données projet'!$A$88&gt;35,BD121+BC122-BL121,IF(A122&lt;'Données projet'!$A$88,$BA$205^A122,IF(A122='Données projet'!$A$88,'Données projet'!$B$88,BD121+BC122-BL121)))</f>
        <v>297.30769230769238</v>
      </c>
      <c r="BE122" s="14">
        <f>BD122*VLOOKUP('Données projet'!$B$11,Paramètres!$A$1:$I$89,3,0)*VLOOKUP('Données projet'!$B$11,Paramètres!$A$1:$I$89,5,0)</f>
        <v>282.91800000000012</v>
      </c>
      <c r="BF122" s="14">
        <f t="shared" si="91"/>
        <v>67.583293586861146</v>
      </c>
      <c r="BG122" s="22">
        <f t="shared" si="61"/>
        <v>610.45641966378332</v>
      </c>
      <c r="BH122" s="60">
        <f t="shared" si="62"/>
        <v>903.78975299711669</v>
      </c>
      <c r="BI122" s="60">
        <f ca="1">AVERAGE(OFFSET($BH$3,0,0,'Données projet'!$E$11+1,1))-AVERAGE(OFFSET($H$3,0,0,'Données projet'!$E$11+1,1))</f>
        <v>276.19649531804959</v>
      </c>
      <c r="BJ122" s="60">
        <f t="shared" si="92"/>
        <v>253.14970964973463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1.1368683772161603E-13</v>
      </c>
      <c r="BZ122" s="14">
        <f>BY122*VLOOKUP('Données projet'!$B$12,Paramètres!$A$1:$I$89,3,0)*VLOOKUP('Données projet'!$B$12,Paramètres!$A$1:$I$89,5,0)</f>
        <v>7.4487616075202823E-14</v>
      </c>
      <c r="CA122" s="14">
        <f t="shared" si="93"/>
        <v>1.1580453144473142E-12</v>
      </c>
      <c r="CB122" s="22">
        <f t="shared" si="64"/>
        <v>2.1466615206600508E-12</v>
      </c>
      <c r="CC122" s="60">
        <f t="shared" si="65"/>
        <v>293.33333333333547</v>
      </c>
      <c r="CD122" s="60">
        <f ca="1">AVERAGE(OFFSET($CC$3,0,0,'Données projet'!$E$12+1,1))-AVERAGE(OFFSET($H$3,0,0,'Données projet'!$E$12+1,1))</f>
        <v>154.88061446835457</v>
      </c>
      <c r="CE122" s="60">
        <f t="shared" si="94"/>
        <v>201.47826692201693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0.23146854631392896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0.23146854631392896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4.4000000000000004</v>
      </c>
      <c r="CT122" s="13">
        <f>IF('Données projet'!$A$140&gt;35,CT121+CS122-DB121,IF(A122&lt;'Données projet'!$A$140,$CQ$205^A122,IF(A122='Données projet'!$A$140,'Données projet'!$B$140,CT121+CS122-DB121)))</f>
        <v>313.60000000000002</v>
      </c>
      <c r="CU122" s="18">
        <f>CT122*VLOOKUP('Données projet'!$B$13,Paramètres!$A$1:$I$89,3,0)*VLOOKUP('Données projet'!$B$13,Paramètres!$A$1:$I$89,5,0)</f>
        <v>303.31392000000005</v>
      </c>
      <c r="CV122" s="14">
        <f t="shared" si="95"/>
        <v>71.870743583130803</v>
      </c>
      <c r="CW122" s="22">
        <f t="shared" si="67"/>
        <v>653.4466224072861</v>
      </c>
      <c r="CX122" s="60">
        <f t="shared" si="68"/>
        <v>946.77995574061947</v>
      </c>
      <c r="CY122" s="60">
        <f ca="1">AVERAGE(OFFSET($CX$3,0,0,'Données projet'!$E$13+1,1))-AVERAGE(OFFSET($H$3,0,0,'Données projet'!$E$13+1,1))</f>
        <v>293.44206058086951</v>
      </c>
      <c r="CZ122" s="60">
        <f t="shared" si="96"/>
        <v>182.15909509186827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4.4000000000000004</v>
      </c>
      <c r="DO122" s="13">
        <f>IF('Données projet'!$A$166&gt;35,DO121+DN122-DW121,IF(A122&lt;'Données projet'!$A$166,$DL$205^A122,IF(A122='Données projet'!$A$166,'Données projet'!$B$166,DO121+DN122-DW121)))</f>
        <v>313.60000000000002</v>
      </c>
      <c r="DP122" s="18">
        <f>DO122*VLOOKUP('Données projet'!$B$14,Paramètres!$A$1:$I$89,3,0)*VLOOKUP('Données projet'!$B$14,Paramètres!$A$1:$I$89,5,0)</f>
        <v>337.55903999999998</v>
      </c>
      <c r="DQ122" s="14">
        <f t="shared" si="97"/>
        <v>78.995417344522494</v>
      </c>
      <c r="DR122" s="22">
        <f t="shared" si="70"/>
        <v>725.4990132083766</v>
      </c>
      <c r="DS122" s="60">
        <f t="shared" si="71"/>
        <v>1018.83234654171</v>
      </c>
      <c r="DT122" s="60">
        <f ca="1">AVERAGE(OFFSET($DS$3,0,0,'Données projet'!$E$14+1,1))-AVERAGE(OFFSET($H$3,0,0,'Données projet'!$E$14+1,1))</f>
        <v>338.92444234934266</v>
      </c>
      <c r="DU122" s="60">
        <f t="shared" si="98"/>
        <v>208.91548891910895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5.8</v>
      </c>
      <c r="EJ122" s="13">
        <f>IF('Données projet'!$A$192&gt;35,EJ121+EI122-ER121,IF(A122&lt;'Données projet'!$A$192,$EG$205^A122,IF(A122='Données projet'!$A$192,'Données projet'!$B$192,EJ121+EI122-ER121)))</f>
        <v>447.19999999999976</v>
      </c>
      <c r="EK122" s="18">
        <f>EJ122*VLOOKUP('Données projet'!$B$15,Paramètres!$A$1:$I$89,3,0)*VLOOKUP('Données projet'!$B$15,Paramètres!$A$1:$I$89,5,0)</f>
        <v>362.76863999999983</v>
      </c>
      <c r="EL122" s="14">
        <f t="shared" si="99"/>
        <v>84.186198760415721</v>
      </c>
      <c r="EM122" s="22">
        <f t="shared" si="73"/>
        <v>778.44634417439045</v>
      </c>
      <c r="EN122" s="60">
        <f t="shared" si="74"/>
        <v>1071.7796775077238</v>
      </c>
      <c r="EO122" s="60">
        <f ca="1">AVERAGE(OFFSET($EN$3,0,0,'Données projet'!$E$15+1,1))-AVERAGE(OFFSET($H$3,0,0,'Données projet'!$E$15+1,1))</f>
        <v>346.10839312896536</v>
      </c>
      <c r="EP122" s="60">
        <f t="shared" si="100"/>
        <v>196.24927250256087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5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8">
        <f t="shared" si="56"/>
        <v>528.90603168355119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4.2</v>
      </c>
      <c r="N123" s="14">
        <f>IF('Données projet'!$A$36&gt;35,N122+M123-V122,IF(A123&lt;'Données projet'!$A$36,$K$205^A123,IF(A123='Données projet'!$A$36,'Données projet'!$B$36,N122+M123-V122)))</f>
        <v>327.99999999999989</v>
      </c>
      <c r="O123" s="14">
        <f>N123*VLOOKUP('Données projet'!$B$9,Paramètres!$A$1:$I$89,3,0)*VLOOKUP('Données projet'!$B$9,Paramètres!$A$1:$I$89,5,0)</f>
        <v>296.7743999999999</v>
      </c>
      <c r="P123" s="14">
        <f t="shared" si="87"/>
        <v>70.499828966950673</v>
      </c>
      <c r="Q123" s="22">
        <f t="shared" si="107"/>
        <v>639.6692821174388</v>
      </c>
      <c r="R123" s="60">
        <f t="shared" si="55"/>
        <v>933.00261545077205</v>
      </c>
      <c r="S123" s="60">
        <f ca="1">AVERAGE(OFFSET($R$3,0,0,'Données projet'!$E$9+1,1))-AVERAGE(OFFSET($H$3,0,0,'Données projet'!$E$9+1,1))</f>
        <v>327.62615088747526</v>
      </c>
      <c r="T123" s="60">
        <f t="shared" si="88"/>
        <v>180.48047802041276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4.2</v>
      </c>
      <c r="AI123" s="14">
        <f>IF('Données projet'!$A$62&gt;35,AI122+AH123-AQ122,IF(A123&lt;'Données projet'!$A$62,$AF$205^A123,IF(A123='Données projet'!$A$62,'Données projet'!$B$62,AI122+AH123-AQ122)))</f>
        <v>327.99999999999989</v>
      </c>
      <c r="AJ123" s="14">
        <f>AI123*VLOOKUP('Données projet'!$B$10,Paramètres!$A$1:$I$89,3,0)*VLOOKUP('Données projet'!$B$10,Paramètres!$A$1:$I$89,5,0)</f>
        <v>276.30719999999991</v>
      </c>
      <c r="AK123" s="14">
        <f t="shared" si="89"/>
        <v>66.186012113671126</v>
      </c>
      <c r="AL123" s="22">
        <f t="shared" si="58"/>
        <v>596.5090110979769</v>
      </c>
      <c r="AM123" s="60">
        <f t="shared" si="59"/>
        <v>889.84234443131027</v>
      </c>
      <c r="AN123" s="60">
        <f ca="1">AVERAGE(OFFSET($AM$3,0,0,'Données projet'!$E$10+1,1))-AVERAGE(OFFSET($H$3,0,0,'Données projet'!$E$10+1,1))</f>
        <v>295.5242128298583</v>
      </c>
      <c r="AO123" s="60">
        <f t="shared" si="90"/>
        <v>164.21740841327744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300.64102564102564</v>
      </c>
      <c r="BB123" s="13">
        <f>VLOOKUP(A123,'Données projet'!$A$87:$I$107,9,0)</f>
        <v>3.3333333333333313</v>
      </c>
      <c r="BC123" s="13">
        <f t="array" ref="BC123">INDEX(BB:BB,MIN(IF(ISNUMBER(BB123:BB319),ROW(BB123:BB319),"")))</f>
        <v>3.3333333333333313</v>
      </c>
      <c r="BD123" s="13">
        <f>IF('Données projet'!$A$88&gt;35,BD122+BC123-BL122,IF(A123&lt;'Données projet'!$A$88,$BA$205^A123,IF(A123='Données projet'!$A$88,'Données projet'!$B$88,BD122+BC123-BL122)))</f>
        <v>300.64102564102569</v>
      </c>
      <c r="BE123" s="14">
        <f>BD123*VLOOKUP('Données projet'!$B$11,Paramètres!$A$1:$I$89,3,0)*VLOOKUP('Données projet'!$B$11,Paramètres!$A$1:$I$89,5,0)</f>
        <v>286.09000000000003</v>
      </c>
      <c r="BF123" s="14">
        <f t="shared" si="91"/>
        <v>68.252384845349852</v>
      </c>
      <c r="BG123" s="22">
        <f t="shared" si="61"/>
        <v>617.14632027231767</v>
      </c>
      <c r="BH123" s="60">
        <f t="shared" si="62"/>
        <v>910.47965360565104</v>
      </c>
      <c r="BI123" s="60">
        <f ca="1">AVERAGE(OFFSET($BH$3,0,0,'Données projet'!$E$11+1,1))-AVERAGE(OFFSET($H$3,0,0,'Données projet'!$E$11+1,1))</f>
        <v>276.19649531804959</v>
      </c>
      <c r="BJ123" s="60">
        <f t="shared" si="92"/>
        <v>253.14970964973463</v>
      </c>
      <c r="BK123" s="16">
        <f>IF(ISNA(VLOOKUP(A123,'Données projet'!$A$87:$I$107,3,0)),0,VLOOKUP(A123,'Données projet'!$A$87:$I$107,3,0))</f>
        <v>11</v>
      </c>
      <c r="BL123" s="16">
        <f>IF(ISNA(VLOOKUP(A123,'Données projet'!$A$87:$I$107,4,0)),0,VLOOKUP(A123,'Données projet'!$A$87:$I$107,4,0))</f>
        <v>300.64102564102564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1.1368683772161603E-13</v>
      </c>
      <c r="BZ123" s="14">
        <f>BY123*VLOOKUP('Données projet'!$B$12,Paramètres!$A$1:$I$89,3,0)*VLOOKUP('Données projet'!$B$12,Paramètres!$A$1:$I$89,5,0)</f>
        <v>7.4487616075202823E-14</v>
      </c>
      <c r="CA123" s="14">
        <f t="shared" si="93"/>
        <v>1.1580453144473142E-12</v>
      </c>
      <c r="CB123" s="22">
        <f t="shared" si="64"/>
        <v>2.1466615206600508E-12</v>
      </c>
      <c r="CC123" s="60">
        <f t="shared" si="65"/>
        <v>293.33333333333547</v>
      </c>
      <c r="CD123" s="60">
        <f ca="1">AVERAGE(OFFSET($CC$3,0,0,'Données projet'!$E$12+1,1))-AVERAGE(OFFSET($H$3,0,0,'Données projet'!$E$12+1,1))</f>
        <v>154.88061446835457</v>
      </c>
      <c r="CE123" s="60">
        <f t="shared" si="94"/>
        <v>201.47826692201693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0.22513902674257275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0.22513902674257275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318</v>
      </c>
      <c r="CR123" s="13">
        <f>VLOOKUP(A123,'Données projet'!$A$139:$I$159,9,0)</f>
        <v>4.4000000000000004</v>
      </c>
      <c r="CS123" s="13">
        <f t="array" ref="CS123">INDEX(CR:CR,MIN(IF(ISNUMBER(CR123:CR319),ROW(CR123:CR319),"")))</f>
        <v>4.4000000000000004</v>
      </c>
      <c r="CT123" s="13">
        <f>IF('Données projet'!$A$140&gt;35,CT122+CS123-DB122,IF(A123&lt;'Données projet'!$A$140,$CQ$205^A123,IF(A123='Données projet'!$A$140,'Données projet'!$B$140,CT122+CS123-DB122)))</f>
        <v>318</v>
      </c>
      <c r="CU123" s="18">
        <f>CT123*VLOOKUP('Données projet'!$B$13,Paramètres!$A$1:$I$89,3,0)*VLOOKUP('Données projet'!$B$13,Paramètres!$A$1:$I$89,5,0)</f>
        <v>307.56959999999998</v>
      </c>
      <c r="CV123" s="14">
        <f t="shared" si="95"/>
        <v>72.761033645216898</v>
      </c>
      <c r="CW123" s="22">
        <f t="shared" si="67"/>
        <v>662.40918693208607</v>
      </c>
      <c r="CX123" s="60">
        <f t="shared" si="68"/>
        <v>955.74252026541944</v>
      </c>
      <c r="CY123" s="60">
        <f ca="1">AVERAGE(OFFSET($CX$3,0,0,'Données projet'!$E$13+1,1))-AVERAGE(OFFSET($H$3,0,0,'Données projet'!$E$13+1,1))</f>
        <v>293.44206058086951</v>
      </c>
      <c r="CZ123" s="60">
        <f t="shared" si="96"/>
        <v>182.15909509186827</v>
      </c>
      <c r="DA123" s="16">
        <f>IF(ISNA(VLOOKUP(A123,'Données projet'!$A$139:$I$159,3,0)),0,VLOOKUP(A123,'Données projet'!$A$139:$I$159,3,0))</f>
        <v>11</v>
      </c>
      <c r="DB123" s="16">
        <f>IF(ISNA(VLOOKUP(A123,'Données projet'!$A$139:$I$159,4,0)),0,VLOOKUP(A123,'Données projet'!$A$139:$I$159,4,0))</f>
        <v>318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318</v>
      </c>
      <c r="DM123" s="13">
        <f>VLOOKUP(A123,'Données projet'!$A$165:$I$185,9,0)</f>
        <v>4.4000000000000004</v>
      </c>
      <c r="DN123" s="13">
        <f t="array" ref="DN123">INDEX(DM:DM,MIN(IF(ISNUMBER(DM123:DM319),ROW(DM123:DM319),"")))</f>
        <v>4.4000000000000004</v>
      </c>
      <c r="DO123" s="13">
        <f>IF('Données projet'!$A$166&gt;35,DO122+DN123-DW122,IF(A123&lt;'Données projet'!$A$166,$DL$205^A123,IF(A123='Données projet'!$A$166,'Données projet'!$B$166,DO122+DN123-DW122)))</f>
        <v>318</v>
      </c>
      <c r="DP123" s="18">
        <f>DO123*VLOOKUP('Données projet'!$B$14,Paramètres!$A$1:$I$89,3,0)*VLOOKUP('Données projet'!$B$14,Paramètres!$A$1:$I$89,5,0)</f>
        <v>342.29519999999997</v>
      </c>
      <c r="DQ123" s="14">
        <f t="shared" si="97"/>
        <v>79.97396343304068</v>
      </c>
      <c r="DR123" s="22">
        <f t="shared" si="70"/>
        <v>735.45212631254583</v>
      </c>
      <c r="DS123" s="60">
        <f t="shared" si="71"/>
        <v>1028.7854596458792</v>
      </c>
      <c r="DT123" s="60">
        <f ca="1">AVERAGE(OFFSET($DS$3,0,0,'Données projet'!$E$14+1,1))-AVERAGE(OFFSET($H$3,0,0,'Données projet'!$E$14+1,1))</f>
        <v>338.92444234934266</v>
      </c>
      <c r="DU123" s="60">
        <f t="shared" si="98"/>
        <v>208.91548891910895</v>
      </c>
      <c r="DV123" s="16">
        <f>IF(ISNA(VLOOKUP(A123,'Données projet'!$A$165:$I$185,3,0)),0,VLOOKUP(A123,'Données projet'!$A$165:$I$185,3,0))</f>
        <v>11</v>
      </c>
      <c r="DW123" s="16">
        <f>IF(ISNA(VLOOKUP(A123,'Données projet'!$A$165:$I$185,4,0)),0,VLOOKUP(A123,'Données projet'!$A$165:$I$185,4,0))</f>
        <v>318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453</v>
      </c>
      <c r="EH123" s="13">
        <f>VLOOKUP(A123,'Données projet'!$A$191:$I$211,9,0)</f>
        <v>5.8</v>
      </c>
      <c r="EI123" s="13">
        <f t="array" ref="EI123">INDEX(EH:EH,MIN(IF(ISNUMBER(EH123:EH319),ROW(EH123:EH319),"")))</f>
        <v>5.8</v>
      </c>
      <c r="EJ123" s="13">
        <f>IF('Données projet'!$A$192&gt;35,EJ122+EI123-ER122,IF(A123&lt;'Données projet'!$A$192,$EG$205^A123,IF(A123='Données projet'!$A$192,'Données projet'!$B$192,EJ122+EI123-ER122)))</f>
        <v>452.99999999999977</v>
      </c>
      <c r="EK123" s="18">
        <f>EJ123*VLOOKUP('Données projet'!$B$15,Paramètres!$A$1:$I$89,3,0)*VLOOKUP('Données projet'!$B$15,Paramètres!$A$1:$I$89,5,0)</f>
        <v>367.47359999999986</v>
      </c>
      <c r="EL123" s="14">
        <f t="shared" si="99"/>
        <v>85.150241829255194</v>
      </c>
      <c r="EM123" s="22">
        <f t="shared" si="73"/>
        <v>788.31985785261929</v>
      </c>
      <c r="EN123" s="60">
        <f t="shared" si="74"/>
        <v>1081.6531911859527</v>
      </c>
      <c r="EO123" s="60">
        <f ca="1">AVERAGE(OFFSET($EN$3,0,0,'Données projet'!$E$15+1,1))-AVERAGE(OFFSET($H$3,0,0,'Données projet'!$E$15+1,1))</f>
        <v>346.10839312896536</v>
      </c>
      <c r="EP123" s="60">
        <f t="shared" si="100"/>
        <v>196.24927250256087</v>
      </c>
      <c r="EQ123" s="16">
        <f>IF(ISNA(VLOOKUP(A123,'Données projet'!$A$191:$I$211,3,0)),0,VLOOKUP(A123,'Données projet'!$A$191:$I$211,3,0))</f>
        <v>10</v>
      </c>
      <c r="ER123" s="16">
        <f>IF(ISNA(VLOOKUP(A123,'Données projet'!$A$191:$I$211,4,0)),0,VLOOKUP(A123,'Données projet'!$A$191:$I$211,4,0))</f>
        <v>43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5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8">
        <f t="shared" si="56"/>
        <v>530.8207224538246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4.2</v>
      </c>
      <c r="N124" s="14">
        <f>IF('Données projet'!$A$36&gt;35,N123+M124-V123,IF(A124&lt;'Données projet'!$A$36,$K$205^A124,IF(A124='Données projet'!$A$36,'Données projet'!$B$36,N123+M124-V123)))</f>
        <v>332.19999999999987</v>
      </c>
      <c r="O124" s="14">
        <f>N124*VLOOKUP('Données projet'!$B$9,Paramètres!$A$1:$I$89,3,0)*VLOOKUP('Données projet'!$B$9,Paramètres!$A$1:$I$89,5,0)</f>
        <v>300.57455999999985</v>
      </c>
      <c r="P124" s="14">
        <f t="shared" si="87"/>
        <v>71.296899904441815</v>
      </c>
      <c r="Q124" s="22">
        <f t="shared" si="107"/>
        <v>647.67612600023597</v>
      </c>
      <c r="R124" s="60">
        <f t="shared" si="55"/>
        <v>941.00945933356934</v>
      </c>
      <c r="S124" s="60">
        <f ca="1">AVERAGE(OFFSET($R$3,0,0,'Données projet'!$E$9+1,1))-AVERAGE(OFFSET($H$3,0,0,'Données projet'!$E$9+1,1))</f>
        <v>327.62615088747526</v>
      </c>
      <c r="T124" s="60">
        <f t="shared" si="88"/>
        <v>180.48047802041276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4.2</v>
      </c>
      <c r="AI124" s="14">
        <f>IF('Données projet'!$A$62&gt;35,AI123+AH124-AQ123,IF(A124&lt;'Données projet'!$A$62,$AF$205^A124,IF(A124='Données projet'!$A$62,'Données projet'!$B$62,AI123+AH124-AQ123)))</f>
        <v>332.19999999999987</v>
      </c>
      <c r="AJ124" s="14">
        <f>AI124*VLOOKUP('Données projet'!$B$10,Paramètres!$A$1:$I$89,3,0)*VLOOKUP('Données projet'!$B$10,Paramètres!$A$1:$I$89,5,0)</f>
        <v>279.84527999999995</v>
      </c>
      <c r="AK124" s="14">
        <f t="shared" si="89"/>
        <v>66.934311045700795</v>
      </c>
      <c r="AL124" s="22">
        <f t="shared" si="58"/>
        <v>603.97445440459546</v>
      </c>
      <c r="AM124" s="60">
        <f t="shared" si="59"/>
        <v>897.30778773792872</v>
      </c>
      <c r="AN124" s="60">
        <f ca="1">AVERAGE(OFFSET($AM$3,0,0,'Données projet'!$E$10+1,1))-AVERAGE(OFFSET($H$3,0,0,'Données projet'!$E$10+1,1))</f>
        <v>295.5242128298583</v>
      </c>
      <c r="AO124" s="60">
        <f t="shared" si="90"/>
        <v>164.21740841327744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5.4092197387944907E-14</v>
      </c>
      <c r="BF124" s="14">
        <f t="shared" si="91"/>
        <v>8.7287050538073676E-13</v>
      </c>
      <c r="BG124" s="22">
        <f t="shared" si="61"/>
        <v>1.6144600406554537E-12</v>
      </c>
      <c r="BH124" s="60">
        <f t="shared" si="62"/>
        <v>293.33333333333491</v>
      </c>
      <c r="BI124" s="60">
        <f ca="1">AVERAGE(OFFSET($BH$3,0,0,'Données projet'!$E$11+1,1))-AVERAGE(OFFSET($H$3,0,0,'Données projet'!$E$11+1,1))</f>
        <v>276.19649531804959</v>
      </c>
      <c r="BJ124" s="60">
        <f t="shared" si="92"/>
        <v>253.14970964973463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7.4487616075202823E-14</v>
      </c>
      <c r="CA124" s="14">
        <f t="shared" si="93"/>
        <v>1.1580453144473142E-12</v>
      </c>
      <c r="CB124" s="22">
        <f t="shared" si="64"/>
        <v>2.1466615206600508E-12</v>
      </c>
      <c r="CC124" s="60">
        <f t="shared" si="65"/>
        <v>293.33333333333547</v>
      </c>
      <c r="CD124" s="60">
        <f ca="1">AVERAGE(OFFSET($CC$3,0,0,'Données projet'!$E$12+1,1))-AVERAGE(OFFSET($H$3,0,0,'Données projet'!$E$12+1,1))</f>
        <v>154.88061446835457</v>
      </c>
      <c r="CE124" s="60">
        <f t="shared" si="94"/>
        <v>201.47826692201693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0.21898258821675023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0.21898258821675023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0" t="e">
        <f t="shared" si="68"/>
        <v>#NUM!</v>
      </c>
      <c r="CY124" s="60">
        <f ca="1">AVERAGE(OFFSET($CX$3,0,0,'Données projet'!$E$13+1,1))-AVERAGE(OFFSET($H$3,0,0,'Données projet'!$E$13+1,1))</f>
        <v>293.44206058086951</v>
      </c>
      <c r="CZ124" s="60">
        <f t="shared" si="96"/>
        <v>182.15909509186827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>
        <f>DO124*VLOOKUP('Données projet'!$B$14,Paramètres!$A$1:$I$89,3,0)*VLOOKUP('Données projet'!$B$14,Paramètres!$A$1:$I$89,5,0)</f>
        <v>0</v>
      </c>
      <c r="DQ124" s="14" t="e">
        <f t="shared" si="97"/>
        <v>#NUM!</v>
      </c>
      <c r="DR124" s="22" t="e">
        <f t="shared" si="70"/>
        <v>#NUM!</v>
      </c>
      <c r="DS124" s="60" t="e">
        <f t="shared" si="71"/>
        <v>#NUM!</v>
      </c>
      <c r="DT124" s="60">
        <f ca="1">AVERAGE(OFFSET($DS$3,0,0,'Données projet'!$E$14+1,1))-AVERAGE(OFFSET($H$3,0,0,'Données projet'!$E$14+1,1))</f>
        <v>338.92444234934266</v>
      </c>
      <c r="DU124" s="60">
        <f t="shared" si="98"/>
        <v>208.91548891910895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5</v>
      </c>
      <c r="EJ124" s="13">
        <f>IF('Données projet'!$A$192&gt;35,EJ123+EI124-ER123,IF(A124&lt;'Données projet'!$A$192,$EG$205^A124,IF(A124='Données projet'!$A$192,'Données projet'!$B$192,EJ123+EI124-ER123)))</f>
        <v>414.99999999999977</v>
      </c>
      <c r="EK124" s="18">
        <f>EJ124*VLOOKUP('Données projet'!$B$15,Paramètres!$A$1:$I$89,3,0)*VLOOKUP('Données projet'!$B$15,Paramètres!$A$1:$I$89,5,0)</f>
        <v>336.64799999999985</v>
      </c>
      <c r="EL124" s="14">
        <f t="shared" si="99"/>
        <v>78.807003163010307</v>
      </c>
      <c r="EM124" s="22">
        <f t="shared" si="73"/>
        <v>723.58413050890931</v>
      </c>
      <c r="EN124" s="60">
        <f t="shared" si="74"/>
        <v>1016.9174638422426</v>
      </c>
      <c r="EO124" s="60">
        <f ca="1">AVERAGE(OFFSET($EN$3,0,0,'Données projet'!$E$15+1,1))-AVERAGE(OFFSET($H$3,0,0,'Données projet'!$E$15+1,1))</f>
        <v>346.10839312896536</v>
      </c>
      <c r="EP124" s="60">
        <f t="shared" si="100"/>
        <v>196.24927250256087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5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8">
        <f t="shared" si="56"/>
        <v>532.73506130246597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4.2</v>
      </c>
      <c r="N125" s="14">
        <f>IF('Données projet'!$A$36&gt;35,N124+M125-V124,IF(A125&lt;'Données projet'!$A$36,$K$205^A125,IF(A125='Données projet'!$A$36,'Données projet'!$B$36,N124+M125-V124)))</f>
        <v>336.39999999999986</v>
      </c>
      <c r="O125" s="14">
        <f>N125*VLOOKUP('Données projet'!$B$9,Paramètres!$A$1:$I$89,3,0)*VLOOKUP('Données projet'!$B$9,Paramètres!$A$1:$I$89,5,0)</f>
        <v>304.37471999999985</v>
      </c>
      <c r="P125" s="14">
        <f t="shared" si="87"/>
        <v>72.092798667275062</v>
      </c>
      <c r="Q125" s="22">
        <f t="shared" si="107"/>
        <v>655.68092834550373</v>
      </c>
      <c r="R125" s="60">
        <f t="shared" si="55"/>
        <v>949.0142616788371</v>
      </c>
      <c r="S125" s="60">
        <f ca="1">AVERAGE(OFFSET($R$3,0,0,'Données projet'!$E$9+1,1))-AVERAGE(OFFSET($H$3,0,0,'Données projet'!$E$9+1,1))</f>
        <v>327.62615088747526</v>
      </c>
      <c r="T125" s="60">
        <f t="shared" si="88"/>
        <v>180.48047802041276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4.2</v>
      </c>
      <c r="AI125" s="14">
        <f>IF('Données projet'!$A$62&gt;35,AI124+AH125-AQ124,IF(A125&lt;'Données projet'!$A$62,$AF$205^A125,IF(A125='Données projet'!$A$62,'Données projet'!$B$62,AI124+AH125-AQ124)))</f>
        <v>336.39999999999986</v>
      </c>
      <c r="AJ125" s="14">
        <f>AI125*VLOOKUP('Données projet'!$B$10,Paramètres!$A$1:$I$89,3,0)*VLOOKUP('Données projet'!$B$10,Paramètres!$A$1:$I$89,5,0)</f>
        <v>283.38335999999993</v>
      </c>
      <c r="AK125" s="14">
        <f t="shared" si="89"/>
        <v>67.681509527314574</v>
      </c>
      <c r="AL125" s="22">
        <f t="shared" si="58"/>
        <v>611.43798109340605</v>
      </c>
      <c r="AM125" s="60">
        <f t="shared" si="59"/>
        <v>904.77131442673931</v>
      </c>
      <c r="AN125" s="60">
        <f ca="1">AVERAGE(OFFSET($AM$3,0,0,'Données projet'!$E$10+1,1))-AVERAGE(OFFSET($H$3,0,0,'Données projet'!$E$10+1,1))</f>
        <v>295.5242128298583</v>
      </c>
      <c r="AO125" s="60">
        <f t="shared" si="90"/>
        <v>164.21740841327744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5.4092197387944907E-14</v>
      </c>
      <c r="BF125" s="14">
        <f t="shared" si="91"/>
        <v>8.7287050538073676E-13</v>
      </c>
      <c r="BG125" s="22">
        <f t="shared" si="61"/>
        <v>1.6144600406554537E-12</v>
      </c>
      <c r="BH125" s="60">
        <f t="shared" si="62"/>
        <v>293.33333333333491</v>
      </c>
      <c r="BI125" s="60">
        <f ca="1">AVERAGE(OFFSET($BH$3,0,0,'Données projet'!$E$11+1,1))-AVERAGE(OFFSET($H$3,0,0,'Données projet'!$E$11+1,1))</f>
        <v>276.19649531804959</v>
      </c>
      <c r="BJ125" s="60">
        <f t="shared" si="92"/>
        <v>253.14970964973463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7.4487616075202823E-14</v>
      </c>
      <c r="CA125" s="14">
        <f t="shared" si="93"/>
        <v>1.1580453144473142E-12</v>
      </c>
      <c r="CB125" s="22">
        <f t="shared" si="64"/>
        <v>2.1466615206600508E-12</v>
      </c>
      <c r="CC125" s="60">
        <f t="shared" si="65"/>
        <v>293.33333333333547</v>
      </c>
      <c r="CD125" s="60">
        <f ca="1">AVERAGE(OFFSET($CC$3,0,0,'Données projet'!$E$12+1,1))-AVERAGE(OFFSET($H$3,0,0,'Données projet'!$E$12+1,1))</f>
        <v>154.88061446835457</v>
      </c>
      <c r="CE125" s="60">
        <f t="shared" si="94"/>
        <v>201.47826692201693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0.21299449782616939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0.21299449782616939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0" t="e">
        <f t="shared" si="68"/>
        <v>#NUM!</v>
      </c>
      <c r="CY125" s="60">
        <f ca="1">AVERAGE(OFFSET($CX$3,0,0,'Données projet'!$E$13+1,1))-AVERAGE(OFFSET($H$3,0,0,'Données projet'!$E$13+1,1))</f>
        <v>293.44206058086951</v>
      </c>
      <c r="CZ125" s="60">
        <f t="shared" si="96"/>
        <v>182.15909509186827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>
        <f>DO125*VLOOKUP('Données projet'!$B$14,Paramètres!$A$1:$I$89,3,0)*VLOOKUP('Données projet'!$B$14,Paramètres!$A$1:$I$89,5,0)</f>
        <v>0</v>
      </c>
      <c r="DQ125" s="14" t="e">
        <f t="shared" si="97"/>
        <v>#NUM!</v>
      </c>
      <c r="DR125" s="22" t="e">
        <f t="shared" si="70"/>
        <v>#NUM!</v>
      </c>
      <c r="DS125" s="60" t="e">
        <f t="shared" si="71"/>
        <v>#NUM!</v>
      </c>
      <c r="DT125" s="60">
        <f ca="1">AVERAGE(OFFSET($DS$3,0,0,'Données projet'!$E$14+1,1))-AVERAGE(OFFSET($H$3,0,0,'Données projet'!$E$14+1,1))</f>
        <v>338.92444234934266</v>
      </c>
      <c r="DU125" s="60">
        <f t="shared" si="98"/>
        <v>208.91548891910895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5</v>
      </c>
      <c r="EJ125" s="13">
        <f>IF('Données projet'!$A$192&gt;35,EJ124+EI125-ER124,IF(A125&lt;'Données projet'!$A$192,$EG$205^A125,IF(A125='Données projet'!$A$192,'Données projet'!$B$192,EJ124+EI125-ER124)))</f>
        <v>419.99999999999977</v>
      </c>
      <c r="EK125" s="18">
        <f>EJ125*VLOOKUP('Données projet'!$B$15,Paramètres!$A$1:$I$89,3,0)*VLOOKUP('Données projet'!$B$15,Paramètres!$A$1:$I$89,5,0)</f>
        <v>340.70399999999984</v>
      </c>
      <c r="EL125" s="14">
        <f t="shared" si="99"/>
        <v>79.64537976452938</v>
      </c>
      <c r="EM125" s="22">
        <f t="shared" si="73"/>
        <v>732.10850308988836</v>
      </c>
      <c r="EN125" s="60">
        <f t="shared" si="74"/>
        <v>1025.4418364232217</v>
      </c>
      <c r="EO125" s="60">
        <f ca="1">AVERAGE(OFFSET($EN$3,0,0,'Données projet'!$E$15+1,1))-AVERAGE(OFFSET($H$3,0,0,'Données projet'!$E$15+1,1))</f>
        <v>346.10839312896536</v>
      </c>
      <c r="EP125" s="60">
        <f t="shared" si="100"/>
        <v>196.24927250256087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5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8">
        <f t="shared" si="56"/>
        <v>534.64905144838292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4.2</v>
      </c>
      <c r="N126" s="14">
        <f>IF('Données projet'!$A$36&gt;35,N125+M126-V125,IF(A126&lt;'Données projet'!$A$36,$K$205^A126,IF(A126='Données projet'!$A$36,'Données projet'!$B$36,N125+M126-V125)))</f>
        <v>340.59999999999985</v>
      </c>
      <c r="O126" s="14">
        <f>N126*VLOOKUP('Données projet'!$B$9,Paramètres!$A$1:$I$89,3,0)*VLOOKUP('Données projet'!$B$9,Paramètres!$A$1:$I$89,5,0)</f>
        <v>308.17487999999986</v>
      </c>
      <c r="P126" s="14">
        <f t="shared" si="87"/>
        <v>72.887541582684676</v>
      </c>
      <c r="Q126" s="22">
        <f t="shared" si="107"/>
        <v>663.6837175898421</v>
      </c>
      <c r="R126" s="60">
        <f t="shared" si="55"/>
        <v>957.01705092317547</v>
      </c>
      <c r="S126" s="60">
        <f ca="1">AVERAGE(OFFSET($R$3,0,0,'Données projet'!$E$9+1,1))-AVERAGE(OFFSET($H$3,0,0,'Données projet'!$E$9+1,1))</f>
        <v>327.62615088747526</v>
      </c>
      <c r="T126" s="60">
        <f t="shared" si="88"/>
        <v>180.48047802041276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4.2</v>
      </c>
      <c r="AI126" s="14">
        <f>IF('Données projet'!$A$62&gt;35,AI125+AH126-AQ125,IF(A126&lt;'Données projet'!$A$62,$AF$205^A126,IF(A126='Données projet'!$A$62,'Données projet'!$B$62,AI125+AH126-AQ125)))</f>
        <v>340.59999999999985</v>
      </c>
      <c r="AJ126" s="14">
        <f>AI126*VLOOKUP('Données projet'!$B$10,Paramètres!$A$1:$I$89,3,0)*VLOOKUP('Données projet'!$B$10,Paramètres!$A$1:$I$89,5,0)</f>
        <v>286.9214399999999</v>
      </c>
      <c r="AK126" s="14">
        <f t="shared" si="89"/>
        <v>68.427622886698884</v>
      </c>
      <c r="AL126" s="22">
        <f t="shared" si="58"/>
        <v>618.89961786100037</v>
      </c>
      <c r="AM126" s="60">
        <f t="shared" si="59"/>
        <v>912.23295119433374</v>
      </c>
      <c r="AN126" s="60">
        <f ca="1">AVERAGE(OFFSET($AM$3,0,0,'Données projet'!$E$10+1,1))-AVERAGE(OFFSET($H$3,0,0,'Données projet'!$E$10+1,1))</f>
        <v>295.5242128298583</v>
      </c>
      <c r="AO126" s="60">
        <f t="shared" si="90"/>
        <v>164.21740841327744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5.4092197387944907E-14</v>
      </c>
      <c r="BF126" s="14">
        <f t="shared" si="91"/>
        <v>8.7287050538073676E-13</v>
      </c>
      <c r="BG126" s="22">
        <f t="shared" si="61"/>
        <v>1.6144600406554537E-12</v>
      </c>
      <c r="BH126" s="60">
        <f t="shared" si="62"/>
        <v>293.33333333333491</v>
      </c>
      <c r="BI126" s="60">
        <f ca="1">AVERAGE(OFFSET($BH$3,0,0,'Données projet'!$E$11+1,1))-AVERAGE(OFFSET($H$3,0,0,'Données projet'!$E$11+1,1))</f>
        <v>276.19649531804959</v>
      </c>
      <c r="BJ126" s="60">
        <f t="shared" si="92"/>
        <v>253.14970964973463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7.4487616075202823E-14</v>
      </c>
      <c r="CA126" s="14">
        <f t="shared" si="93"/>
        <v>1.1580453144473142E-12</v>
      </c>
      <c r="CB126" s="22">
        <f t="shared" si="64"/>
        <v>2.1466615206600508E-12</v>
      </c>
      <c r="CC126" s="60">
        <f t="shared" si="65"/>
        <v>293.33333333333547</v>
      </c>
      <c r="CD126" s="60">
        <f ca="1">AVERAGE(OFFSET($CC$3,0,0,'Données projet'!$E$12+1,1))-AVERAGE(OFFSET($H$3,0,0,'Données projet'!$E$12+1,1))</f>
        <v>154.88061446835457</v>
      </c>
      <c r="CE126" s="60">
        <f t="shared" si="94"/>
        <v>201.47826692201693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0.20717015208221895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0.20717015208221895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0" t="e">
        <f t="shared" si="68"/>
        <v>#NUM!</v>
      </c>
      <c r="CY126" s="60">
        <f ca="1">AVERAGE(OFFSET($CX$3,0,0,'Données projet'!$E$13+1,1))-AVERAGE(OFFSET($H$3,0,0,'Données projet'!$E$13+1,1))</f>
        <v>293.44206058086951</v>
      </c>
      <c r="CZ126" s="60">
        <f t="shared" si="96"/>
        <v>182.15909509186827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>
        <f>DO126*VLOOKUP('Données projet'!$B$14,Paramètres!$A$1:$I$89,3,0)*VLOOKUP('Données projet'!$B$14,Paramètres!$A$1:$I$89,5,0)</f>
        <v>0</v>
      </c>
      <c r="DQ126" s="14" t="e">
        <f t="shared" si="97"/>
        <v>#NUM!</v>
      </c>
      <c r="DR126" s="22" t="e">
        <f t="shared" si="70"/>
        <v>#NUM!</v>
      </c>
      <c r="DS126" s="60" t="e">
        <f t="shared" si="71"/>
        <v>#NUM!</v>
      </c>
      <c r="DT126" s="60">
        <f ca="1">AVERAGE(OFFSET($DS$3,0,0,'Données projet'!$E$14+1,1))-AVERAGE(OFFSET($H$3,0,0,'Données projet'!$E$14+1,1))</f>
        <v>338.92444234934266</v>
      </c>
      <c r="DU126" s="60">
        <f t="shared" si="98"/>
        <v>208.91548891910895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5</v>
      </c>
      <c r="EJ126" s="13">
        <f>IF('Données projet'!$A$192&gt;35,EJ125+EI126-ER125,IF(A126&lt;'Données projet'!$A$192,$EG$205^A126,IF(A126='Données projet'!$A$192,'Données projet'!$B$192,EJ125+EI126-ER125)))</f>
        <v>424.99999999999977</v>
      </c>
      <c r="EK126" s="18">
        <f>EJ126*VLOOKUP('Données projet'!$B$15,Paramètres!$A$1:$I$89,3,0)*VLOOKUP('Données projet'!$B$15,Paramètres!$A$1:$I$89,5,0)</f>
        <v>344.75999999999982</v>
      </c>
      <c r="EL126" s="14">
        <f t="shared" si="99"/>
        <v>80.482595391170534</v>
      </c>
      <c r="EM126" s="22">
        <f t="shared" si="73"/>
        <v>740.63085363962171</v>
      </c>
      <c r="EN126" s="60">
        <f t="shared" si="74"/>
        <v>1033.9641869729551</v>
      </c>
      <c r="EO126" s="60">
        <f ca="1">AVERAGE(OFFSET($EN$3,0,0,'Données projet'!$E$15+1,1))-AVERAGE(OFFSET($H$3,0,0,'Données projet'!$E$15+1,1))</f>
        <v>346.10839312896536</v>
      </c>
      <c r="EP126" s="60">
        <f t="shared" si="100"/>
        <v>196.24927250256087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5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8">
        <f t="shared" si="56"/>
        <v>536.56269605512193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4.2</v>
      </c>
      <c r="N127" s="14">
        <f>IF('Données projet'!$A$36&gt;35,N126+M127-V126,IF(A127&lt;'Données projet'!$A$36,$K$205^A127,IF(A127='Données projet'!$A$36,'Données projet'!$B$36,N126+M127-V126)))</f>
        <v>344.79999999999984</v>
      </c>
      <c r="O127" s="14">
        <f>N127*VLOOKUP('Données projet'!$B$9,Paramètres!$A$1:$I$89,3,0)*VLOOKUP('Données projet'!$B$9,Paramètres!$A$1:$I$89,5,0)</f>
        <v>311.97503999999986</v>
      </c>
      <c r="P127" s="14">
        <f t="shared" si="87"/>
        <v>73.681144552074599</v>
      </c>
      <c r="Q127" s="22">
        <f t="shared" si="107"/>
        <v>671.68452142819626</v>
      </c>
      <c r="R127" s="60">
        <f t="shared" si="55"/>
        <v>965.01785476152963</v>
      </c>
      <c r="S127" s="60">
        <f ca="1">AVERAGE(OFFSET($R$3,0,0,'Données projet'!$E$9+1,1))-AVERAGE(OFFSET($H$3,0,0,'Données projet'!$E$9+1,1))</f>
        <v>327.62615088747526</v>
      </c>
      <c r="T127" s="60">
        <f t="shared" si="88"/>
        <v>180.48047802041276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4.2</v>
      </c>
      <c r="AI127" s="14">
        <f>IF('Données projet'!$A$62&gt;35,AI126+AH127-AQ126,IF(A127&lt;'Données projet'!$A$62,$AF$205^A127,IF(A127='Données projet'!$A$62,'Données projet'!$B$62,AI126+AH127-AQ126)))</f>
        <v>344.79999999999984</v>
      </c>
      <c r="AJ127" s="14">
        <f>AI127*VLOOKUP('Données projet'!$B$10,Paramètres!$A$1:$I$89,3,0)*VLOOKUP('Données projet'!$B$10,Paramètres!$A$1:$I$89,5,0)</f>
        <v>290.45951999999988</v>
      </c>
      <c r="AK127" s="14">
        <f t="shared" si="89"/>
        <v>69.172666052266209</v>
      </c>
      <c r="AL127" s="22">
        <f t="shared" si="58"/>
        <v>626.35939070769678</v>
      </c>
      <c r="AM127" s="60">
        <f t="shared" si="59"/>
        <v>919.69272404103003</v>
      </c>
      <c r="AN127" s="60">
        <f ca="1">AVERAGE(OFFSET($AM$3,0,0,'Données projet'!$E$10+1,1))-AVERAGE(OFFSET($H$3,0,0,'Données projet'!$E$10+1,1))</f>
        <v>295.5242128298583</v>
      </c>
      <c r="AO127" s="60">
        <f t="shared" si="90"/>
        <v>164.21740841327744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5.4092197387944907E-14</v>
      </c>
      <c r="BF127" s="14">
        <f t="shared" si="91"/>
        <v>8.7287050538073676E-13</v>
      </c>
      <c r="BG127" s="22">
        <f t="shared" si="61"/>
        <v>1.6144600406554537E-12</v>
      </c>
      <c r="BH127" s="60">
        <f t="shared" si="62"/>
        <v>293.33333333333491</v>
      </c>
      <c r="BI127" s="60">
        <f ca="1">AVERAGE(OFFSET($BH$3,0,0,'Données projet'!$E$11+1,1))-AVERAGE(OFFSET($H$3,0,0,'Données projet'!$E$11+1,1))</f>
        <v>276.19649531804959</v>
      </c>
      <c r="BJ127" s="60">
        <f t="shared" si="92"/>
        <v>253.14970964973463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7.4487616075202823E-14</v>
      </c>
      <c r="CA127" s="14">
        <f t="shared" si="93"/>
        <v>1.1580453144473142E-12</v>
      </c>
      <c r="CB127" s="22">
        <f t="shared" si="64"/>
        <v>2.1466615206600508E-12</v>
      </c>
      <c r="CC127" s="60">
        <f t="shared" si="65"/>
        <v>293.33333333333547</v>
      </c>
      <c r="CD127" s="60">
        <f ca="1">AVERAGE(OFFSET($CC$3,0,0,'Données projet'!$E$12+1,1))-AVERAGE(OFFSET($H$3,0,0,'Données projet'!$E$12+1,1))</f>
        <v>154.88061446835457</v>
      </c>
      <c r="CE127" s="60">
        <f t="shared" si="94"/>
        <v>201.47826692201693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0.20150507337892587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0.20150507337892587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0" t="e">
        <f t="shared" si="68"/>
        <v>#NUM!</v>
      </c>
      <c r="CY127" s="60">
        <f ca="1">AVERAGE(OFFSET($CX$3,0,0,'Données projet'!$E$13+1,1))-AVERAGE(OFFSET($H$3,0,0,'Données projet'!$E$13+1,1))</f>
        <v>293.44206058086951</v>
      </c>
      <c r="CZ127" s="60">
        <f t="shared" si="96"/>
        <v>182.15909509186827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>
        <f>DO127*VLOOKUP('Données projet'!$B$14,Paramètres!$A$1:$I$89,3,0)*VLOOKUP('Données projet'!$B$14,Paramètres!$A$1:$I$89,5,0)</f>
        <v>0</v>
      </c>
      <c r="DQ127" s="14" t="e">
        <f t="shared" si="97"/>
        <v>#NUM!</v>
      </c>
      <c r="DR127" s="22" t="e">
        <f t="shared" si="70"/>
        <v>#NUM!</v>
      </c>
      <c r="DS127" s="60" t="e">
        <f t="shared" si="71"/>
        <v>#NUM!</v>
      </c>
      <c r="DT127" s="60">
        <f ca="1">AVERAGE(OFFSET($DS$3,0,0,'Données projet'!$E$14+1,1))-AVERAGE(OFFSET($H$3,0,0,'Données projet'!$E$14+1,1))</f>
        <v>338.92444234934266</v>
      </c>
      <c r="DU127" s="60">
        <f t="shared" si="98"/>
        <v>208.91548891910895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5</v>
      </c>
      <c r="EJ127" s="13">
        <f>IF('Données projet'!$A$192&gt;35,EJ126+EI127-ER126,IF(A127&lt;'Données projet'!$A$192,$EG$205^A127,IF(A127='Données projet'!$A$192,'Données projet'!$B$192,EJ126+EI127-ER126)))</f>
        <v>429.99999999999977</v>
      </c>
      <c r="EK127" s="18">
        <f>EJ127*VLOOKUP('Données projet'!$B$15,Paramètres!$A$1:$I$89,3,0)*VLOOKUP('Données projet'!$B$15,Paramètres!$A$1:$I$89,5,0)</f>
        <v>348.8159999999998</v>
      </c>
      <c r="EL127" s="14">
        <f t="shared" si="99"/>
        <v>81.318665281585382</v>
      </c>
      <c r="EM127" s="22">
        <f t="shared" si="73"/>
        <v>749.1512086987608</v>
      </c>
      <c r="EN127" s="60">
        <f t="shared" si="74"/>
        <v>1042.4845420320942</v>
      </c>
      <c r="EO127" s="60">
        <f ca="1">AVERAGE(OFFSET($EN$3,0,0,'Données projet'!$E$15+1,1))-AVERAGE(OFFSET($H$3,0,0,'Données projet'!$E$15+1,1))</f>
        <v>346.10839312896536</v>
      </c>
      <c r="EP127" s="60">
        <f t="shared" si="100"/>
        <v>196.24927250256087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5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8">
        <f t="shared" si="56"/>
        <v>538.47599823225801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349</v>
      </c>
      <c r="L128" s="13">
        <f>VLOOKUP(A128,'Données projet'!$A$35:$I$55,9,0)</f>
        <v>4.2</v>
      </c>
      <c r="M128" s="13">
        <f t="array" ref="M128">INDEX(L:L,MIN(IF(ISNUMBER(L128:L324),ROW(L128:L324),"")))</f>
        <v>4.2</v>
      </c>
      <c r="N128" s="14">
        <f>IF('Données projet'!$A$36&gt;35,N127+M128-V127,IF(A128&lt;'Données projet'!$A$36,$K$205^A128,IF(A128='Données projet'!$A$36,'Données projet'!$B$36,N127+M128-V127)))</f>
        <v>348.99999999999983</v>
      </c>
      <c r="O128" s="14">
        <f>N128*VLOOKUP('Données projet'!$B$9,Paramètres!$A$1:$I$89,3,0)*VLOOKUP('Données projet'!$B$9,Paramètres!$A$1:$I$89,5,0)</f>
        <v>315.77519999999981</v>
      </c>
      <c r="P128" s="14">
        <f t="shared" si="87"/>
        <v>74.473623067174003</v>
      </c>
      <c r="Q128" s="22">
        <f t="shared" si="107"/>
        <v>679.68336684199437</v>
      </c>
      <c r="R128" s="60">
        <f t="shared" si="55"/>
        <v>973.01670017532774</v>
      </c>
      <c r="S128" s="60">
        <f ca="1">AVERAGE(OFFSET($R$3,0,0,'Données projet'!$E$9+1,1))-AVERAGE(OFFSET($H$3,0,0,'Données projet'!$E$9+1,1))</f>
        <v>327.62615088747526</v>
      </c>
      <c r="T128" s="60">
        <f t="shared" si="88"/>
        <v>180.48047802041276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45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349</v>
      </c>
      <c r="AG128" s="13">
        <f>VLOOKUP(A128,'Données projet'!$A$61:$I$81,9,0)</f>
        <v>4.2</v>
      </c>
      <c r="AH128" s="13">
        <f t="array" ref="AH128">INDEX(AG:AG,MIN(IF(ISNUMBER(AG128:AG324),ROW(AG128:AG324),"")))</f>
        <v>4.2</v>
      </c>
      <c r="AI128" s="14">
        <f>IF('Données projet'!$A$62&gt;35,AI127+AH128-AQ127,IF(A128&lt;'Données projet'!$A$62,$AF$205^A128,IF(A128='Données projet'!$A$62,'Données projet'!$B$62,AI127+AH128-AQ127)))</f>
        <v>348.99999999999983</v>
      </c>
      <c r="AJ128" s="14">
        <f>AI128*VLOOKUP('Données projet'!$B$10,Paramètres!$A$1:$I$89,3,0)*VLOOKUP('Données projet'!$B$10,Paramètres!$A$1:$I$89,5,0)</f>
        <v>293.99759999999986</v>
      </c>
      <c r="AK128" s="14">
        <f t="shared" si="89"/>
        <v>69.916653567821413</v>
      </c>
      <c r="AL128" s="22">
        <f t="shared" si="58"/>
        <v>633.81732496395534</v>
      </c>
      <c r="AM128" s="60">
        <f t="shared" si="59"/>
        <v>927.1506582972886</v>
      </c>
      <c r="AN128" s="60">
        <f ca="1">AVERAGE(OFFSET($AM$3,0,0,'Données projet'!$E$10+1,1))-AVERAGE(OFFSET($H$3,0,0,'Données projet'!$E$10+1,1))</f>
        <v>295.5242128298583</v>
      </c>
      <c r="AO128" s="60">
        <f t="shared" si="90"/>
        <v>164.21740841327744</v>
      </c>
      <c r="AP128" s="16">
        <f>IF(ISNA(VLOOKUP(A128,'Données projet'!$A$61:$I$81,3,0)),0,VLOOKUP(A128,'Données projet'!$A$61:$I$81,3,0))</f>
        <v>11</v>
      </c>
      <c r="AQ128" s="16">
        <f>IF(ISNA(VLOOKUP(A128,'Données projet'!$A$61:$I$81,4,0)),0,VLOOKUP(A128,'Données projet'!$A$61:$I$81,4,0))</f>
        <v>45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5.4092197387944907E-14</v>
      </c>
      <c r="BF128" s="14">
        <f t="shared" si="91"/>
        <v>8.7287050538073676E-13</v>
      </c>
      <c r="BG128" s="22">
        <f t="shared" si="61"/>
        <v>1.6144600406554537E-12</v>
      </c>
      <c r="BH128" s="60">
        <f t="shared" si="62"/>
        <v>293.33333333333491</v>
      </c>
      <c r="BI128" s="60">
        <f ca="1">AVERAGE(OFFSET($BH$3,0,0,'Données projet'!$E$11+1,1))-AVERAGE(OFFSET($H$3,0,0,'Données projet'!$E$11+1,1))</f>
        <v>276.19649531804959</v>
      </c>
      <c r="BJ128" s="60">
        <f t="shared" si="92"/>
        <v>253.14970964973463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7.4487616075202823E-14</v>
      </c>
      <c r="CA128" s="14">
        <f t="shared" si="93"/>
        <v>1.1580453144473142E-12</v>
      </c>
      <c r="CB128" s="22">
        <f t="shared" si="64"/>
        <v>2.1466615206600508E-12</v>
      </c>
      <c r="CC128" s="60">
        <f t="shared" si="65"/>
        <v>293.33333333333547</v>
      </c>
      <c r="CD128" s="60">
        <f ca="1">AVERAGE(OFFSET($CC$3,0,0,'Données projet'!$E$12+1,1))-AVERAGE(OFFSET($H$3,0,0,'Données projet'!$E$12+1,1))</f>
        <v>154.88061446835457</v>
      </c>
      <c r="CE128" s="60">
        <f t="shared" si="94"/>
        <v>201.47826692201693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0.19599490655068788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0.19599490655068788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0" t="e">
        <f t="shared" si="68"/>
        <v>#NUM!</v>
      </c>
      <c r="CY128" s="60">
        <f ca="1">AVERAGE(OFFSET($CX$3,0,0,'Données projet'!$E$13+1,1))-AVERAGE(OFFSET($H$3,0,0,'Données projet'!$E$13+1,1))</f>
        <v>293.44206058086951</v>
      </c>
      <c r="CZ128" s="60">
        <f t="shared" si="96"/>
        <v>182.15909509186827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>
        <f>DO128*VLOOKUP('Données projet'!$B$14,Paramètres!$A$1:$I$89,3,0)*VLOOKUP('Données projet'!$B$14,Paramètres!$A$1:$I$89,5,0)</f>
        <v>0</v>
      </c>
      <c r="DQ128" s="14" t="e">
        <f t="shared" si="97"/>
        <v>#NUM!</v>
      </c>
      <c r="DR128" s="22" t="e">
        <f t="shared" si="70"/>
        <v>#NUM!</v>
      </c>
      <c r="DS128" s="60" t="e">
        <f t="shared" si="71"/>
        <v>#NUM!</v>
      </c>
      <c r="DT128" s="60">
        <f ca="1">AVERAGE(OFFSET($DS$3,0,0,'Données projet'!$E$14+1,1))-AVERAGE(OFFSET($H$3,0,0,'Données projet'!$E$14+1,1))</f>
        <v>338.92444234934266</v>
      </c>
      <c r="DU128" s="60">
        <f t="shared" si="98"/>
        <v>208.91548891910895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5</v>
      </c>
      <c r="EJ128" s="13">
        <f>IF('Données projet'!$A$192&gt;35,EJ127+EI128-ER127,IF(A128&lt;'Données projet'!$A$192,$EG$205^A128,IF(A128='Données projet'!$A$192,'Données projet'!$B$192,EJ127+EI128-ER127)))</f>
        <v>434.99999999999977</v>
      </c>
      <c r="EK128" s="18">
        <f>EJ128*VLOOKUP('Données projet'!$B$15,Paramètres!$A$1:$I$89,3,0)*VLOOKUP('Données projet'!$B$15,Paramètres!$A$1:$I$89,5,0)</f>
        <v>352.87199999999984</v>
      </c>
      <c r="EL128" s="14">
        <f t="shared" si="99"/>
        <v>82.153604299641287</v>
      </c>
      <c r="EM128" s="22">
        <f t="shared" si="73"/>
        <v>757.6695941552083</v>
      </c>
      <c r="EN128" s="60">
        <f t="shared" si="74"/>
        <v>1051.0029274885417</v>
      </c>
      <c r="EO128" s="60">
        <f ca="1">AVERAGE(OFFSET($EN$3,0,0,'Données projet'!$E$15+1,1))-AVERAGE(OFFSET($H$3,0,0,'Données projet'!$E$15+1,1))</f>
        <v>346.10839312896536</v>
      </c>
      <c r="EP128" s="60">
        <f t="shared" si="100"/>
        <v>196.24927250256087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5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8">
        <f t="shared" si="56"/>
        <v>540.38896103674051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</v>
      </c>
      <c r="N129" s="14">
        <f>IF('Données projet'!$A$36&gt;35,N128+M129-V128,IF(A129&lt;'Données projet'!$A$36,$K$205^A129,IF(A129='Données projet'!$A$36,'Données projet'!$B$36,N128+M129-V128)))</f>
        <v>307.99999999999983</v>
      </c>
      <c r="O129" s="14">
        <f>N129*VLOOKUP('Données projet'!$B$9,Paramètres!$A$1:$I$89,3,0)*VLOOKUP('Données projet'!$B$9,Paramètres!$A$1:$I$89,5,0)</f>
        <v>278.67839999999984</v>
      </c>
      <c r="P129" s="14">
        <f t="shared" si="87"/>
        <v>66.687639951856738</v>
      </c>
      <c r="Q129" s="22">
        <f t="shared" si="107"/>
        <v>601.51251958281682</v>
      </c>
      <c r="R129" s="60">
        <f t="shared" si="55"/>
        <v>894.84585291615008</v>
      </c>
      <c r="S129" s="60">
        <f ca="1">AVERAGE(OFFSET($R$3,0,0,'Données projet'!$E$9+1,1))-AVERAGE(OFFSET($H$3,0,0,'Données projet'!$E$9+1,1))</f>
        <v>327.62615088747526</v>
      </c>
      <c r="T129" s="60">
        <f t="shared" si="88"/>
        <v>180.48047802041276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4</v>
      </c>
      <c r="AI129" s="14">
        <f>IF('Données projet'!$A$62&gt;35,AI128+AH129-AQ128,IF(A129&lt;'Données projet'!$A$62,$AF$205^A129,IF(A129='Données projet'!$A$62,'Données projet'!$B$62,AI128+AH129-AQ128)))</f>
        <v>307.99999999999983</v>
      </c>
      <c r="AJ129" s="14">
        <f>AI129*VLOOKUP('Données projet'!$B$10,Paramètres!$A$1:$I$89,3,0)*VLOOKUP('Données projet'!$B$10,Paramètres!$A$1:$I$89,5,0)</f>
        <v>259.45919999999984</v>
      </c>
      <c r="AK129" s="14">
        <f t="shared" si="89"/>
        <v>62.607087284635128</v>
      </c>
      <c r="AL129" s="22">
        <f t="shared" si="58"/>
        <v>560.93211702073916</v>
      </c>
      <c r="AM129" s="60">
        <f t="shared" si="59"/>
        <v>854.26545035407253</v>
      </c>
      <c r="AN129" s="60">
        <f ca="1">AVERAGE(OFFSET($AM$3,0,0,'Données projet'!$E$10+1,1))-AVERAGE(OFFSET($H$3,0,0,'Données projet'!$E$10+1,1))</f>
        <v>295.5242128298583</v>
      </c>
      <c r="AO129" s="60">
        <f t="shared" si="90"/>
        <v>164.21740841327744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5.4092197387944907E-14</v>
      </c>
      <c r="BF129" s="14">
        <f t="shared" si="91"/>
        <v>8.7287050538073676E-13</v>
      </c>
      <c r="BG129" s="22">
        <f t="shared" si="61"/>
        <v>1.6144600406554537E-12</v>
      </c>
      <c r="BH129" s="60">
        <f t="shared" si="62"/>
        <v>293.33333333333491</v>
      </c>
      <c r="BI129" s="60">
        <f ca="1">AVERAGE(OFFSET($BH$3,0,0,'Données projet'!$E$11+1,1))-AVERAGE(OFFSET($H$3,0,0,'Données projet'!$E$11+1,1))</f>
        <v>276.19649531804959</v>
      </c>
      <c r="BJ129" s="60">
        <f t="shared" si="92"/>
        <v>253.14970964973463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7.4487616075202823E-14</v>
      </c>
      <c r="CA129" s="14">
        <f t="shared" si="93"/>
        <v>1.1580453144473142E-12</v>
      </c>
      <c r="CB129" s="22">
        <f t="shared" si="64"/>
        <v>2.1466615206600508E-12</v>
      </c>
      <c r="CC129" s="60">
        <f t="shared" si="65"/>
        <v>293.33333333333547</v>
      </c>
      <c r="CD129" s="60">
        <f ca="1">AVERAGE(OFFSET($CC$3,0,0,'Données projet'!$E$12+1,1))-AVERAGE(OFFSET($H$3,0,0,'Données projet'!$E$12+1,1))</f>
        <v>154.88061446835457</v>
      </c>
      <c r="CE129" s="60">
        <f t="shared" si="94"/>
        <v>201.47826692201693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0.19063541552413513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0.19063541552413513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0" t="e">
        <f t="shared" si="68"/>
        <v>#NUM!</v>
      </c>
      <c r="CY129" s="60">
        <f ca="1">AVERAGE(OFFSET($CX$3,0,0,'Données projet'!$E$13+1,1))-AVERAGE(OFFSET($H$3,0,0,'Données projet'!$E$13+1,1))</f>
        <v>293.44206058086951</v>
      </c>
      <c r="CZ129" s="60">
        <f t="shared" si="96"/>
        <v>182.15909509186827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>
        <f>DO129*VLOOKUP('Données projet'!$B$14,Paramètres!$A$1:$I$89,3,0)*VLOOKUP('Données projet'!$B$14,Paramètres!$A$1:$I$89,5,0)</f>
        <v>0</v>
      </c>
      <c r="DQ129" s="14" t="e">
        <f t="shared" si="97"/>
        <v>#NUM!</v>
      </c>
      <c r="DR129" s="22" t="e">
        <f t="shared" si="70"/>
        <v>#NUM!</v>
      </c>
      <c r="DS129" s="60" t="e">
        <f t="shared" si="71"/>
        <v>#NUM!</v>
      </c>
      <c r="DT129" s="60">
        <f ca="1">AVERAGE(OFFSET($DS$3,0,0,'Données projet'!$E$14+1,1))-AVERAGE(OFFSET($H$3,0,0,'Données projet'!$E$14+1,1))</f>
        <v>338.92444234934266</v>
      </c>
      <c r="DU129" s="60">
        <f t="shared" si="98"/>
        <v>208.91548891910895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5</v>
      </c>
      <c r="EJ129" s="13">
        <f>IF('Données projet'!$A$192&gt;35,EJ128+EI129-ER128,IF(A129&lt;'Données projet'!$A$192,$EG$205^A129,IF(A129='Données projet'!$A$192,'Données projet'!$B$192,EJ128+EI129-ER128)))</f>
        <v>439.99999999999977</v>
      </c>
      <c r="EK129" s="18">
        <f>EJ129*VLOOKUP('Données projet'!$B$15,Paramètres!$A$1:$I$89,3,0)*VLOOKUP('Données projet'!$B$15,Paramètres!$A$1:$I$89,5,0)</f>
        <v>356.92799999999983</v>
      </c>
      <c r="EL129" s="14">
        <f t="shared" si="99"/>
        <v>82.987426947838912</v>
      </c>
      <c r="EM129" s="22">
        <f t="shared" si="73"/>
        <v>766.18603526748575</v>
      </c>
      <c r="EN129" s="60">
        <f t="shared" si="74"/>
        <v>1059.519368600819</v>
      </c>
      <c r="EO129" s="60">
        <f ca="1">AVERAGE(OFFSET($EN$3,0,0,'Données projet'!$E$15+1,1))-AVERAGE(OFFSET($H$3,0,0,'Données projet'!$E$15+1,1))</f>
        <v>346.10839312896536</v>
      </c>
      <c r="EP129" s="60">
        <f t="shared" si="100"/>
        <v>196.24927250256087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5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8">
        <f t="shared" si="56"/>
        <v>542.30158747419375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</v>
      </c>
      <c r="N130" s="14">
        <f>IF('Données projet'!$A$36&gt;35,N129+M130-V129,IF(A130&lt;'Données projet'!$A$36,$K$205^A130,IF(A130='Données projet'!$A$36,'Données projet'!$B$36,N129+M130-V129)))</f>
        <v>311.99999999999983</v>
      </c>
      <c r="O130" s="14">
        <f>N130*VLOOKUP('Données projet'!$B$9,Paramètres!$A$1:$I$89,3,0)*VLOOKUP('Données projet'!$B$9,Paramètres!$A$1:$I$89,5,0)</f>
        <v>282.29759999999982</v>
      </c>
      <c r="P130" s="14">
        <f t="shared" si="87"/>
        <v>67.452326629470107</v>
      </c>
      <c r="Q130" s="22">
        <f t="shared" si="107"/>
        <v>609.1477888796602</v>
      </c>
      <c r="R130" s="60">
        <f t="shared" si="55"/>
        <v>902.48112221299357</v>
      </c>
      <c r="S130" s="60">
        <f ca="1">AVERAGE(OFFSET($R$3,0,0,'Données projet'!$E$9+1,1))-AVERAGE(OFFSET($H$3,0,0,'Données projet'!$E$9+1,1))</f>
        <v>327.62615088747526</v>
      </c>
      <c r="T130" s="60">
        <f t="shared" si="88"/>
        <v>180.48047802041276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4</v>
      </c>
      <c r="AI130" s="14">
        <f>IF('Données projet'!$A$62&gt;35,AI129+AH130-AQ129,IF(A130&lt;'Données projet'!$A$62,$AF$205^A130,IF(A130='Données projet'!$A$62,'Données projet'!$B$62,AI129+AH130-AQ129)))</f>
        <v>311.99999999999983</v>
      </c>
      <c r="AJ130" s="14">
        <f>AI130*VLOOKUP('Données projet'!$B$10,Paramètres!$A$1:$I$89,3,0)*VLOOKUP('Données projet'!$B$10,Paramètres!$A$1:$I$89,5,0)</f>
        <v>262.82879999999989</v>
      </c>
      <c r="AK130" s="14">
        <f t="shared" si="89"/>
        <v>63.324983518559428</v>
      </c>
      <c r="AL130" s="22">
        <f t="shared" si="58"/>
        <v>568.05117296149081</v>
      </c>
      <c r="AM130" s="60">
        <f t="shared" si="59"/>
        <v>861.38450629482418</v>
      </c>
      <c r="AN130" s="60">
        <f ca="1">AVERAGE(OFFSET($AM$3,0,0,'Données projet'!$E$10+1,1))-AVERAGE(OFFSET($H$3,0,0,'Données projet'!$E$10+1,1))</f>
        <v>295.5242128298583</v>
      </c>
      <c r="AO130" s="60">
        <f t="shared" si="90"/>
        <v>164.21740841327744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5.4092197387944907E-14</v>
      </c>
      <c r="BF130" s="14">
        <f t="shared" si="91"/>
        <v>8.7287050538073676E-13</v>
      </c>
      <c r="BG130" s="22">
        <f t="shared" si="61"/>
        <v>1.6144600406554537E-12</v>
      </c>
      <c r="BH130" s="60">
        <f t="shared" si="62"/>
        <v>293.33333333333491</v>
      </c>
      <c r="BI130" s="60">
        <f ca="1">AVERAGE(OFFSET($BH$3,0,0,'Données projet'!$E$11+1,1))-AVERAGE(OFFSET($H$3,0,0,'Données projet'!$E$11+1,1))</f>
        <v>276.19649531804959</v>
      </c>
      <c r="BJ130" s="60">
        <f t="shared" si="92"/>
        <v>253.14970964973463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7.4487616075202823E-14</v>
      </c>
      <c r="CA130" s="14">
        <f t="shared" si="93"/>
        <v>1.1580453144473142E-12</v>
      </c>
      <c r="CB130" s="22">
        <f t="shared" si="64"/>
        <v>2.1466615206600508E-12</v>
      </c>
      <c r="CC130" s="60">
        <f t="shared" si="65"/>
        <v>293.33333333333547</v>
      </c>
      <c r="CD130" s="60">
        <f ca="1">AVERAGE(OFFSET($CC$3,0,0,'Données projet'!$E$12+1,1))-AVERAGE(OFFSET($H$3,0,0,'Données projet'!$E$12+1,1))</f>
        <v>154.88061446835457</v>
      </c>
      <c r="CE130" s="60">
        <f t="shared" si="94"/>
        <v>201.47826692201693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0.18542248006154685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0.18542248006154685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0" t="e">
        <f t="shared" si="68"/>
        <v>#NUM!</v>
      </c>
      <c r="CY130" s="60">
        <f ca="1">AVERAGE(OFFSET($CX$3,0,0,'Données projet'!$E$13+1,1))-AVERAGE(OFFSET($H$3,0,0,'Données projet'!$E$13+1,1))</f>
        <v>293.44206058086951</v>
      </c>
      <c r="CZ130" s="60">
        <f t="shared" si="96"/>
        <v>182.15909509186827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>
        <f>DO130*VLOOKUP('Données projet'!$B$14,Paramètres!$A$1:$I$89,3,0)*VLOOKUP('Données projet'!$B$14,Paramètres!$A$1:$I$89,5,0)</f>
        <v>0</v>
      </c>
      <c r="DQ130" s="14" t="e">
        <f t="shared" si="97"/>
        <v>#NUM!</v>
      </c>
      <c r="DR130" s="22" t="e">
        <f t="shared" si="70"/>
        <v>#NUM!</v>
      </c>
      <c r="DS130" s="60" t="e">
        <f t="shared" si="71"/>
        <v>#NUM!</v>
      </c>
      <c r="DT130" s="60">
        <f ca="1">AVERAGE(OFFSET($DS$3,0,0,'Données projet'!$E$14+1,1))-AVERAGE(OFFSET($H$3,0,0,'Données projet'!$E$14+1,1))</f>
        <v>338.92444234934266</v>
      </c>
      <c r="DU130" s="60">
        <f t="shared" si="98"/>
        <v>208.91548891910895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5</v>
      </c>
      <c r="EJ130" s="13">
        <f>IF('Données projet'!$A$192&gt;35,EJ129+EI130-ER129,IF(A130&lt;'Données projet'!$A$192,$EG$205^A130,IF(A130='Données projet'!$A$192,'Données projet'!$B$192,EJ129+EI130-ER129)))</f>
        <v>444.99999999999977</v>
      </c>
      <c r="EK130" s="18">
        <f>EJ130*VLOOKUP('Données projet'!$B$15,Paramètres!$A$1:$I$89,3,0)*VLOOKUP('Données projet'!$B$15,Paramètres!$A$1:$I$89,5,0)</f>
        <v>360.98399999999987</v>
      </c>
      <c r="EL130" s="14">
        <f t="shared" si="99"/>
        <v>83.8201473801021</v>
      </c>
      <c r="EM130" s="22">
        <f t="shared" si="73"/>
        <v>774.70055668701082</v>
      </c>
      <c r="EN130" s="60">
        <f t="shared" si="74"/>
        <v>1068.0338900203442</v>
      </c>
      <c r="EO130" s="60">
        <f ca="1">AVERAGE(OFFSET($EN$3,0,0,'Données projet'!$E$15+1,1))-AVERAGE(OFFSET($H$3,0,0,'Données projet'!$E$15+1,1))</f>
        <v>346.10839312896536</v>
      </c>
      <c r="EP130" s="60">
        <f t="shared" si="100"/>
        <v>196.24927250256087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5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8">
        <f t="shared" si="56"/>
        <v>544.21388050017583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</v>
      </c>
      <c r="N131" s="14">
        <f>IF('Données projet'!$A$36&gt;35,N130+M131-V130,IF(A131&lt;'Données projet'!$A$36,$K$205^A131,IF(A131='Données projet'!$A$36,'Données projet'!$B$36,N130+M131-V130)))</f>
        <v>315.99999999999983</v>
      </c>
      <c r="O131" s="14">
        <f>N131*VLOOKUP('Données projet'!$B$9,Paramètres!$A$1:$I$89,3,0)*VLOOKUP('Données projet'!$B$9,Paramètres!$A$1:$I$89,5,0)</f>
        <v>285.91679999999985</v>
      </c>
      <c r="P131" s="14">
        <f t="shared" si="87"/>
        <v>68.215872977287475</v>
      </c>
      <c r="Q131" s="22">
        <f t="shared" ref="Q131:Q153" si="108">(O131+P131)*0.475*44/12</f>
        <v>616.78107210210862</v>
      </c>
      <c r="R131" s="60">
        <f t="shared" ref="R131:R194" si="109">Q131+(I131+J131)*44/12</f>
        <v>910.11440543544199</v>
      </c>
      <c r="S131" s="60">
        <f ca="1">AVERAGE(OFFSET($R$3,0,0,'Données projet'!$E$9+1,1))-AVERAGE(OFFSET($H$3,0,0,'Données projet'!$E$9+1,1))</f>
        <v>327.62615088747526</v>
      </c>
      <c r="T131" s="60">
        <f t="shared" si="88"/>
        <v>180.48047802041276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4</v>
      </c>
      <c r="AI131" s="14">
        <f>IF('Données projet'!$A$62&gt;35,AI130+AH131-AQ130,IF(A131&lt;'Données projet'!$A$62,$AF$205^A131,IF(A131='Données projet'!$A$62,'Données projet'!$B$62,AI130+AH131-AQ130)))</f>
        <v>315.99999999999983</v>
      </c>
      <c r="AJ131" s="14">
        <f>AI131*VLOOKUP('Données projet'!$B$10,Paramètres!$A$1:$I$89,3,0)*VLOOKUP('Données projet'!$B$10,Paramètres!$A$1:$I$89,5,0)</f>
        <v>266.19839999999988</v>
      </c>
      <c r="AK131" s="14">
        <f t="shared" si="89"/>
        <v>64.041809198373215</v>
      </c>
      <c r="AL131" s="22">
        <f t="shared" si="58"/>
        <v>575.16836435383323</v>
      </c>
      <c r="AM131" s="60">
        <f t="shared" si="59"/>
        <v>868.5016976871666</v>
      </c>
      <c r="AN131" s="60">
        <f ca="1">AVERAGE(OFFSET($AM$3,0,0,'Données projet'!$E$10+1,1))-AVERAGE(OFFSET($H$3,0,0,'Données projet'!$E$10+1,1))</f>
        <v>295.5242128298583</v>
      </c>
      <c r="AO131" s="60">
        <f t="shared" si="90"/>
        <v>164.21740841327744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5.4092197387944907E-14</v>
      </c>
      <c r="BF131" s="14">
        <f t="shared" si="91"/>
        <v>8.7287050538073676E-13</v>
      </c>
      <c r="BG131" s="22">
        <f t="shared" si="61"/>
        <v>1.6144600406554537E-12</v>
      </c>
      <c r="BH131" s="60">
        <f t="shared" si="62"/>
        <v>293.33333333333491</v>
      </c>
      <c r="BI131" s="60">
        <f ca="1">AVERAGE(OFFSET($BH$3,0,0,'Données projet'!$E$11+1,1))-AVERAGE(OFFSET($H$3,0,0,'Données projet'!$E$11+1,1))</f>
        <v>276.19649531804959</v>
      </c>
      <c r="BJ131" s="60">
        <f t="shared" si="92"/>
        <v>253.14970964973463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7.4487616075202823E-14</v>
      </c>
      <c r="CA131" s="14">
        <f t="shared" si="93"/>
        <v>1.1580453144473142E-12</v>
      </c>
      <c r="CB131" s="22">
        <f t="shared" si="64"/>
        <v>2.1466615206600508E-12</v>
      </c>
      <c r="CC131" s="60">
        <f t="shared" si="65"/>
        <v>293.33333333333547</v>
      </c>
      <c r="CD131" s="60">
        <f ca="1">AVERAGE(OFFSET($CC$3,0,0,'Données projet'!$E$12+1,1))-AVERAGE(OFFSET($H$3,0,0,'Données projet'!$E$12+1,1))</f>
        <v>154.88061446835457</v>
      </c>
      <c r="CE131" s="60">
        <f t="shared" si="94"/>
        <v>201.47826692201693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0.18035209259331941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0.18035209259331941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0" t="e">
        <f t="shared" si="68"/>
        <v>#NUM!</v>
      </c>
      <c r="CY131" s="60">
        <f ca="1">AVERAGE(OFFSET($CX$3,0,0,'Données projet'!$E$13+1,1))-AVERAGE(OFFSET($H$3,0,0,'Données projet'!$E$13+1,1))</f>
        <v>293.44206058086951</v>
      </c>
      <c r="CZ131" s="60">
        <f t="shared" si="96"/>
        <v>182.15909509186827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>
        <f>DO131*VLOOKUP('Données projet'!$B$14,Paramètres!$A$1:$I$89,3,0)*VLOOKUP('Données projet'!$B$14,Paramètres!$A$1:$I$89,5,0)</f>
        <v>0</v>
      </c>
      <c r="DQ131" s="14" t="e">
        <f t="shared" si="97"/>
        <v>#NUM!</v>
      </c>
      <c r="DR131" s="22" t="e">
        <f t="shared" si="70"/>
        <v>#NUM!</v>
      </c>
      <c r="DS131" s="60" t="e">
        <f t="shared" si="71"/>
        <v>#NUM!</v>
      </c>
      <c r="DT131" s="60">
        <f ca="1">AVERAGE(OFFSET($DS$3,0,0,'Données projet'!$E$14+1,1))-AVERAGE(OFFSET($H$3,0,0,'Données projet'!$E$14+1,1))</f>
        <v>338.92444234934266</v>
      </c>
      <c r="DU131" s="60">
        <f t="shared" si="98"/>
        <v>208.91548891910895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5</v>
      </c>
      <c r="EJ131" s="13">
        <f>IF('Données projet'!$A$192&gt;35,EJ130+EI131-ER130,IF(A131&lt;'Données projet'!$A$192,$EG$205^A131,IF(A131='Données projet'!$A$192,'Données projet'!$B$192,EJ130+EI131-ER130)))</f>
        <v>449.99999999999977</v>
      </c>
      <c r="EK131" s="18">
        <f>EJ131*VLOOKUP('Données projet'!$B$15,Paramètres!$A$1:$I$89,3,0)*VLOOKUP('Données projet'!$B$15,Paramètres!$A$1:$I$89,5,0)</f>
        <v>365.03999999999985</v>
      </c>
      <c r="EL131" s="14">
        <f t="shared" si="99"/>
        <v>84.651779413976413</v>
      </c>
      <c r="EM131" s="22">
        <f t="shared" si="73"/>
        <v>783.21318247934198</v>
      </c>
      <c r="EN131" s="60">
        <f t="shared" si="74"/>
        <v>1076.5465158126754</v>
      </c>
      <c r="EO131" s="60">
        <f ca="1">AVERAGE(OFFSET($EN$3,0,0,'Données projet'!$E$15+1,1))-AVERAGE(OFFSET($H$3,0,0,'Données projet'!$E$15+1,1))</f>
        <v>346.10839312896536</v>
      </c>
      <c r="EP131" s="60">
        <f t="shared" si="100"/>
        <v>196.24927250256087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5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8">
        <f t="shared" ref="H132:H195" si="110">(B132+E132+F132)*44/12+(C132+D132)*0.475*44/12</f>
        <v>546.12584302139749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</v>
      </c>
      <c r="N132" s="14">
        <f>IF('Données projet'!$A$36&gt;35,N131+M132-V131,IF(A132&lt;'Données projet'!$A$36,$K$205^A132,IF(A132='Données projet'!$A$36,'Données projet'!$B$36,N131+M132-V131)))</f>
        <v>319.99999999999983</v>
      </c>
      <c r="O132" s="14">
        <f>N132*VLOOKUP('Données projet'!$B$9,Paramètres!$A$1:$I$89,3,0)*VLOOKUP('Données projet'!$B$9,Paramètres!$A$1:$I$89,5,0)</f>
        <v>289.53599999999983</v>
      </c>
      <c r="P132" s="14">
        <f t="shared" si="87"/>
        <v>68.97829509904436</v>
      </c>
      <c r="Q132" s="22">
        <f t="shared" si="108"/>
        <v>624.41239729750191</v>
      </c>
      <c r="R132" s="60">
        <f t="shared" si="109"/>
        <v>917.74573063083517</v>
      </c>
      <c r="S132" s="60">
        <f ca="1">AVERAGE(OFFSET($R$3,0,0,'Données projet'!$E$9+1,1))-AVERAGE(OFFSET($H$3,0,0,'Données projet'!$E$9+1,1))</f>
        <v>327.62615088747526</v>
      </c>
      <c r="T132" s="60">
        <f t="shared" si="88"/>
        <v>180.48047802041276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4</v>
      </c>
      <c r="AI132" s="14">
        <f>IF('Données projet'!$A$62&gt;35,AI131+AH132-AQ131,IF(A132&lt;'Données projet'!$A$62,$AF$205^A132,IF(A132='Données projet'!$A$62,'Données projet'!$B$62,AI131+AH132-AQ131)))</f>
        <v>319.99999999999983</v>
      </c>
      <c r="AJ132" s="14">
        <f>AI132*VLOOKUP('Données projet'!$B$10,Paramètres!$A$1:$I$89,3,0)*VLOOKUP('Données projet'!$B$10,Paramètres!$A$1:$I$89,5,0)</f>
        <v>269.56799999999987</v>
      </c>
      <c r="AK132" s="14">
        <f t="shared" si="89"/>
        <v>64.757579442439805</v>
      </c>
      <c r="AL132" s="22">
        <f t="shared" ref="AL132:AL153" si="112">(AJ132+AK132)*0.475*44/12</f>
        <v>582.28371752891576</v>
      </c>
      <c r="AM132" s="60">
        <f t="shared" ref="AM132:AM195" si="113">AL132+(AD132+AE132)*44/12</f>
        <v>875.61705086224902</v>
      </c>
      <c r="AN132" s="60">
        <f ca="1">AVERAGE(OFFSET($AM$3,0,0,'Données projet'!$E$10+1,1))-AVERAGE(OFFSET($H$3,0,0,'Données projet'!$E$10+1,1))</f>
        <v>295.5242128298583</v>
      </c>
      <c r="AO132" s="60">
        <f t="shared" si="90"/>
        <v>164.21740841327744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5.4092197387944907E-14</v>
      </c>
      <c r="BF132" s="14">
        <f t="shared" si="91"/>
        <v>8.7287050538073676E-13</v>
      </c>
      <c r="BG132" s="22">
        <f t="shared" ref="BG132:BG153" si="115">(BE132+BF132)*0.475*44/12</f>
        <v>1.6144600406554537E-12</v>
      </c>
      <c r="BH132" s="60">
        <f t="shared" ref="BH132:BH195" si="116">BG132+(AY132+AZ132)*44/12</f>
        <v>293.33333333333491</v>
      </c>
      <c r="BI132" s="60">
        <f ca="1">AVERAGE(OFFSET($BH$3,0,0,'Données projet'!$E$11+1,1))-AVERAGE(OFFSET($H$3,0,0,'Données projet'!$E$11+1,1))</f>
        <v>276.19649531804959</v>
      </c>
      <c r="BJ132" s="60">
        <f t="shared" si="92"/>
        <v>253.14970964973463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7.4487616075202823E-14</v>
      </c>
      <c r="CA132" s="14">
        <f t="shared" si="93"/>
        <v>1.1580453144473142E-12</v>
      </c>
      <c r="CB132" s="22">
        <f t="shared" ref="CB132:CB153" si="118">(BZ132+CA132)*0.475*44/12</f>
        <v>2.1466615206600508E-12</v>
      </c>
      <c r="CC132" s="60">
        <f t="shared" ref="CC132:CC195" si="119">CB132+(BT132+BU132)*44/12</f>
        <v>293.33333333333547</v>
      </c>
      <c r="CD132" s="60">
        <f ca="1">AVERAGE(OFFSET($CC$3,0,0,'Données projet'!$E$12+1,1))-AVERAGE(OFFSET($H$3,0,0,'Données projet'!$E$12+1,1))</f>
        <v>154.88061446835457</v>
      </c>
      <c r="CE132" s="60">
        <f t="shared" si="94"/>
        <v>201.47826692201693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0.17542035513705073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0.17542035513705073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0" t="e">
        <f t="shared" ref="CX132:CX195" si="122">CW132+(CO132+CP132)*44/12</f>
        <v>#NUM!</v>
      </c>
      <c r="CY132" s="60">
        <f ca="1">AVERAGE(OFFSET($CX$3,0,0,'Données projet'!$E$13+1,1))-AVERAGE(OFFSET($H$3,0,0,'Données projet'!$E$13+1,1))</f>
        <v>293.44206058086951</v>
      </c>
      <c r="CZ132" s="60">
        <f t="shared" si="96"/>
        <v>182.15909509186827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>
        <f>DO132*VLOOKUP('Données projet'!$B$14,Paramètres!$A$1:$I$89,3,0)*VLOOKUP('Données projet'!$B$14,Paramètres!$A$1:$I$89,5,0)</f>
        <v>0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0" t="e">
        <f t="shared" ref="DS132:DS195" si="125">DR132+(DJ132+DK132)*44/12</f>
        <v>#NUM!</v>
      </c>
      <c r="DT132" s="60">
        <f ca="1">AVERAGE(OFFSET($DS$3,0,0,'Données projet'!$E$14+1,1))-AVERAGE(OFFSET($H$3,0,0,'Données projet'!$E$14+1,1))</f>
        <v>338.92444234934266</v>
      </c>
      <c r="DU132" s="60">
        <f t="shared" si="98"/>
        <v>208.91548891910895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5</v>
      </c>
      <c r="EJ132" s="13">
        <f>IF('Données projet'!$A$192&gt;35,EJ131+EI132-ER131,IF(A132&lt;'Données projet'!$A$192,$EG$205^A132,IF(A132='Données projet'!$A$192,'Données projet'!$B$192,EJ131+EI132-ER131)))</f>
        <v>454.99999999999977</v>
      </c>
      <c r="EK132" s="18">
        <f>EJ132*VLOOKUP('Données projet'!$B$15,Paramètres!$A$1:$I$89,3,0)*VLOOKUP('Données projet'!$B$15,Paramètres!$A$1:$I$89,5,0)</f>
        <v>369.09599999999983</v>
      </c>
      <c r="EL132" s="14">
        <f t="shared" si="99"/>
        <v>85.482336542270318</v>
      </c>
      <c r="EM132" s="22">
        <f t="shared" ref="EM132:EM153" si="127">(EK132+EL132)*0.475*44/12</f>
        <v>791.72393614445389</v>
      </c>
      <c r="EN132" s="60">
        <f t="shared" ref="EN132:EN195" si="128">EM132+(EE132+EF132)*44/12</f>
        <v>1085.0572694777873</v>
      </c>
      <c r="EO132" s="60">
        <f ca="1">AVERAGE(OFFSET($EN$3,0,0,'Données projet'!$E$15+1,1))-AVERAGE(OFFSET($H$3,0,0,'Données projet'!$E$15+1,1))</f>
        <v>346.10839312896536</v>
      </c>
      <c r="EP132" s="60">
        <f t="shared" si="100"/>
        <v>196.24927250256087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5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8">
        <f t="shared" si="110"/>
        <v>548.03747789690146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4</v>
      </c>
      <c r="N133" s="14">
        <f>IF('Données projet'!$A$36&gt;35,N132+M133-V132,IF(A133&lt;'Données projet'!$A$36,$K$205^A133,IF(A133='Données projet'!$A$36,'Données projet'!$B$36,N132+M133-V132)))</f>
        <v>323.99999999999983</v>
      </c>
      <c r="O133" s="14">
        <f>N133*VLOOKUP('Données projet'!$B$9,Paramètres!$A$1:$I$89,3,0)*VLOOKUP('Données projet'!$B$9,Paramètres!$A$1:$I$89,5,0)</f>
        <v>293.15519999999987</v>
      </c>
      <c r="P133" s="14">
        <f t="shared" ref="P133:P196" si="141">EXP(-1.0587+0.8836*LN(O133)+0.284)</f>
        <v>69.739608672728551</v>
      </c>
      <c r="Q133" s="22">
        <f t="shared" si="108"/>
        <v>632.0417917716685</v>
      </c>
      <c r="R133" s="60">
        <f t="shared" si="109"/>
        <v>925.37512510500187</v>
      </c>
      <c r="S133" s="60">
        <f ca="1">AVERAGE(OFFSET($R$3,0,0,'Données projet'!$E$9+1,1))-AVERAGE(OFFSET($H$3,0,0,'Données projet'!$E$9+1,1))</f>
        <v>327.62615088747526</v>
      </c>
      <c r="T133" s="60">
        <f t="shared" ref="T133:T196" si="142">$T$3</f>
        <v>180.48047802041276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4</v>
      </c>
      <c r="AI133" s="14">
        <f>IF('Données projet'!$A$62&gt;35,AI132+AH133-AQ132,IF(A133&lt;'Données projet'!$A$62,$AF$205^A133,IF(A133='Données projet'!$A$62,'Données projet'!$B$62,AI132+AH133-AQ132)))</f>
        <v>323.99999999999983</v>
      </c>
      <c r="AJ133" s="14">
        <f>AI133*VLOOKUP('Données projet'!$B$10,Paramètres!$A$1:$I$89,3,0)*VLOOKUP('Données projet'!$B$10,Paramètres!$A$1:$I$89,5,0)</f>
        <v>272.93759999999986</v>
      </c>
      <c r="AK133" s="14">
        <f t="shared" ref="AK133:AK153" si="143">EXP(-1.0587+0.8836*LN(AJ133)+0.284)</f>
        <v>65.472308969426166</v>
      </c>
      <c r="AL133" s="22">
        <f t="shared" si="112"/>
        <v>589.39725812175027</v>
      </c>
      <c r="AM133" s="60">
        <f t="shared" si="113"/>
        <v>882.73059145508364</v>
      </c>
      <c r="AN133" s="60">
        <f ca="1">AVERAGE(OFFSET($AM$3,0,0,'Données projet'!$E$10+1,1))-AVERAGE(OFFSET($H$3,0,0,'Données projet'!$E$10+1,1))</f>
        <v>295.5242128298583</v>
      </c>
      <c r="AO133" s="60">
        <f t="shared" ref="AO133:AO196" si="144">$AO$3</f>
        <v>164.21740841327744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5.4092197387944907E-14</v>
      </c>
      <c r="BF133" s="14">
        <f t="shared" ref="BF133:BF153" si="145">EXP(-1.0587+0.8836*LN(BE133)+0.284)</f>
        <v>8.7287050538073676E-13</v>
      </c>
      <c r="BG133" s="22">
        <f t="shared" si="115"/>
        <v>1.6144600406554537E-12</v>
      </c>
      <c r="BH133" s="60">
        <f t="shared" si="116"/>
        <v>293.33333333333491</v>
      </c>
      <c r="BI133" s="60">
        <f ca="1">AVERAGE(OFFSET($BH$3,0,0,'Données projet'!$E$11+1,1))-AVERAGE(OFFSET($H$3,0,0,'Données projet'!$E$11+1,1))</f>
        <v>276.19649531804959</v>
      </c>
      <c r="BJ133" s="60">
        <f t="shared" ref="BJ133:BJ196" si="146">$BJ$3</f>
        <v>253.14970964973463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7.4487616075202823E-14</v>
      </c>
      <c r="CA133" s="14">
        <f t="shared" ref="CA133:CA153" si="147">EXP(-1.0587+0.8836*LN(BZ133)+0.284)</f>
        <v>1.1580453144473142E-12</v>
      </c>
      <c r="CB133" s="22">
        <f t="shared" si="118"/>
        <v>2.1466615206600508E-12</v>
      </c>
      <c r="CC133" s="60">
        <f t="shared" si="119"/>
        <v>293.33333333333547</v>
      </c>
      <c r="CD133" s="60">
        <f ca="1">AVERAGE(OFFSET($CC$3,0,0,'Données projet'!$E$12+1,1))-AVERAGE(OFFSET($H$3,0,0,'Données projet'!$E$12+1,1))</f>
        <v>154.88061446835457</v>
      </c>
      <c r="CE133" s="60">
        <f t="shared" ref="CE133:CE196" si="148">$CE$3</f>
        <v>201.47826692201693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0.17062347630087255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0.17062347630087255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0" t="e">
        <f t="shared" si="122"/>
        <v>#NUM!</v>
      </c>
      <c r="CY133" s="60">
        <f ca="1">AVERAGE(OFFSET($CX$3,0,0,'Données projet'!$E$13+1,1))-AVERAGE(OFFSET($H$3,0,0,'Données projet'!$E$13+1,1))</f>
        <v>293.44206058086951</v>
      </c>
      <c r="CZ133" s="60">
        <f t="shared" ref="CZ133:CZ196" si="150">$CZ$3</f>
        <v>182.15909509186827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>
        <f>DO133*VLOOKUP('Données projet'!$B$14,Paramètres!$A$1:$I$89,3,0)*VLOOKUP('Données projet'!$B$14,Paramètres!$A$1:$I$89,5,0)</f>
        <v>0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0" t="e">
        <f t="shared" si="125"/>
        <v>#NUM!</v>
      </c>
      <c r="DT133" s="60">
        <f ca="1">AVERAGE(OFFSET($DS$3,0,0,'Données projet'!$E$14+1,1))-AVERAGE(OFFSET($H$3,0,0,'Données projet'!$E$14+1,1))</f>
        <v>338.92444234934266</v>
      </c>
      <c r="DU133" s="60">
        <f t="shared" ref="DU133:DU196" si="152">$DU$3</f>
        <v>208.91548891910895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>
        <f>VLOOKUP(A133,'Données projet'!$A$191:$I$211,2,0)</f>
        <v>460</v>
      </c>
      <c r="EH133" s="13">
        <f>VLOOKUP(A133,'Données projet'!$A$191:$I$211,9,0)</f>
        <v>5</v>
      </c>
      <c r="EI133" s="13">
        <f t="array" ref="EI133">INDEX(EH:EH,MIN(IF(ISNUMBER(EH133:EH329),ROW(EH133:EH329),"")))</f>
        <v>5</v>
      </c>
      <c r="EJ133" s="13">
        <f>IF('Données projet'!$A$192&gt;35,EJ132+EI133-ER132,IF(A133&lt;'Données projet'!$A$192,$EG$205^A133,IF(A133='Données projet'!$A$192,'Données projet'!$B$192,EJ132+EI133-ER132)))</f>
        <v>459.99999999999977</v>
      </c>
      <c r="EK133" s="18">
        <f>EJ133*VLOOKUP('Données projet'!$B$15,Paramètres!$A$1:$I$89,3,0)*VLOOKUP('Données projet'!$B$15,Paramètres!$A$1:$I$89,5,0)</f>
        <v>373.15199999999987</v>
      </c>
      <c r="EL133" s="14">
        <f t="shared" ref="EL133:EL153" si="153">EXP(-1.0587+0.8836*LN(EK133)+0.284)</f>
        <v>86.311831944170081</v>
      </c>
      <c r="EM133" s="22">
        <f t="shared" si="127"/>
        <v>800.23284063609583</v>
      </c>
      <c r="EN133" s="60">
        <f t="shared" si="128"/>
        <v>1093.5661739694292</v>
      </c>
      <c r="EO133" s="60">
        <f ca="1">AVERAGE(OFFSET($EN$3,0,0,'Données projet'!$E$15+1,1))-AVERAGE(OFFSET($H$3,0,0,'Données projet'!$E$15+1,1))</f>
        <v>346.10839312896536</v>
      </c>
      <c r="EP133" s="60">
        <f t="shared" ref="EP133:EP196" si="154">$EP$3</f>
        <v>196.24927250256087</v>
      </c>
      <c r="EQ133" s="16">
        <f>IF(ISNA(VLOOKUP(A133,'Données projet'!$A$191:$I$211,3,0)),0,VLOOKUP(A133,'Données projet'!$A$191:$I$211,3,0))</f>
        <v>11</v>
      </c>
      <c r="ER133" s="16">
        <f>IF(ISNA(VLOOKUP(A133,'Données projet'!$A$191:$I$211,4,0)),0,VLOOKUP(A133,'Données projet'!$A$191:$I$211,4,0))</f>
        <v>41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5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8">
        <f t="shared" si="110"/>
        <v>549.94878793920475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4</v>
      </c>
      <c r="N134" s="14">
        <f>IF('Données projet'!$A$36&gt;35,N133+M134-V133,IF(A134&lt;'Données projet'!$A$36,$K$205^A134,IF(A134='Données projet'!$A$36,'Données projet'!$B$36,N133+M134-V133)))</f>
        <v>327.99999999999983</v>
      </c>
      <c r="O134" s="14">
        <f>N134*VLOOKUP('Données projet'!$B$9,Paramètres!$A$1:$I$89,3,0)*VLOOKUP('Données projet'!$B$9,Paramètres!$A$1:$I$89,5,0)</f>
        <v>296.77439999999984</v>
      </c>
      <c r="P134" s="14">
        <f t="shared" si="141"/>
        <v>70.499828966950673</v>
      </c>
      <c r="Q134" s="22">
        <f t="shared" si="108"/>
        <v>639.6692821174388</v>
      </c>
      <c r="R134" s="60">
        <f t="shared" si="109"/>
        <v>933.00261545077205</v>
      </c>
      <c r="S134" s="60">
        <f ca="1">AVERAGE(OFFSET($R$3,0,0,'Données projet'!$E$9+1,1))-AVERAGE(OFFSET($H$3,0,0,'Données projet'!$E$9+1,1))</f>
        <v>327.62615088747526</v>
      </c>
      <c r="T134" s="60">
        <f t="shared" si="142"/>
        <v>180.48047802041276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4</v>
      </c>
      <c r="AI134" s="14">
        <f>IF('Données projet'!$A$62&gt;35,AI133+AH134-AQ133,IF(A134&lt;'Données projet'!$A$62,$AF$205^A134,IF(A134='Données projet'!$A$62,'Données projet'!$B$62,AI133+AH134-AQ133)))</f>
        <v>327.99999999999983</v>
      </c>
      <c r="AJ134" s="14">
        <f>AI134*VLOOKUP('Données projet'!$B$10,Paramètres!$A$1:$I$89,3,0)*VLOOKUP('Données projet'!$B$10,Paramètres!$A$1:$I$89,5,0)</f>
        <v>276.30719999999991</v>
      </c>
      <c r="AK134" s="14">
        <f t="shared" si="143"/>
        <v>66.186012113671126</v>
      </c>
      <c r="AL134" s="22">
        <f t="shared" si="112"/>
        <v>596.5090110979769</v>
      </c>
      <c r="AM134" s="60">
        <f t="shared" si="113"/>
        <v>889.84234443131027</v>
      </c>
      <c r="AN134" s="60">
        <f ca="1">AVERAGE(OFFSET($AM$3,0,0,'Données projet'!$E$10+1,1))-AVERAGE(OFFSET($H$3,0,0,'Données projet'!$E$10+1,1))</f>
        <v>295.5242128298583</v>
      </c>
      <c r="AO134" s="60">
        <f t="shared" si="144"/>
        <v>164.21740841327744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5.4092197387944907E-14</v>
      </c>
      <c r="BF134" s="14">
        <f t="shared" si="145"/>
        <v>8.7287050538073676E-13</v>
      </c>
      <c r="BG134" s="22">
        <f t="shared" si="115"/>
        <v>1.6144600406554537E-12</v>
      </c>
      <c r="BH134" s="60">
        <f t="shared" si="116"/>
        <v>293.33333333333491</v>
      </c>
      <c r="BI134" s="60">
        <f ca="1">AVERAGE(OFFSET($BH$3,0,0,'Données projet'!$E$11+1,1))-AVERAGE(OFFSET($H$3,0,0,'Données projet'!$E$11+1,1))</f>
        <v>276.19649531804959</v>
      </c>
      <c r="BJ134" s="60">
        <f t="shared" si="146"/>
        <v>253.14970964973463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7.4487616075202823E-14</v>
      </c>
      <c r="CA134" s="14">
        <f t="shared" si="147"/>
        <v>1.1580453144473142E-12</v>
      </c>
      <c r="CB134" s="22">
        <f t="shared" si="118"/>
        <v>2.1466615206600508E-12</v>
      </c>
      <c r="CC134" s="60">
        <f t="shared" si="119"/>
        <v>293.33333333333547</v>
      </c>
      <c r="CD134" s="60">
        <f ca="1">AVERAGE(OFFSET($CC$3,0,0,'Données projet'!$E$12+1,1))-AVERAGE(OFFSET($H$3,0,0,'Données projet'!$E$12+1,1))</f>
        <v>154.88061446835457</v>
      </c>
      <c r="CE134" s="60">
        <f t="shared" si="148"/>
        <v>201.47826692201693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0.16595776836872653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0.16595776836872653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0" t="e">
        <f t="shared" si="122"/>
        <v>#NUM!</v>
      </c>
      <c r="CY134" s="60">
        <f ca="1">AVERAGE(OFFSET($CX$3,0,0,'Données projet'!$E$13+1,1))-AVERAGE(OFFSET($H$3,0,0,'Données projet'!$E$13+1,1))</f>
        <v>293.44206058086951</v>
      </c>
      <c r="CZ134" s="60">
        <f t="shared" si="150"/>
        <v>182.15909509186827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>
        <f>DO134*VLOOKUP('Données projet'!$B$14,Paramètres!$A$1:$I$89,3,0)*VLOOKUP('Données projet'!$B$14,Paramètres!$A$1:$I$89,5,0)</f>
        <v>0</v>
      </c>
      <c r="DQ134" s="14" t="e">
        <f t="shared" si="151"/>
        <v>#NUM!</v>
      </c>
      <c r="DR134" s="22" t="e">
        <f t="shared" si="124"/>
        <v>#NUM!</v>
      </c>
      <c r="DS134" s="60" t="e">
        <f t="shared" si="125"/>
        <v>#NUM!</v>
      </c>
      <c r="DT134" s="60">
        <f ca="1">AVERAGE(OFFSET($DS$3,0,0,'Données projet'!$E$14+1,1))-AVERAGE(OFFSET($H$3,0,0,'Données projet'!$E$14+1,1))</f>
        <v>338.92444234934266</v>
      </c>
      <c r="DU134" s="60">
        <f t="shared" si="152"/>
        <v>208.91548891910895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4.5999999999999996</v>
      </c>
      <c r="EJ134" s="13">
        <f>IF('Données projet'!$A$192&gt;35,EJ133+EI134-ER133,IF(A134&lt;'Données projet'!$A$192,$EG$205^A134,IF(A134='Données projet'!$A$192,'Données projet'!$B$192,EJ133+EI134-ER133)))</f>
        <v>423.5999999999998</v>
      </c>
      <c r="EK134" s="18">
        <f>EJ134*VLOOKUP('Données projet'!$B$15,Paramètres!$A$1:$I$89,3,0)*VLOOKUP('Données projet'!$B$15,Paramètres!$A$1:$I$89,5,0)</f>
        <v>343.62431999999984</v>
      </c>
      <c r="EL134" s="14">
        <f t="shared" si="153"/>
        <v>80.248291154259448</v>
      </c>
      <c r="EM134" s="22">
        <f t="shared" si="127"/>
        <v>738.24479776033479</v>
      </c>
      <c r="EN134" s="60">
        <f t="shared" si="128"/>
        <v>1031.5781310936682</v>
      </c>
      <c r="EO134" s="60">
        <f ca="1">AVERAGE(OFFSET($EN$3,0,0,'Données projet'!$E$15+1,1))-AVERAGE(OFFSET($H$3,0,0,'Données projet'!$E$15+1,1))</f>
        <v>346.10839312896536</v>
      </c>
      <c r="EP134" s="60">
        <f t="shared" si="154"/>
        <v>196.24927250256087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5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8">
        <f t="shared" si="110"/>
        <v>551.85977591540495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4</v>
      </c>
      <c r="N135" s="14">
        <f>IF('Données projet'!$A$36&gt;35,N134+M135-V134,IF(A135&lt;'Données projet'!$A$36,$K$205^A135,IF(A135='Données projet'!$A$36,'Données projet'!$B$36,N134+M135-V134)))</f>
        <v>331.99999999999983</v>
      </c>
      <c r="O135" s="14">
        <f>N135*VLOOKUP('Données projet'!$B$9,Paramètres!$A$1:$I$89,3,0)*VLOOKUP('Données projet'!$B$9,Paramètres!$A$1:$I$89,5,0)</f>
        <v>300.39359999999982</v>
      </c>
      <c r="P135" s="14">
        <f t="shared" si="141"/>
        <v>71.258970856492667</v>
      </c>
      <c r="Q135" s="22">
        <f t="shared" si="108"/>
        <v>647.29489424172436</v>
      </c>
      <c r="R135" s="60">
        <f t="shared" si="109"/>
        <v>940.62822757505774</v>
      </c>
      <c r="S135" s="60">
        <f ca="1">AVERAGE(OFFSET($R$3,0,0,'Données projet'!$E$9+1,1))-AVERAGE(OFFSET($H$3,0,0,'Données projet'!$E$9+1,1))</f>
        <v>327.62615088747526</v>
      </c>
      <c r="T135" s="60">
        <f t="shared" si="142"/>
        <v>180.48047802041276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4</v>
      </c>
      <c r="AI135" s="14">
        <f>IF('Données projet'!$A$62&gt;35,AI134+AH135-AQ134,IF(A135&lt;'Données projet'!$A$62,$AF$205^A135,IF(A135='Données projet'!$A$62,'Données projet'!$B$62,AI134+AH135-AQ134)))</f>
        <v>331.99999999999983</v>
      </c>
      <c r="AJ135" s="14">
        <f>AI135*VLOOKUP('Données projet'!$B$10,Paramètres!$A$1:$I$89,3,0)*VLOOKUP('Données projet'!$B$10,Paramètres!$A$1:$I$89,5,0)</f>
        <v>279.6767999999999</v>
      </c>
      <c r="AK135" s="14">
        <f t="shared" si="143"/>
        <v>66.898702839783041</v>
      </c>
      <c r="AL135" s="22">
        <f t="shared" si="112"/>
        <v>603.61900077928851</v>
      </c>
      <c r="AM135" s="60">
        <f t="shared" si="113"/>
        <v>896.95233411262188</v>
      </c>
      <c r="AN135" s="60">
        <f ca="1">AVERAGE(OFFSET($AM$3,0,0,'Données projet'!$E$10+1,1))-AVERAGE(OFFSET($H$3,0,0,'Données projet'!$E$10+1,1))</f>
        <v>295.5242128298583</v>
      </c>
      <c r="AO135" s="60">
        <f t="shared" si="144"/>
        <v>164.21740841327744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5.4092197387944907E-14</v>
      </c>
      <c r="BF135" s="14">
        <f t="shared" si="145"/>
        <v>8.7287050538073676E-13</v>
      </c>
      <c r="BG135" s="22">
        <f t="shared" si="115"/>
        <v>1.6144600406554537E-12</v>
      </c>
      <c r="BH135" s="60">
        <f t="shared" si="116"/>
        <v>293.33333333333491</v>
      </c>
      <c r="BI135" s="60">
        <f ca="1">AVERAGE(OFFSET($BH$3,0,0,'Données projet'!$E$11+1,1))-AVERAGE(OFFSET($H$3,0,0,'Données projet'!$E$11+1,1))</f>
        <v>276.19649531804959</v>
      </c>
      <c r="BJ135" s="60">
        <f t="shared" si="146"/>
        <v>253.14970964973463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7.4487616075202823E-14</v>
      </c>
      <c r="CA135" s="14">
        <f t="shared" si="147"/>
        <v>1.1580453144473142E-12</v>
      </c>
      <c r="CB135" s="22">
        <f t="shared" si="118"/>
        <v>2.1466615206600508E-12</v>
      </c>
      <c r="CC135" s="60">
        <f t="shared" si="119"/>
        <v>293.33333333333547</v>
      </c>
      <c r="CD135" s="60">
        <f ca="1">AVERAGE(OFFSET($CC$3,0,0,'Données projet'!$E$12+1,1))-AVERAGE(OFFSET($H$3,0,0,'Données projet'!$E$12+1,1))</f>
        <v>154.88061446835457</v>
      </c>
      <c r="CE135" s="60">
        <f t="shared" si="148"/>
        <v>201.47826692201693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0.16141964446534396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0.16141964446534396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0" t="e">
        <f t="shared" si="122"/>
        <v>#NUM!</v>
      </c>
      <c r="CY135" s="60">
        <f ca="1">AVERAGE(OFFSET($CX$3,0,0,'Données projet'!$E$13+1,1))-AVERAGE(OFFSET($H$3,0,0,'Données projet'!$E$13+1,1))</f>
        <v>293.44206058086951</v>
      </c>
      <c r="CZ135" s="60">
        <f t="shared" si="150"/>
        <v>182.15909509186827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>
        <f>DO135*VLOOKUP('Données projet'!$B$14,Paramètres!$A$1:$I$89,3,0)*VLOOKUP('Données projet'!$B$14,Paramètres!$A$1:$I$89,5,0)</f>
        <v>0</v>
      </c>
      <c r="DQ135" s="14" t="e">
        <f t="shared" si="151"/>
        <v>#NUM!</v>
      </c>
      <c r="DR135" s="22" t="e">
        <f t="shared" si="124"/>
        <v>#NUM!</v>
      </c>
      <c r="DS135" s="60" t="e">
        <f t="shared" si="125"/>
        <v>#NUM!</v>
      </c>
      <c r="DT135" s="60">
        <f ca="1">AVERAGE(OFFSET($DS$3,0,0,'Données projet'!$E$14+1,1))-AVERAGE(OFFSET($H$3,0,0,'Données projet'!$E$14+1,1))</f>
        <v>338.92444234934266</v>
      </c>
      <c r="DU135" s="60">
        <f t="shared" si="152"/>
        <v>208.91548891910895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4.5999999999999996</v>
      </c>
      <c r="EJ135" s="13">
        <f>IF('Données projet'!$A$192&gt;35,EJ134+EI135-ER134,IF(A135&lt;'Données projet'!$A$192,$EG$205^A135,IF(A135='Données projet'!$A$192,'Données projet'!$B$192,EJ134+EI135-ER134)))</f>
        <v>428.19999999999982</v>
      </c>
      <c r="EK135" s="18">
        <f>EJ135*VLOOKUP('Données projet'!$B$15,Paramètres!$A$1:$I$89,3,0)*VLOOKUP('Données projet'!$B$15,Paramètres!$A$1:$I$89,5,0)</f>
        <v>347.35583999999989</v>
      </c>
      <c r="EL135" s="14">
        <f t="shared" si="153"/>
        <v>81.017811165912164</v>
      </c>
      <c r="EM135" s="22">
        <f t="shared" si="127"/>
        <v>746.08410911396334</v>
      </c>
      <c r="EN135" s="60">
        <f t="shared" si="128"/>
        <v>1039.4174424472967</v>
      </c>
      <c r="EO135" s="60">
        <f ca="1">AVERAGE(OFFSET($EN$3,0,0,'Données projet'!$E$15+1,1))-AVERAGE(OFFSET($H$3,0,0,'Données projet'!$E$15+1,1))</f>
        <v>346.10839312896536</v>
      </c>
      <c r="EP135" s="60">
        <f t="shared" si="154"/>
        <v>196.24927250256087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5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8">
        <f t="shared" si="110"/>
        <v>553.77044454825227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4</v>
      </c>
      <c r="N136" s="14">
        <f>IF('Données projet'!$A$36&gt;35,N135+M136-V135,IF(A136&lt;'Données projet'!$A$36,$K$205^A136,IF(A136='Données projet'!$A$36,'Données projet'!$B$36,N135+M136-V135)))</f>
        <v>335.99999999999983</v>
      </c>
      <c r="O136" s="14">
        <f>N136*VLOOKUP('Données projet'!$B$9,Paramètres!$A$1:$I$89,3,0)*VLOOKUP('Données projet'!$B$9,Paramètres!$A$1:$I$89,5,0)</f>
        <v>304.0127999999998</v>
      </c>
      <c r="P136" s="14">
        <f t="shared" si="141"/>
        <v>72.017048837085824</v>
      </c>
      <c r="Q136" s="22">
        <f t="shared" si="108"/>
        <v>654.91865339125741</v>
      </c>
      <c r="R136" s="60">
        <f t="shared" si="109"/>
        <v>948.25198672459078</v>
      </c>
      <c r="S136" s="60">
        <f ca="1">AVERAGE(OFFSET($R$3,0,0,'Données projet'!$E$9+1,1))-AVERAGE(OFFSET($H$3,0,0,'Données projet'!$E$9+1,1))</f>
        <v>327.62615088747526</v>
      </c>
      <c r="T136" s="60">
        <f t="shared" si="142"/>
        <v>180.48047802041276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4</v>
      </c>
      <c r="AI136" s="14">
        <f>IF('Données projet'!$A$62&gt;35,AI135+AH136-AQ135,IF(A136&lt;'Données projet'!$A$62,$AF$205^A136,IF(A136='Données projet'!$A$62,'Données projet'!$B$62,AI135+AH136-AQ135)))</f>
        <v>335.99999999999983</v>
      </c>
      <c r="AJ136" s="14">
        <f>AI136*VLOOKUP('Données projet'!$B$10,Paramètres!$A$1:$I$89,3,0)*VLOOKUP('Données projet'!$B$10,Paramètres!$A$1:$I$89,5,0)</f>
        <v>283.04639999999989</v>
      </c>
      <c r="AK136" s="14">
        <f t="shared" si="143"/>
        <v>67.610394756513259</v>
      </c>
      <c r="AL136" s="22">
        <f t="shared" si="112"/>
        <v>610.72725086759363</v>
      </c>
      <c r="AM136" s="60">
        <f t="shared" si="113"/>
        <v>904.060584200927</v>
      </c>
      <c r="AN136" s="60">
        <f ca="1">AVERAGE(OFFSET($AM$3,0,0,'Données projet'!$E$10+1,1))-AVERAGE(OFFSET($H$3,0,0,'Données projet'!$E$10+1,1))</f>
        <v>295.5242128298583</v>
      </c>
      <c r="AO136" s="60">
        <f t="shared" si="144"/>
        <v>164.21740841327744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5.4092197387944907E-14</v>
      </c>
      <c r="BF136" s="14">
        <f t="shared" si="145"/>
        <v>8.7287050538073676E-13</v>
      </c>
      <c r="BG136" s="22">
        <f t="shared" si="115"/>
        <v>1.6144600406554537E-12</v>
      </c>
      <c r="BH136" s="60">
        <f t="shared" si="116"/>
        <v>293.33333333333491</v>
      </c>
      <c r="BI136" s="60">
        <f ca="1">AVERAGE(OFFSET($BH$3,0,0,'Données projet'!$E$11+1,1))-AVERAGE(OFFSET($H$3,0,0,'Données projet'!$E$11+1,1))</f>
        <v>276.19649531804959</v>
      </c>
      <c r="BJ136" s="60">
        <f t="shared" si="146"/>
        <v>253.14970964973463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7.4487616075202823E-14</v>
      </c>
      <c r="CA136" s="14">
        <f t="shared" si="147"/>
        <v>1.1580453144473142E-12</v>
      </c>
      <c r="CB136" s="22">
        <f t="shared" si="118"/>
        <v>2.1466615206600508E-12</v>
      </c>
      <c r="CC136" s="60">
        <f t="shared" si="119"/>
        <v>293.33333333333547</v>
      </c>
      <c r="CD136" s="60">
        <f ca="1">AVERAGE(OFFSET($CC$3,0,0,'Données projet'!$E$12+1,1))-AVERAGE(OFFSET($H$3,0,0,'Données projet'!$E$12+1,1))</f>
        <v>154.88061446835457</v>
      </c>
      <c r="CE136" s="60">
        <f t="shared" si="148"/>
        <v>201.47826692201693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0.15700561579874894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0.15700561579874894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0" t="e">
        <f t="shared" si="122"/>
        <v>#NUM!</v>
      </c>
      <c r="CY136" s="60">
        <f ca="1">AVERAGE(OFFSET($CX$3,0,0,'Données projet'!$E$13+1,1))-AVERAGE(OFFSET($H$3,0,0,'Données projet'!$E$13+1,1))</f>
        <v>293.44206058086951</v>
      </c>
      <c r="CZ136" s="60">
        <f t="shared" si="150"/>
        <v>182.15909509186827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>
        <f>DO136*VLOOKUP('Données projet'!$B$14,Paramètres!$A$1:$I$89,3,0)*VLOOKUP('Données projet'!$B$14,Paramètres!$A$1:$I$89,5,0)</f>
        <v>0</v>
      </c>
      <c r="DQ136" s="14" t="e">
        <f t="shared" si="151"/>
        <v>#NUM!</v>
      </c>
      <c r="DR136" s="22" t="e">
        <f t="shared" si="124"/>
        <v>#NUM!</v>
      </c>
      <c r="DS136" s="60" t="e">
        <f t="shared" si="125"/>
        <v>#NUM!</v>
      </c>
      <c r="DT136" s="60">
        <f ca="1">AVERAGE(OFFSET($DS$3,0,0,'Données projet'!$E$14+1,1))-AVERAGE(OFFSET($H$3,0,0,'Données projet'!$E$14+1,1))</f>
        <v>338.92444234934266</v>
      </c>
      <c r="DU136" s="60">
        <f t="shared" si="152"/>
        <v>208.91548891910895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4.5999999999999996</v>
      </c>
      <c r="EJ136" s="13">
        <f>IF('Données projet'!$A$192&gt;35,EJ135+EI136-ER135,IF(A136&lt;'Données projet'!$A$192,$EG$205^A136,IF(A136='Données projet'!$A$192,'Données projet'!$B$192,EJ135+EI136-ER135)))</f>
        <v>432.79999999999984</v>
      </c>
      <c r="EK136" s="18">
        <f>EJ136*VLOOKUP('Données projet'!$B$15,Paramètres!$A$1:$I$89,3,0)*VLOOKUP('Données projet'!$B$15,Paramètres!$A$1:$I$89,5,0)</f>
        <v>351.08735999999988</v>
      </c>
      <c r="EL136" s="14">
        <f t="shared" si="153"/>
        <v>81.786369517902813</v>
      </c>
      <c r="EM136" s="22">
        <f t="shared" si="127"/>
        <v>753.92174557701389</v>
      </c>
      <c r="EN136" s="60">
        <f t="shared" si="128"/>
        <v>1047.2550789103473</v>
      </c>
      <c r="EO136" s="60">
        <f ca="1">AVERAGE(OFFSET($EN$3,0,0,'Données projet'!$E$15+1,1))-AVERAGE(OFFSET($H$3,0,0,'Données projet'!$E$15+1,1))</f>
        <v>346.10839312896536</v>
      </c>
      <c r="EP136" s="60">
        <f t="shared" si="154"/>
        <v>196.24927250256087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5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8">
        <f t="shared" si="110"/>
        <v>555.68079651718767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4</v>
      </c>
      <c r="N137" s="14">
        <f>IF('Données projet'!$A$36&gt;35,N136+M137-V136,IF(A137&lt;'Données projet'!$A$36,$K$205^A137,IF(A137='Données projet'!$A$36,'Données projet'!$B$36,N136+M137-V136)))</f>
        <v>339.99999999999983</v>
      </c>
      <c r="O137" s="14">
        <f>N137*VLOOKUP('Données projet'!$B$9,Paramètres!$A$1:$I$89,3,0)*VLOOKUP('Données projet'!$B$9,Paramètres!$A$1:$I$89,5,0)</f>
        <v>307.63199999999983</v>
      </c>
      <c r="P137" s="14">
        <f t="shared" si="141"/>
        <v>72.774077039465496</v>
      </c>
      <c r="Q137" s="22">
        <f t="shared" si="108"/>
        <v>662.54058417706881</v>
      </c>
      <c r="R137" s="60">
        <f t="shared" si="109"/>
        <v>955.87391751040218</v>
      </c>
      <c r="S137" s="60">
        <f ca="1">AVERAGE(OFFSET($R$3,0,0,'Données projet'!$E$9+1,1))-AVERAGE(OFFSET($H$3,0,0,'Données projet'!$E$9+1,1))</f>
        <v>327.62615088747526</v>
      </c>
      <c r="T137" s="60">
        <f t="shared" si="142"/>
        <v>180.48047802041276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4</v>
      </c>
      <c r="AI137" s="14">
        <f>IF('Données projet'!$A$62&gt;35,AI136+AH137-AQ136,IF(A137&lt;'Données projet'!$A$62,$AF$205^A137,IF(A137='Données projet'!$A$62,'Données projet'!$B$62,AI136+AH137-AQ136)))</f>
        <v>339.99999999999983</v>
      </c>
      <c r="AJ137" s="14">
        <f>AI137*VLOOKUP('Données projet'!$B$10,Paramètres!$A$1:$I$89,3,0)*VLOOKUP('Données projet'!$B$10,Paramètres!$A$1:$I$89,5,0)</f>
        <v>286.41599999999988</v>
      </c>
      <c r="AK137" s="14">
        <f t="shared" si="143"/>
        <v>68.321101129951188</v>
      </c>
      <c r="AL137" s="22">
        <f t="shared" si="112"/>
        <v>617.83378446799804</v>
      </c>
      <c r="AM137" s="60">
        <f t="shared" si="113"/>
        <v>911.16711780133141</v>
      </c>
      <c r="AN137" s="60">
        <f ca="1">AVERAGE(OFFSET($AM$3,0,0,'Données projet'!$E$10+1,1))-AVERAGE(OFFSET($H$3,0,0,'Données projet'!$E$10+1,1))</f>
        <v>295.5242128298583</v>
      </c>
      <c r="AO137" s="60">
        <f t="shared" si="144"/>
        <v>164.21740841327744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5.4092197387944907E-14</v>
      </c>
      <c r="BF137" s="14">
        <f t="shared" si="145"/>
        <v>8.7287050538073676E-13</v>
      </c>
      <c r="BG137" s="22">
        <f t="shared" si="115"/>
        <v>1.6144600406554537E-12</v>
      </c>
      <c r="BH137" s="60">
        <f t="shared" si="116"/>
        <v>293.33333333333491</v>
      </c>
      <c r="BI137" s="60">
        <f ca="1">AVERAGE(OFFSET($BH$3,0,0,'Données projet'!$E$11+1,1))-AVERAGE(OFFSET($H$3,0,0,'Données projet'!$E$11+1,1))</f>
        <v>276.19649531804959</v>
      </c>
      <c r="BJ137" s="60">
        <f t="shared" si="146"/>
        <v>253.14970964973463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7.4487616075202823E-14</v>
      </c>
      <c r="CA137" s="14">
        <f t="shared" si="147"/>
        <v>1.1580453144473142E-12</v>
      </c>
      <c r="CB137" s="22">
        <f t="shared" si="118"/>
        <v>2.1466615206600508E-12</v>
      </c>
      <c r="CC137" s="60">
        <f t="shared" si="119"/>
        <v>293.33333333333547</v>
      </c>
      <c r="CD137" s="60">
        <f ca="1">AVERAGE(OFFSET($CC$3,0,0,'Données projet'!$E$12+1,1))-AVERAGE(OFFSET($H$3,0,0,'Données projet'!$E$12+1,1))</f>
        <v>154.88061446835457</v>
      </c>
      <c r="CE137" s="60">
        <f t="shared" si="148"/>
        <v>201.47826692201693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0.15271228897816566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0.15271228897816566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0" t="e">
        <f t="shared" si="122"/>
        <v>#NUM!</v>
      </c>
      <c r="CY137" s="60">
        <f ca="1">AVERAGE(OFFSET($CX$3,0,0,'Données projet'!$E$13+1,1))-AVERAGE(OFFSET($H$3,0,0,'Données projet'!$E$13+1,1))</f>
        <v>293.44206058086951</v>
      </c>
      <c r="CZ137" s="60">
        <f t="shared" si="150"/>
        <v>182.15909509186827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>
        <f>DO137*VLOOKUP('Données projet'!$B$14,Paramètres!$A$1:$I$89,3,0)*VLOOKUP('Données projet'!$B$14,Paramètres!$A$1:$I$89,5,0)</f>
        <v>0</v>
      </c>
      <c r="DQ137" s="14" t="e">
        <f t="shared" si="151"/>
        <v>#NUM!</v>
      </c>
      <c r="DR137" s="22" t="e">
        <f t="shared" si="124"/>
        <v>#NUM!</v>
      </c>
      <c r="DS137" s="60" t="e">
        <f t="shared" si="125"/>
        <v>#NUM!</v>
      </c>
      <c r="DT137" s="60">
        <f ca="1">AVERAGE(OFFSET($DS$3,0,0,'Données projet'!$E$14+1,1))-AVERAGE(OFFSET($H$3,0,0,'Données projet'!$E$14+1,1))</f>
        <v>338.92444234934266</v>
      </c>
      <c r="DU137" s="60">
        <f t="shared" si="152"/>
        <v>208.91548891910895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4.5999999999999996</v>
      </c>
      <c r="EJ137" s="13">
        <f>IF('Données projet'!$A$192&gt;35,EJ136+EI137-ER136,IF(A137&lt;'Données projet'!$A$192,$EG$205^A137,IF(A137='Données projet'!$A$192,'Données projet'!$B$192,EJ136+EI137-ER136)))</f>
        <v>437.39999999999986</v>
      </c>
      <c r="EK137" s="18">
        <f>EJ137*VLOOKUP('Données projet'!$B$15,Paramètres!$A$1:$I$89,3,0)*VLOOKUP('Données projet'!$B$15,Paramètres!$A$1:$I$89,5,0)</f>
        <v>354.81887999999992</v>
      </c>
      <c r="EL137" s="14">
        <f t="shared" si="153"/>
        <v>82.553977614294865</v>
      </c>
      <c r="EM137" s="22">
        <f t="shared" si="127"/>
        <v>761.75772701156347</v>
      </c>
      <c r="EN137" s="60">
        <f t="shared" si="128"/>
        <v>1055.0910603448967</v>
      </c>
      <c r="EO137" s="60">
        <f ca="1">AVERAGE(OFFSET($EN$3,0,0,'Données projet'!$E$15+1,1))-AVERAGE(OFFSET($H$3,0,0,'Données projet'!$E$15+1,1))</f>
        <v>346.10839312896536</v>
      </c>
      <c r="EP137" s="60">
        <f t="shared" si="154"/>
        <v>196.24927250256087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5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8">
        <f t="shared" si="110"/>
        <v>557.59083445935073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344</v>
      </c>
      <c r="L138" s="13">
        <f>VLOOKUP(A138,'Données projet'!$A$35:$I$55,9,0)</f>
        <v>4</v>
      </c>
      <c r="M138" s="13">
        <f t="array" ref="M138">INDEX(L:L,MIN(IF(ISNUMBER(L138:L334),ROW(L138:L334),"")))</f>
        <v>4</v>
      </c>
      <c r="N138" s="14">
        <f>IF('Données projet'!$A$36&gt;35,N137+M138-V137,IF(A138&lt;'Données projet'!$A$36,$K$205^A138,IF(A138='Données projet'!$A$36,'Données projet'!$B$36,N137+M138-V137)))</f>
        <v>343.99999999999983</v>
      </c>
      <c r="O138" s="14">
        <f>N138*VLOOKUP('Données projet'!$B$9,Paramètres!$A$1:$I$89,3,0)*VLOOKUP('Données projet'!$B$9,Paramètres!$A$1:$I$89,5,0)</f>
        <v>311.25119999999987</v>
      </c>
      <c r="P138" s="14">
        <f t="shared" si="141"/>
        <v>73.530069242745043</v>
      </c>
      <c r="Q138" s="22">
        <f t="shared" si="108"/>
        <v>670.16071059778062</v>
      </c>
      <c r="R138" s="60">
        <f t="shared" si="109"/>
        <v>963.49404393111399</v>
      </c>
      <c r="S138" s="60">
        <f ca="1">AVERAGE(OFFSET($R$3,0,0,'Données projet'!$E$9+1,1))-AVERAGE(OFFSET($H$3,0,0,'Données projet'!$E$9+1,1))</f>
        <v>327.62615088747526</v>
      </c>
      <c r="T138" s="60">
        <f t="shared" si="142"/>
        <v>180.48047802041276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43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344</v>
      </c>
      <c r="AG138" s="13">
        <f>VLOOKUP(A138,'Données projet'!$A$61:$I$81,9,0)</f>
        <v>4</v>
      </c>
      <c r="AH138" s="13">
        <f t="array" ref="AH138">INDEX(AG:AG,MIN(IF(ISNUMBER(AG138:AG334),ROW(AG138:AG334),"")))</f>
        <v>4</v>
      </c>
      <c r="AI138" s="14">
        <f>IF('Données projet'!$A$62&gt;35,AI137+AH138-AQ137,IF(A138&lt;'Données projet'!$A$62,$AF$205^A138,IF(A138='Données projet'!$A$62,'Données projet'!$B$62,AI137+AH138-AQ137)))</f>
        <v>343.99999999999983</v>
      </c>
      <c r="AJ138" s="14">
        <f>AI138*VLOOKUP('Données projet'!$B$10,Paramètres!$A$1:$I$89,3,0)*VLOOKUP('Données projet'!$B$10,Paramètres!$A$1:$I$89,5,0)</f>
        <v>289.78559999999993</v>
      </c>
      <c r="AK138" s="14">
        <f t="shared" si="143"/>
        <v>69.030834896079284</v>
      </c>
      <c r="AL138" s="22">
        <f t="shared" si="112"/>
        <v>624.93862411067119</v>
      </c>
      <c r="AM138" s="60">
        <f t="shared" si="113"/>
        <v>918.27195744400456</v>
      </c>
      <c r="AN138" s="60">
        <f ca="1">AVERAGE(OFFSET($AM$3,0,0,'Données projet'!$E$10+1,1))-AVERAGE(OFFSET($H$3,0,0,'Données projet'!$E$10+1,1))</f>
        <v>295.5242128298583</v>
      </c>
      <c r="AO138" s="60">
        <f t="shared" si="144"/>
        <v>164.21740841327744</v>
      </c>
      <c r="AP138" s="16">
        <f>IF(ISNA(VLOOKUP(A138,'Données projet'!$A$61:$I$81,3,0)),0,VLOOKUP(A138,'Données projet'!$A$61:$I$81,3,0))</f>
        <v>12</v>
      </c>
      <c r="AQ138" s="16">
        <f>IF(ISNA(VLOOKUP(A138,'Données projet'!$A$61:$I$81,4,0)),0,VLOOKUP(A138,'Données projet'!$A$61:$I$81,4,0))</f>
        <v>43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5.4092197387944907E-14</v>
      </c>
      <c r="BF138" s="14">
        <f t="shared" si="145"/>
        <v>8.7287050538073676E-13</v>
      </c>
      <c r="BG138" s="22">
        <f t="shared" si="115"/>
        <v>1.6144600406554537E-12</v>
      </c>
      <c r="BH138" s="60">
        <f t="shared" si="116"/>
        <v>293.33333333333491</v>
      </c>
      <c r="BI138" s="60">
        <f ca="1">AVERAGE(OFFSET($BH$3,0,0,'Données projet'!$E$11+1,1))-AVERAGE(OFFSET($H$3,0,0,'Données projet'!$E$11+1,1))</f>
        <v>276.19649531804959</v>
      </c>
      <c r="BJ138" s="60">
        <f t="shared" si="146"/>
        <v>253.14970964973463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7.4487616075202823E-14</v>
      </c>
      <c r="CA138" s="14">
        <f t="shared" si="147"/>
        <v>1.1580453144473142E-12</v>
      </c>
      <c r="CB138" s="22">
        <f t="shared" si="118"/>
        <v>2.1466615206600508E-12</v>
      </c>
      <c r="CC138" s="60">
        <f t="shared" si="119"/>
        <v>293.33333333333547</v>
      </c>
      <c r="CD138" s="60">
        <f ca="1">AVERAGE(OFFSET($CC$3,0,0,'Données projet'!$E$12+1,1))-AVERAGE(OFFSET($H$3,0,0,'Données projet'!$E$12+1,1))</f>
        <v>154.88061446835457</v>
      </c>
      <c r="CE138" s="60">
        <f t="shared" si="148"/>
        <v>201.47826692201693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0.14853636340526746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0.14853636340526746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0" t="e">
        <f t="shared" si="122"/>
        <v>#NUM!</v>
      </c>
      <c r="CY138" s="60">
        <f ca="1">AVERAGE(OFFSET($CX$3,0,0,'Données projet'!$E$13+1,1))-AVERAGE(OFFSET($H$3,0,0,'Données projet'!$E$13+1,1))</f>
        <v>293.44206058086951</v>
      </c>
      <c r="CZ138" s="60">
        <f t="shared" si="150"/>
        <v>182.15909509186827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>
        <f>DO138*VLOOKUP('Données projet'!$B$14,Paramètres!$A$1:$I$89,3,0)*VLOOKUP('Données projet'!$B$14,Paramètres!$A$1:$I$89,5,0)</f>
        <v>0</v>
      </c>
      <c r="DQ138" s="14" t="e">
        <f t="shared" si="151"/>
        <v>#NUM!</v>
      </c>
      <c r="DR138" s="22" t="e">
        <f t="shared" si="124"/>
        <v>#NUM!</v>
      </c>
      <c r="DS138" s="60" t="e">
        <f t="shared" si="125"/>
        <v>#NUM!</v>
      </c>
      <c r="DT138" s="60">
        <f ca="1">AVERAGE(OFFSET($DS$3,0,0,'Données projet'!$E$14+1,1))-AVERAGE(OFFSET($H$3,0,0,'Données projet'!$E$14+1,1))</f>
        <v>338.92444234934266</v>
      </c>
      <c r="DU138" s="60">
        <f t="shared" si="152"/>
        <v>208.91548891910895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4.5999999999999996</v>
      </c>
      <c r="EJ138" s="13">
        <f>IF('Données projet'!$A$192&gt;35,EJ137+EI138-ER137,IF(A138&lt;'Données projet'!$A$192,$EG$205^A138,IF(A138='Données projet'!$A$192,'Données projet'!$B$192,EJ137+EI138-ER137)))</f>
        <v>441.99999999999989</v>
      </c>
      <c r="EK138" s="18">
        <f>EJ138*VLOOKUP('Données projet'!$B$15,Paramètres!$A$1:$I$89,3,0)*VLOOKUP('Données projet'!$B$15,Paramètres!$A$1:$I$89,5,0)</f>
        <v>358.55039999999991</v>
      </c>
      <c r="EL138" s="14">
        <f t="shared" si="153"/>
        <v>83.320646605466592</v>
      </c>
      <c r="EM138" s="22">
        <f t="shared" si="127"/>
        <v>769.59207283785418</v>
      </c>
      <c r="EN138" s="60">
        <f t="shared" si="128"/>
        <v>1062.9254061711874</v>
      </c>
      <c r="EO138" s="60">
        <f ca="1">AVERAGE(OFFSET($EN$3,0,0,'Données projet'!$E$15+1,1))-AVERAGE(OFFSET($H$3,0,0,'Données projet'!$E$15+1,1))</f>
        <v>346.10839312896536</v>
      </c>
      <c r="EP138" s="60">
        <f t="shared" si="154"/>
        <v>196.24927250256087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5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8">
        <f t="shared" si="110"/>
        <v>559.50056097055494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3.7</v>
      </c>
      <c r="N139" s="14">
        <f>IF('Données projet'!$A$36&gt;35,N138+M139-V138,IF(A139&lt;'Données projet'!$A$36,$K$205^A139,IF(A139='Données projet'!$A$36,'Données projet'!$B$36,N138+M139-V138)))</f>
        <v>304.69999999999982</v>
      </c>
      <c r="O139" s="14">
        <f>N139*VLOOKUP('Données projet'!$B$9,Paramètres!$A$1:$I$89,3,0)*VLOOKUP('Données projet'!$B$9,Paramètres!$A$1:$I$89,5,0)</f>
        <v>275.69255999999984</v>
      </c>
      <c r="P139" s="14">
        <f t="shared" si="141"/>
        <v>66.055903272516787</v>
      </c>
      <c r="Q139" s="22">
        <f t="shared" si="108"/>
        <v>595.21190686629973</v>
      </c>
      <c r="R139" s="60">
        <f t="shared" si="109"/>
        <v>888.5452401996331</v>
      </c>
      <c r="S139" s="60">
        <f ca="1">AVERAGE(OFFSET($R$3,0,0,'Données projet'!$E$9+1,1))-AVERAGE(OFFSET($H$3,0,0,'Données projet'!$E$9+1,1))</f>
        <v>327.62615088747526</v>
      </c>
      <c r="T139" s="60">
        <f t="shared" si="142"/>
        <v>180.48047802041276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3.7</v>
      </c>
      <c r="AI139" s="14">
        <f>IF('Données projet'!$A$62&gt;35,AI138+AH139-AQ138,IF(A139&lt;'Données projet'!$A$62,$AF$205^A139,IF(A139='Données projet'!$A$62,'Données projet'!$B$62,AI138+AH139-AQ138)))</f>
        <v>304.69999999999982</v>
      </c>
      <c r="AJ139" s="14">
        <f>AI139*VLOOKUP('Données projet'!$B$10,Paramètres!$A$1:$I$89,3,0)*VLOOKUP('Données projet'!$B$10,Paramètres!$A$1:$I$89,5,0)</f>
        <v>256.67927999999989</v>
      </c>
      <c r="AK139" s="14">
        <f t="shared" si="143"/>
        <v>62.014005966224417</v>
      </c>
      <c r="AL139" s="22">
        <f t="shared" si="112"/>
        <v>555.05747305784064</v>
      </c>
      <c r="AM139" s="60">
        <f t="shared" si="113"/>
        <v>848.39080639117401</v>
      </c>
      <c r="AN139" s="60">
        <f ca="1">AVERAGE(OFFSET($AM$3,0,0,'Données projet'!$E$10+1,1))-AVERAGE(OFFSET($H$3,0,0,'Données projet'!$E$10+1,1))</f>
        <v>295.5242128298583</v>
      </c>
      <c r="AO139" s="60">
        <f t="shared" si="144"/>
        <v>164.21740841327744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5.4092197387944907E-14</v>
      </c>
      <c r="BF139" s="14">
        <f t="shared" si="145"/>
        <v>8.7287050538073676E-13</v>
      </c>
      <c r="BG139" s="22">
        <f t="shared" si="115"/>
        <v>1.6144600406554537E-12</v>
      </c>
      <c r="BH139" s="60">
        <f t="shared" si="116"/>
        <v>293.33333333333491</v>
      </c>
      <c r="BI139" s="60">
        <f ca="1">AVERAGE(OFFSET($BH$3,0,0,'Données projet'!$E$11+1,1))-AVERAGE(OFFSET($H$3,0,0,'Données projet'!$E$11+1,1))</f>
        <v>276.19649531804959</v>
      </c>
      <c r="BJ139" s="60">
        <f t="shared" si="146"/>
        <v>253.14970964973463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7.4487616075202823E-14</v>
      </c>
      <c r="CA139" s="14">
        <f t="shared" si="147"/>
        <v>1.1580453144473142E-12</v>
      </c>
      <c r="CB139" s="22">
        <f t="shared" si="118"/>
        <v>2.1466615206600508E-12</v>
      </c>
      <c r="CC139" s="60">
        <f t="shared" si="119"/>
        <v>293.33333333333547</v>
      </c>
      <c r="CD139" s="60">
        <f ca="1">AVERAGE(OFFSET($CC$3,0,0,'Données projet'!$E$12+1,1))-AVERAGE(OFFSET($H$3,0,0,'Données projet'!$E$12+1,1))</f>
        <v>154.88061446835457</v>
      </c>
      <c r="CE139" s="60">
        <f t="shared" si="148"/>
        <v>201.47826692201693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0.14447462873676256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0.14447462873676256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0" t="e">
        <f t="shared" si="122"/>
        <v>#NUM!</v>
      </c>
      <c r="CY139" s="60">
        <f ca="1">AVERAGE(OFFSET($CX$3,0,0,'Données projet'!$E$13+1,1))-AVERAGE(OFFSET($H$3,0,0,'Données projet'!$E$13+1,1))</f>
        <v>293.44206058086951</v>
      </c>
      <c r="CZ139" s="60">
        <f t="shared" si="150"/>
        <v>182.15909509186827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>
        <f>DO139*VLOOKUP('Données projet'!$B$14,Paramètres!$A$1:$I$89,3,0)*VLOOKUP('Données projet'!$B$14,Paramètres!$A$1:$I$89,5,0)</f>
        <v>0</v>
      </c>
      <c r="DQ139" s="14" t="e">
        <f t="shared" si="151"/>
        <v>#NUM!</v>
      </c>
      <c r="DR139" s="22" t="e">
        <f t="shared" si="124"/>
        <v>#NUM!</v>
      </c>
      <c r="DS139" s="60" t="e">
        <f t="shared" si="125"/>
        <v>#NUM!</v>
      </c>
      <c r="DT139" s="60">
        <f ca="1">AVERAGE(OFFSET($DS$3,0,0,'Données projet'!$E$14+1,1))-AVERAGE(OFFSET($H$3,0,0,'Données projet'!$E$14+1,1))</f>
        <v>338.92444234934266</v>
      </c>
      <c r="DU139" s="60">
        <f t="shared" si="152"/>
        <v>208.91548891910895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4.5999999999999996</v>
      </c>
      <c r="EJ139" s="13">
        <f>IF('Données projet'!$A$192&gt;35,EJ138+EI139-ER138,IF(A139&lt;'Données projet'!$A$192,$EG$205^A139,IF(A139='Données projet'!$A$192,'Données projet'!$B$192,EJ138+EI139-ER138)))</f>
        <v>446.59999999999991</v>
      </c>
      <c r="EK139" s="18">
        <f>EJ139*VLOOKUP('Données projet'!$B$15,Paramètres!$A$1:$I$89,3,0)*VLOOKUP('Données projet'!$B$15,Paramètres!$A$1:$I$89,5,0)</f>
        <v>362.28191999999996</v>
      </c>
      <c r="EL139" s="14">
        <f t="shared" si="153"/>
        <v>84.086387396335397</v>
      </c>
      <c r="EM139" s="22">
        <f t="shared" si="127"/>
        <v>777.42480204861749</v>
      </c>
      <c r="EN139" s="60">
        <f t="shared" si="128"/>
        <v>1070.7581353819508</v>
      </c>
      <c r="EO139" s="60">
        <f ca="1">AVERAGE(OFFSET($EN$3,0,0,'Données projet'!$E$15+1,1))-AVERAGE(OFFSET($H$3,0,0,'Données projet'!$E$15+1,1))</f>
        <v>346.10839312896536</v>
      </c>
      <c r="EP139" s="60">
        <f t="shared" si="154"/>
        <v>196.24927250256087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5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8">
        <f t="shared" si="110"/>
        <v>561.40997860623452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3.7</v>
      </c>
      <c r="N140" s="14">
        <f>IF('Données projet'!$A$36&gt;35,N139+M140-V139,IF(A140&lt;'Données projet'!$A$36,$K$205^A140,IF(A140='Données projet'!$A$36,'Données projet'!$B$36,N139+M140-V139)))</f>
        <v>308.39999999999981</v>
      </c>
      <c r="O140" s="14">
        <f>N140*VLOOKUP('Données projet'!$B$9,Paramètres!$A$1:$I$89,3,0)*VLOOKUP('Données projet'!$B$9,Paramètres!$A$1:$I$89,5,0)</f>
        <v>279.04031999999984</v>
      </c>
      <c r="P140" s="14">
        <f t="shared" si="141"/>
        <v>66.764160402487647</v>
      </c>
      <c r="Q140" s="22">
        <f t="shared" si="108"/>
        <v>602.2761367009989</v>
      </c>
      <c r="R140" s="60">
        <f t="shared" si="109"/>
        <v>895.60947003433216</v>
      </c>
      <c r="S140" s="60">
        <f ca="1">AVERAGE(OFFSET($R$3,0,0,'Données projet'!$E$9+1,1))-AVERAGE(OFFSET($H$3,0,0,'Données projet'!$E$9+1,1))</f>
        <v>327.62615088747526</v>
      </c>
      <c r="T140" s="60">
        <f t="shared" si="142"/>
        <v>180.48047802041276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3.7</v>
      </c>
      <c r="AI140" s="14">
        <f>IF('Données projet'!$A$62&gt;35,AI139+AH140-AQ139,IF(A140&lt;'Données projet'!$A$62,$AF$205^A140,IF(A140='Données projet'!$A$62,'Données projet'!$B$62,AI139+AH140-AQ139)))</f>
        <v>308.39999999999981</v>
      </c>
      <c r="AJ140" s="14">
        <f>AI140*VLOOKUP('Données projet'!$B$10,Paramètres!$A$1:$I$89,3,0)*VLOOKUP('Données projet'!$B$10,Paramètres!$A$1:$I$89,5,0)</f>
        <v>259.79615999999987</v>
      </c>
      <c r="AK140" s="14">
        <f t="shared" si="143"/>
        <v>62.678925522353047</v>
      </c>
      <c r="AL140" s="22">
        <f t="shared" si="112"/>
        <v>561.64410728476457</v>
      </c>
      <c r="AM140" s="60">
        <f t="shared" si="113"/>
        <v>854.97744061809794</v>
      </c>
      <c r="AN140" s="60">
        <f ca="1">AVERAGE(OFFSET($AM$3,0,0,'Données projet'!$E$10+1,1))-AVERAGE(OFFSET($H$3,0,0,'Données projet'!$E$10+1,1))</f>
        <v>295.5242128298583</v>
      </c>
      <c r="AO140" s="60">
        <f t="shared" si="144"/>
        <v>164.21740841327744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5.4092197387944907E-14</v>
      </c>
      <c r="BF140" s="14">
        <f t="shared" si="145"/>
        <v>8.7287050538073676E-13</v>
      </c>
      <c r="BG140" s="22">
        <f t="shared" si="115"/>
        <v>1.6144600406554537E-12</v>
      </c>
      <c r="BH140" s="60">
        <f t="shared" si="116"/>
        <v>293.33333333333491</v>
      </c>
      <c r="BI140" s="60">
        <f ca="1">AVERAGE(OFFSET($BH$3,0,0,'Données projet'!$E$11+1,1))-AVERAGE(OFFSET($H$3,0,0,'Données projet'!$E$11+1,1))</f>
        <v>276.19649531804959</v>
      </c>
      <c r="BJ140" s="60">
        <f t="shared" si="146"/>
        <v>253.14970964973463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7.4487616075202823E-14</v>
      </c>
      <c r="CA140" s="14">
        <f t="shared" si="147"/>
        <v>1.1580453144473142E-12</v>
      </c>
      <c r="CB140" s="22">
        <f t="shared" si="118"/>
        <v>2.1466615206600508E-12</v>
      </c>
      <c r="CC140" s="60">
        <f t="shared" si="119"/>
        <v>293.33333333333547</v>
      </c>
      <c r="CD140" s="60">
        <f ca="1">AVERAGE(OFFSET($CC$3,0,0,'Données projet'!$E$12+1,1))-AVERAGE(OFFSET($H$3,0,0,'Données projet'!$E$12+1,1))</f>
        <v>154.88061446835457</v>
      </c>
      <c r="CE140" s="60">
        <f t="shared" si="148"/>
        <v>201.47826692201693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0.14052396241636528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0.14052396241636528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0" t="e">
        <f t="shared" si="122"/>
        <v>#NUM!</v>
      </c>
      <c r="CY140" s="60">
        <f ca="1">AVERAGE(OFFSET($CX$3,0,0,'Données projet'!$E$13+1,1))-AVERAGE(OFFSET($H$3,0,0,'Données projet'!$E$13+1,1))</f>
        <v>293.44206058086951</v>
      </c>
      <c r="CZ140" s="60">
        <f t="shared" si="150"/>
        <v>182.15909509186827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>
        <f>DO140*VLOOKUP('Données projet'!$B$14,Paramètres!$A$1:$I$89,3,0)*VLOOKUP('Données projet'!$B$14,Paramètres!$A$1:$I$89,5,0)</f>
        <v>0</v>
      </c>
      <c r="DQ140" s="14" t="e">
        <f t="shared" si="151"/>
        <v>#NUM!</v>
      </c>
      <c r="DR140" s="22" t="e">
        <f t="shared" si="124"/>
        <v>#NUM!</v>
      </c>
      <c r="DS140" s="60" t="e">
        <f t="shared" si="125"/>
        <v>#NUM!</v>
      </c>
      <c r="DT140" s="60">
        <f ca="1">AVERAGE(OFFSET($DS$3,0,0,'Données projet'!$E$14+1,1))-AVERAGE(OFFSET($H$3,0,0,'Données projet'!$E$14+1,1))</f>
        <v>338.92444234934266</v>
      </c>
      <c r="DU140" s="60">
        <f t="shared" si="152"/>
        <v>208.91548891910895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4.5999999999999996</v>
      </c>
      <c r="EJ140" s="13">
        <f>IF('Données projet'!$A$192&gt;35,EJ139+EI140-ER139,IF(A140&lt;'Données projet'!$A$192,$EG$205^A140,IF(A140='Données projet'!$A$192,'Données projet'!$B$192,EJ139+EI140-ER139)))</f>
        <v>451.19999999999993</v>
      </c>
      <c r="EK140" s="18">
        <f>EJ140*VLOOKUP('Données projet'!$B$15,Paramètres!$A$1:$I$89,3,0)*VLOOKUP('Données projet'!$B$15,Paramètres!$A$1:$I$89,5,0)</f>
        <v>366.01343999999995</v>
      </c>
      <c r="EL140" s="14">
        <f t="shared" si="153"/>
        <v>84.85121065423202</v>
      </c>
      <c r="EM140" s="22">
        <f t="shared" si="127"/>
        <v>785.25593322278735</v>
      </c>
      <c r="EN140" s="60">
        <f t="shared" si="128"/>
        <v>1078.5892665561207</v>
      </c>
      <c r="EO140" s="60">
        <f ca="1">AVERAGE(OFFSET($EN$3,0,0,'Données projet'!$E$15+1,1))-AVERAGE(OFFSET($H$3,0,0,'Données projet'!$E$15+1,1))</f>
        <v>346.10839312896536</v>
      </c>
      <c r="EP140" s="60">
        <f t="shared" si="154"/>
        <v>196.24927250256087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5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8">
        <f t="shared" si="110"/>
        <v>563.31908988236285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3.7</v>
      </c>
      <c r="N141" s="14">
        <f>IF('Données projet'!$A$36&gt;35,N140+M141-V140,IF(A141&lt;'Données projet'!$A$36,$K$205^A141,IF(A141='Données projet'!$A$36,'Données projet'!$B$36,N140+M141-V140)))</f>
        <v>312.0999999999998</v>
      </c>
      <c r="O141" s="14">
        <f>N141*VLOOKUP('Données projet'!$B$9,Paramètres!$A$1:$I$89,3,0)*VLOOKUP('Données projet'!$B$9,Paramètres!$A$1:$I$89,5,0)</f>
        <v>282.38807999999977</v>
      </c>
      <c r="P141" s="14">
        <f t="shared" si="141"/>
        <v>67.471429117981913</v>
      </c>
      <c r="Q141" s="22">
        <f t="shared" si="108"/>
        <v>609.33864504715143</v>
      </c>
      <c r="R141" s="60">
        <f t="shared" si="109"/>
        <v>902.67197838048469</v>
      </c>
      <c r="S141" s="60">
        <f ca="1">AVERAGE(OFFSET($R$3,0,0,'Données projet'!$E$9+1,1))-AVERAGE(OFFSET($H$3,0,0,'Données projet'!$E$9+1,1))</f>
        <v>327.62615088747526</v>
      </c>
      <c r="T141" s="60">
        <f t="shared" si="142"/>
        <v>180.48047802041276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3.7</v>
      </c>
      <c r="AI141" s="14">
        <f>IF('Données projet'!$A$62&gt;35,AI140+AH141-AQ140,IF(A141&lt;'Données projet'!$A$62,$AF$205^A141,IF(A141='Données projet'!$A$62,'Données projet'!$B$62,AI140+AH141-AQ140)))</f>
        <v>312.0999999999998</v>
      </c>
      <c r="AJ141" s="14">
        <f>AI141*VLOOKUP('Données projet'!$B$10,Paramètres!$A$1:$I$89,3,0)*VLOOKUP('Données projet'!$B$10,Paramètres!$A$1:$I$89,5,0)</f>
        <v>262.91303999999985</v>
      </c>
      <c r="AK141" s="14">
        <f t="shared" si="143"/>
        <v>63.342917144137949</v>
      </c>
      <c r="AL141" s="22">
        <f t="shared" si="112"/>
        <v>568.22912535937337</v>
      </c>
      <c r="AM141" s="60">
        <f t="shared" si="113"/>
        <v>861.56245869270674</v>
      </c>
      <c r="AN141" s="60">
        <f ca="1">AVERAGE(OFFSET($AM$3,0,0,'Données projet'!$E$10+1,1))-AVERAGE(OFFSET($H$3,0,0,'Données projet'!$E$10+1,1))</f>
        <v>295.5242128298583</v>
      </c>
      <c r="AO141" s="60">
        <f t="shared" si="144"/>
        <v>164.21740841327744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5.4092197387944907E-14</v>
      </c>
      <c r="BF141" s="14">
        <f t="shared" si="145"/>
        <v>8.7287050538073676E-13</v>
      </c>
      <c r="BG141" s="22">
        <f t="shared" si="115"/>
        <v>1.6144600406554537E-12</v>
      </c>
      <c r="BH141" s="60">
        <f t="shared" si="116"/>
        <v>293.33333333333491</v>
      </c>
      <c r="BI141" s="60">
        <f ca="1">AVERAGE(OFFSET($BH$3,0,0,'Données projet'!$E$11+1,1))-AVERAGE(OFFSET($H$3,0,0,'Données projet'!$E$11+1,1))</f>
        <v>276.19649531804959</v>
      </c>
      <c r="BJ141" s="60">
        <f t="shared" si="146"/>
        <v>253.14970964973463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7.4487616075202823E-14</v>
      </c>
      <c r="CA141" s="14">
        <f t="shared" si="147"/>
        <v>1.1580453144473142E-12</v>
      </c>
      <c r="CB141" s="22">
        <f t="shared" si="118"/>
        <v>2.1466615206600508E-12</v>
      </c>
      <c r="CC141" s="60">
        <f t="shared" si="119"/>
        <v>293.33333333333547</v>
      </c>
      <c r="CD141" s="60">
        <f ca="1">AVERAGE(OFFSET($CC$3,0,0,'Données projet'!$E$12+1,1))-AVERAGE(OFFSET($H$3,0,0,'Données projet'!$E$12+1,1))</f>
        <v>154.88061446835457</v>
      </c>
      <c r="CE141" s="60">
        <f t="shared" si="148"/>
        <v>201.47826692201693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0.13668132727425575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0.13668132727425575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0" t="e">
        <f t="shared" si="122"/>
        <v>#NUM!</v>
      </c>
      <c r="CY141" s="60">
        <f ca="1">AVERAGE(OFFSET($CX$3,0,0,'Données projet'!$E$13+1,1))-AVERAGE(OFFSET($H$3,0,0,'Données projet'!$E$13+1,1))</f>
        <v>293.44206058086951</v>
      </c>
      <c r="CZ141" s="60">
        <f t="shared" si="150"/>
        <v>182.15909509186827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>
        <f>DO141*VLOOKUP('Données projet'!$B$14,Paramètres!$A$1:$I$89,3,0)*VLOOKUP('Données projet'!$B$14,Paramètres!$A$1:$I$89,5,0)</f>
        <v>0</v>
      </c>
      <c r="DQ141" s="14" t="e">
        <f t="shared" si="151"/>
        <v>#NUM!</v>
      </c>
      <c r="DR141" s="22" t="e">
        <f t="shared" si="124"/>
        <v>#NUM!</v>
      </c>
      <c r="DS141" s="60" t="e">
        <f t="shared" si="125"/>
        <v>#NUM!</v>
      </c>
      <c r="DT141" s="60">
        <f ca="1">AVERAGE(OFFSET($DS$3,0,0,'Données projet'!$E$14+1,1))-AVERAGE(OFFSET($H$3,0,0,'Données projet'!$E$14+1,1))</f>
        <v>338.92444234934266</v>
      </c>
      <c r="DU141" s="60">
        <f t="shared" si="152"/>
        <v>208.91548891910895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4.5999999999999996</v>
      </c>
      <c r="EJ141" s="13">
        <f>IF('Données projet'!$A$192&gt;35,EJ140+EI141-ER140,IF(A141&lt;'Données projet'!$A$192,$EG$205^A141,IF(A141='Données projet'!$A$192,'Données projet'!$B$192,EJ140+EI141-ER140)))</f>
        <v>455.79999999999995</v>
      </c>
      <c r="EK141" s="18">
        <f>EJ141*VLOOKUP('Données projet'!$B$15,Paramètres!$A$1:$I$89,3,0)*VLOOKUP('Données projet'!$B$15,Paramètres!$A$1:$I$89,5,0)</f>
        <v>369.74495999999999</v>
      </c>
      <c r="EL141" s="14">
        <f t="shared" si="153"/>
        <v>85.615126816445027</v>
      </c>
      <c r="EM141" s="22">
        <f t="shared" si="127"/>
        <v>793.08548453864171</v>
      </c>
      <c r="EN141" s="60">
        <f t="shared" si="128"/>
        <v>1086.4188178719751</v>
      </c>
      <c r="EO141" s="60">
        <f ca="1">AVERAGE(OFFSET($EN$3,0,0,'Données projet'!$E$15+1,1))-AVERAGE(OFFSET($H$3,0,0,'Données projet'!$E$15+1,1))</f>
        <v>346.10839312896536</v>
      </c>
      <c r="EP141" s="60">
        <f t="shared" si="154"/>
        <v>196.24927250256087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5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8">
        <f t="shared" si="110"/>
        <v>565.22789727634256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3.7</v>
      </c>
      <c r="N142" s="14">
        <f>IF('Données projet'!$A$36&gt;35,N141+M142-V141,IF(A142&lt;'Données projet'!$A$36,$K$205^A142,IF(A142='Données projet'!$A$36,'Données projet'!$B$36,N141+M142-V141)))</f>
        <v>315.79999999999978</v>
      </c>
      <c r="O142" s="14">
        <f>N142*VLOOKUP('Données projet'!$B$9,Paramètres!$A$1:$I$89,3,0)*VLOOKUP('Données projet'!$B$9,Paramètres!$A$1:$I$89,5,0)</f>
        <v>285.73583999999983</v>
      </c>
      <c r="P142" s="14">
        <f t="shared" si="141"/>
        <v>68.177722492374656</v>
      </c>
      <c r="Q142" s="22">
        <f t="shared" si="108"/>
        <v>616.39945467421887</v>
      </c>
      <c r="R142" s="60">
        <f t="shared" si="109"/>
        <v>909.73278800755224</v>
      </c>
      <c r="S142" s="60">
        <f ca="1">AVERAGE(OFFSET($R$3,0,0,'Données projet'!$E$9+1,1))-AVERAGE(OFFSET($H$3,0,0,'Données projet'!$E$9+1,1))</f>
        <v>327.62615088747526</v>
      </c>
      <c r="T142" s="60">
        <f t="shared" si="142"/>
        <v>180.48047802041276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3.7</v>
      </c>
      <c r="AI142" s="14">
        <f>IF('Données projet'!$A$62&gt;35,AI141+AH142-AQ141,IF(A142&lt;'Données projet'!$A$62,$AF$205^A142,IF(A142='Données projet'!$A$62,'Données projet'!$B$62,AI141+AH142-AQ141)))</f>
        <v>315.79999999999978</v>
      </c>
      <c r="AJ142" s="14">
        <f>AI142*VLOOKUP('Données projet'!$B$10,Paramètres!$A$1:$I$89,3,0)*VLOOKUP('Données projet'!$B$10,Paramètres!$A$1:$I$89,5,0)</f>
        <v>266.02991999999983</v>
      </c>
      <c r="AK142" s="14">
        <f t="shared" si="143"/>
        <v>64.005993105006922</v>
      </c>
      <c r="AL142" s="22">
        <f t="shared" si="112"/>
        <v>574.81254865788685</v>
      </c>
      <c r="AM142" s="60">
        <f t="shared" si="113"/>
        <v>868.14588199122022</v>
      </c>
      <c r="AN142" s="60">
        <f ca="1">AVERAGE(OFFSET($AM$3,0,0,'Données projet'!$E$10+1,1))-AVERAGE(OFFSET($H$3,0,0,'Données projet'!$E$10+1,1))</f>
        <v>295.5242128298583</v>
      </c>
      <c r="AO142" s="60">
        <f t="shared" si="144"/>
        <v>164.21740841327744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5.4092197387944907E-14</v>
      </c>
      <c r="BF142" s="14">
        <f t="shared" si="145"/>
        <v>8.7287050538073676E-13</v>
      </c>
      <c r="BG142" s="22">
        <f t="shared" si="115"/>
        <v>1.6144600406554537E-12</v>
      </c>
      <c r="BH142" s="60">
        <f t="shared" si="116"/>
        <v>293.33333333333491</v>
      </c>
      <c r="BI142" s="60">
        <f ca="1">AVERAGE(OFFSET($BH$3,0,0,'Données projet'!$E$11+1,1))-AVERAGE(OFFSET($H$3,0,0,'Données projet'!$E$11+1,1))</f>
        <v>276.19649531804959</v>
      </c>
      <c r="BJ142" s="60">
        <f t="shared" si="146"/>
        <v>253.14970964973463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7.4487616075202823E-14</v>
      </c>
      <c r="CA142" s="14">
        <f t="shared" si="147"/>
        <v>1.1580453144473142E-12</v>
      </c>
      <c r="CB142" s="22">
        <f t="shared" si="118"/>
        <v>2.1466615206600508E-12</v>
      </c>
      <c r="CC142" s="60">
        <f t="shared" si="119"/>
        <v>293.33333333333547</v>
      </c>
      <c r="CD142" s="60">
        <f ca="1">AVERAGE(OFFSET($CC$3,0,0,'Données projet'!$E$12+1,1))-AVERAGE(OFFSET($H$3,0,0,'Données projet'!$E$12+1,1))</f>
        <v>154.88061446835457</v>
      </c>
      <c r="CE142" s="60">
        <f t="shared" si="148"/>
        <v>201.47826692201693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0.13294376919218262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0.13294376919218262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0" t="e">
        <f t="shared" si="122"/>
        <v>#NUM!</v>
      </c>
      <c r="CY142" s="60">
        <f ca="1">AVERAGE(OFFSET($CX$3,0,0,'Données projet'!$E$13+1,1))-AVERAGE(OFFSET($H$3,0,0,'Données projet'!$E$13+1,1))</f>
        <v>293.44206058086951</v>
      </c>
      <c r="CZ142" s="60">
        <f t="shared" si="150"/>
        <v>182.15909509186827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>
        <f>DO142*VLOOKUP('Données projet'!$B$14,Paramètres!$A$1:$I$89,3,0)*VLOOKUP('Données projet'!$B$14,Paramètres!$A$1:$I$89,5,0)</f>
        <v>0</v>
      </c>
      <c r="DQ142" s="14" t="e">
        <f t="shared" si="151"/>
        <v>#NUM!</v>
      </c>
      <c r="DR142" s="22" t="e">
        <f t="shared" si="124"/>
        <v>#NUM!</v>
      </c>
      <c r="DS142" s="60" t="e">
        <f t="shared" si="125"/>
        <v>#NUM!</v>
      </c>
      <c r="DT142" s="60">
        <f ca="1">AVERAGE(OFFSET($DS$3,0,0,'Données projet'!$E$14+1,1))-AVERAGE(OFFSET($H$3,0,0,'Données projet'!$E$14+1,1))</f>
        <v>338.92444234934266</v>
      </c>
      <c r="DU142" s="60">
        <f t="shared" si="152"/>
        <v>208.91548891910895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4.5999999999999996</v>
      </c>
      <c r="EJ142" s="13">
        <f>IF('Données projet'!$A$192&gt;35,EJ141+EI142-ER141,IF(A142&lt;'Données projet'!$A$192,$EG$205^A142,IF(A142='Données projet'!$A$192,'Données projet'!$B$192,EJ141+EI142-ER141)))</f>
        <v>460.4</v>
      </c>
      <c r="EK142" s="18">
        <f>EJ142*VLOOKUP('Données projet'!$B$15,Paramètres!$A$1:$I$89,3,0)*VLOOKUP('Données projet'!$B$15,Paramètres!$A$1:$I$89,5,0)</f>
        <v>373.47647999999998</v>
      </c>
      <c r="EL142" s="14">
        <f t="shared" si="153"/>
        <v>86.378146097452898</v>
      </c>
      <c r="EM142" s="22">
        <f t="shared" si="127"/>
        <v>800.91347378639693</v>
      </c>
      <c r="EN142" s="60">
        <f t="shared" si="128"/>
        <v>1094.2468071197302</v>
      </c>
      <c r="EO142" s="60">
        <f ca="1">AVERAGE(OFFSET($EN$3,0,0,'Données projet'!$E$15+1,1))-AVERAGE(OFFSET($H$3,0,0,'Données projet'!$E$15+1,1))</f>
        <v>346.10839312896536</v>
      </c>
      <c r="EP142" s="60">
        <f t="shared" si="154"/>
        <v>196.24927250256087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5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8">
        <f t="shared" si="110"/>
        <v>567.13640322787103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3.7</v>
      </c>
      <c r="N143" s="14">
        <f>IF('Données projet'!$A$36&gt;35,N142+M143-V142,IF(A143&lt;'Données projet'!$A$36,$K$205^A143,IF(A143='Données projet'!$A$36,'Données projet'!$B$36,N142+M143-V142)))</f>
        <v>319.49999999999977</v>
      </c>
      <c r="O143" s="14">
        <f>N143*VLOOKUP('Données projet'!$B$9,Paramètres!$A$1:$I$89,3,0)*VLOOKUP('Données projet'!$B$9,Paramètres!$A$1:$I$89,5,0)</f>
        <v>289.08359999999982</v>
      </c>
      <c r="P143" s="14">
        <f t="shared" si="141"/>
        <v>68.883053275068107</v>
      </c>
      <c r="Q143" s="22">
        <f t="shared" si="108"/>
        <v>623.4585877874099</v>
      </c>
      <c r="R143" s="60">
        <f t="shared" si="109"/>
        <v>916.79192112074315</v>
      </c>
      <c r="S143" s="60">
        <f ca="1">AVERAGE(OFFSET($R$3,0,0,'Données projet'!$E$9+1,1))-AVERAGE(OFFSET($H$3,0,0,'Données projet'!$E$9+1,1))</f>
        <v>327.62615088747526</v>
      </c>
      <c r="T143" s="60">
        <f t="shared" si="142"/>
        <v>180.48047802041276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3.7</v>
      </c>
      <c r="AI143" s="14">
        <f>IF('Données projet'!$A$62&gt;35,AI142+AH143-AQ142,IF(A143&lt;'Données projet'!$A$62,$AF$205^A143,IF(A143='Données projet'!$A$62,'Données projet'!$B$62,AI142+AH143-AQ142)))</f>
        <v>319.49999999999977</v>
      </c>
      <c r="AJ143" s="14">
        <f>AI143*VLOOKUP('Données projet'!$B$10,Paramètres!$A$1:$I$89,3,0)*VLOOKUP('Données projet'!$B$10,Paramètres!$A$1:$I$89,5,0)</f>
        <v>269.14679999999981</v>
      </c>
      <c r="AK143" s="14">
        <f t="shared" si="143"/>
        <v>64.668165374238654</v>
      </c>
      <c r="AL143" s="22">
        <f t="shared" si="112"/>
        <v>581.39439802679851</v>
      </c>
      <c r="AM143" s="60">
        <f t="shared" si="113"/>
        <v>874.72773136013188</v>
      </c>
      <c r="AN143" s="60">
        <f ca="1">AVERAGE(OFFSET($AM$3,0,0,'Données projet'!$E$10+1,1))-AVERAGE(OFFSET($H$3,0,0,'Données projet'!$E$10+1,1))</f>
        <v>295.5242128298583</v>
      </c>
      <c r="AO143" s="60">
        <f t="shared" si="144"/>
        <v>164.21740841327744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5.4092197387944907E-14</v>
      </c>
      <c r="BF143" s="14">
        <f t="shared" si="145"/>
        <v>8.7287050538073676E-13</v>
      </c>
      <c r="BG143" s="22">
        <f t="shared" si="115"/>
        <v>1.6144600406554537E-12</v>
      </c>
      <c r="BH143" s="60">
        <f t="shared" si="116"/>
        <v>293.33333333333491</v>
      </c>
      <c r="BI143" s="60">
        <f ca="1">AVERAGE(OFFSET($BH$3,0,0,'Données projet'!$E$11+1,1))-AVERAGE(OFFSET($H$3,0,0,'Données projet'!$E$11+1,1))</f>
        <v>276.19649531804959</v>
      </c>
      <c r="BJ143" s="60">
        <f t="shared" si="146"/>
        <v>253.14970964973463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7.4487616075202823E-14</v>
      </c>
      <c r="CA143" s="14">
        <f t="shared" si="147"/>
        <v>1.1580453144473142E-12</v>
      </c>
      <c r="CB143" s="22">
        <f t="shared" si="118"/>
        <v>2.1466615206600508E-12</v>
      </c>
      <c r="CC143" s="60">
        <f t="shared" si="119"/>
        <v>293.33333333333547</v>
      </c>
      <c r="CD143" s="60">
        <f ca="1">AVERAGE(OFFSET($CC$3,0,0,'Données projet'!$E$12+1,1))-AVERAGE(OFFSET($H$3,0,0,'Données projet'!$E$12+1,1))</f>
        <v>154.88061446835457</v>
      </c>
      <c r="CE143" s="60">
        <f t="shared" si="148"/>
        <v>201.47826692201693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0.1293084148324134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0.1293084148324134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0" t="e">
        <f t="shared" si="122"/>
        <v>#NUM!</v>
      </c>
      <c r="CY143" s="60">
        <f ca="1">AVERAGE(OFFSET($CX$3,0,0,'Données projet'!$E$13+1,1))-AVERAGE(OFFSET($H$3,0,0,'Données projet'!$E$13+1,1))</f>
        <v>293.44206058086951</v>
      </c>
      <c r="CZ143" s="60">
        <f t="shared" si="150"/>
        <v>182.15909509186827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>
        <f>DO143*VLOOKUP('Données projet'!$B$14,Paramètres!$A$1:$I$89,3,0)*VLOOKUP('Données projet'!$B$14,Paramètres!$A$1:$I$89,5,0)</f>
        <v>0</v>
      </c>
      <c r="DQ143" s="14" t="e">
        <f t="shared" si="151"/>
        <v>#NUM!</v>
      </c>
      <c r="DR143" s="22" t="e">
        <f t="shared" si="124"/>
        <v>#NUM!</v>
      </c>
      <c r="DS143" s="60" t="e">
        <f t="shared" si="125"/>
        <v>#NUM!</v>
      </c>
      <c r="DT143" s="60">
        <f ca="1">AVERAGE(OFFSET($DS$3,0,0,'Données projet'!$E$14+1,1))-AVERAGE(OFFSET($H$3,0,0,'Données projet'!$E$14+1,1))</f>
        <v>338.92444234934266</v>
      </c>
      <c r="DU143" s="60">
        <f t="shared" si="152"/>
        <v>208.91548891910895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>
        <f>VLOOKUP(A143,'Données projet'!$A$191:$I$211,2,0)</f>
        <v>465</v>
      </c>
      <c r="EH143" s="13">
        <f>VLOOKUP(A143,'Données projet'!$A$191:$I$211,9,0)</f>
        <v>4.5999999999999996</v>
      </c>
      <c r="EI143" s="13">
        <f t="array" ref="EI143">INDEX(EH:EH,MIN(IF(ISNUMBER(EH143:EH339),ROW(EH143:EH339),"")))</f>
        <v>4.5999999999999996</v>
      </c>
      <c r="EJ143" s="13">
        <f>IF('Données projet'!$A$192&gt;35,EJ142+EI143-ER142,IF(A143&lt;'Données projet'!$A$192,$EG$205^A143,IF(A143='Données projet'!$A$192,'Données projet'!$B$192,EJ142+EI143-ER142)))</f>
        <v>465</v>
      </c>
      <c r="EK143" s="18">
        <f>EJ143*VLOOKUP('Données projet'!$B$15,Paramètres!$A$1:$I$89,3,0)*VLOOKUP('Données projet'!$B$15,Paramètres!$A$1:$I$89,5,0)</f>
        <v>377.20800000000003</v>
      </c>
      <c r="EL143" s="14">
        <f t="shared" si="153"/>
        <v>87.140278495857203</v>
      </c>
      <c r="EM143" s="22">
        <f t="shared" si="127"/>
        <v>808.73991838028462</v>
      </c>
      <c r="EN143" s="60">
        <f t="shared" si="128"/>
        <v>1102.073251713618</v>
      </c>
      <c r="EO143" s="60">
        <f ca="1">AVERAGE(OFFSET($EN$3,0,0,'Données projet'!$E$15+1,1))-AVERAGE(OFFSET($H$3,0,0,'Données projet'!$E$15+1,1))</f>
        <v>346.10839312896536</v>
      </c>
      <c r="EP143" s="60">
        <f t="shared" si="154"/>
        <v>196.24927250256087</v>
      </c>
      <c r="EQ143" s="16">
        <f>IF(ISNA(VLOOKUP(A143,'Données projet'!$A$191:$I$211,3,0)),0,VLOOKUP(A143,'Données projet'!$A$191:$I$211,3,0))</f>
        <v>12</v>
      </c>
      <c r="ER143" s="16">
        <f>IF(ISNA(VLOOKUP(A143,'Données projet'!$A$191:$I$211,4,0)),0,VLOOKUP(A143,'Données projet'!$A$191:$I$211,4,0))</f>
        <v>39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5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8">
        <f t="shared" si="110"/>
        <v>569.04461013977823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3.7</v>
      </c>
      <c r="N144" s="14">
        <f>IF('Données projet'!$A$36&gt;35,N143+M144-V143,IF(A144&lt;'Données projet'!$A$36,$K$205^A144,IF(A144='Données projet'!$A$36,'Données projet'!$B$36,N143+M144-V143)))</f>
        <v>323.19999999999976</v>
      </c>
      <c r="O144" s="14">
        <f>N144*VLOOKUP('Données projet'!$B$9,Paramètres!$A$1:$I$89,3,0)*VLOOKUP('Données projet'!$B$9,Paramètres!$A$1:$I$89,5,0)</f>
        <v>292.43135999999976</v>
      </c>
      <c r="P144" s="14">
        <f t="shared" si="141"/>
        <v>69.58743390317693</v>
      </c>
      <c r="Q144" s="22">
        <f t="shared" si="108"/>
        <v>630.51606604803271</v>
      </c>
      <c r="R144" s="60">
        <f t="shared" si="109"/>
        <v>923.84939938136608</v>
      </c>
      <c r="S144" s="60">
        <f ca="1">AVERAGE(OFFSET($R$3,0,0,'Données projet'!$E$9+1,1))-AVERAGE(OFFSET($H$3,0,0,'Données projet'!$E$9+1,1))</f>
        <v>327.62615088747526</v>
      </c>
      <c r="T144" s="60">
        <f t="shared" si="142"/>
        <v>180.48047802041276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3.7</v>
      </c>
      <c r="AI144" s="14">
        <f>IF('Données projet'!$A$62&gt;35,AI143+AH144-AQ143,IF(A144&lt;'Données projet'!$A$62,$AF$205^A144,IF(A144='Données projet'!$A$62,'Données projet'!$B$62,AI143+AH144-AQ143)))</f>
        <v>323.19999999999976</v>
      </c>
      <c r="AJ144" s="14">
        <f>AI144*VLOOKUP('Données projet'!$B$10,Paramètres!$A$1:$I$89,3,0)*VLOOKUP('Données projet'!$B$10,Paramètres!$A$1:$I$89,5,0)</f>
        <v>272.26367999999979</v>
      </c>
      <c r="AK144" s="14">
        <f t="shared" si="143"/>
        <v>65.329445627932614</v>
      </c>
      <c r="AL144" s="22">
        <f t="shared" si="112"/>
        <v>587.9746938019822</v>
      </c>
      <c r="AM144" s="60">
        <f t="shared" si="113"/>
        <v>881.30802713531557</v>
      </c>
      <c r="AN144" s="60">
        <f ca="1">AVERAGE(OFFSET($AM$3,0,0,'Données projet'!$E$10+1,1))-AVERAGE(OFFSET($H$3,0,0,'Données projet'!$E$10+1,1))</f>
        <v>295.5242128298583</v>
      </c>
      <c r="AO144" s="60">
        <f t="shared" si="144"/>
        <v>164.21740841327744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5.4092197387944907E-14</v>
      </c>
      <c r="BF144" s="14">
        <f t="shared" si="145"/>
        <v>8.7287050538073676E-13</v>
      </c>
      <c r="BG144" s="22">
        <f t="shared" si="115"/>
        <v>1.6144600406554537E-12</v>
      </c>
      <c r="BH144" s="60">
        <f t="shared" si="116"/>
        <v>293.33333333333491</v>
      </c>
      <c r="BI144" s="60">
        <f ca="1">AVERAGE(OFFSET($BH$3,0,0,'Données projet'!$E$11+1,1))-AVERAGE(OFFSET($H$3,0,0,'Données projet'!$E$11+1,1))</f>
        <v>276.19649531804959</v>
      </c>
      <c r="BJ144" s="60">
        <f t="shared" si="146"/>
        <v>253.14970964973463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7.4487616075202823E-14</v>
      </c>
      <c r="CA144" s="14">
        <f t="shared" si="147"/>
        <v>1.1580453144473142E-12</v>
      </c>
      <c r="CB144" s="22">
        <f t="shared" si="118"/>
        <v>2.1466615206600508E-12</v>
      </c>
      <c r="CC144" s="60">
        <f t="shared" si="119"/>
        <v>293.33333333333547</v>
      </c>
      <c r="CD144" s="60">
        <f ca="1">AVERAGE(OFFSET($CC$3,0,0,'Données projet'!$E$12+1,1))-AVERAGE(OFFSET($H$3,0,0,'Données projet'!$E$12+1,1))</f>
        <v>154.88061446835457</v>
      </c>
      <c r="CE144" s="60">
        <f t="shared" si="148"/>
        <v>201.47826692201693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0.12577246942878706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0.12577246942878706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0" t="e">
        <f t="shared" si="122"/>
        <v>#NUM!</v>
      </c>
      <c r="CY144" s="60">
        <f ca="1">AVERAGE(OFFSET($CX$3,0,0,'Données projet'!$E$13+1,1))-AVERAGE(OFFSET($H$3,0,0,'Données projet'!$E$13+1,1))</f>
        <v>293.44206058086951</v>
      </c>
      <c r="CZ144" s="60">
        <f t="shared" si="150"/>
        <v>182.15909509186827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>
        <f>DO144*VLOOKUP('Données projet'!$B$14,Paramètres!$A$1:$I$89,3,0)*VLOOKUP('Données projet'!$B$14,Paramètres!$A$1:$I$89,5,0)</f>
        <v>0</v>
      </c>
      <c r="DQ144" s="14" t="e">
        <f t="shared" si="151"/>
        <v>#NUM!</v>
      </c>
      <c r="DR144" s="22" t="e">
        <f t="shared" si="124"/>
        <v>#NUM!</v>
      </c>
      <c r="DS144" s="60" t="e">
        <f t="shared" si="125"/>
        <v>#NUM!</v>
      </c>
      <c r="DT144" s="60">
        <f ca="1">AVERAGE(OFFSET($DS$3,0,0,'Données projet'!$E$14+1,1))-AVERAGE(OFFSET($H$3,0,0,'Données projet'!$E$14+1,1))</f>
        <v>338.92444234934266</v>
      </c>
      <c r="DU144" s="60">
        <f t="shared" si="152"/>
        <v>208.91548891910895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4.0999999999999996</v>
      </c>
      <c r="EJ144" s="13">
        <f>IF('Données projet'!$A$192&gt;35,EJ143+EI144-ER143,IF(A144&lt;'Données projet'!$A$192,$EG$205^A144,IF(A144='Données projet'!$A$192,'Données projet'!$B$192,EJ143+EI144-ER143)))</f>
        <v>430.1</v>
      </c>
      <c r="EK144" s="18">
        <f>EJ144*VLOOKUP('Données projet'!$B$15,Paramètres!$A$1:$I$89,3,0)*VLOOKUP('Données projet'!$B$15,Paramètres!$A$1:$I$89,5,0)</f>
        <v>348.89712000000003</v>
      </c>
      <c r="EL144" s="14">
        <f t="shared" si="153"/>
        <v>81.335375095586059</v>
      </c>
      <c r="EM144" s="22">
        <f t="shared" si="127"/>
        <v>749.3215956248124</v>
      </c>
      <c r="EN144" s="60">
        <f t="shared" si="128"/>
        <v>1042.6549289581458</v>
      </c>
      <c r="EO144" s="60">
        <f ca="1">AVERAGE(OFFSET($EN$3,0,0,'Données projet'!$E$15+1,1))-AVERAGE(OFFSET($H$3,0,0,'Données projet'!$E$15+1,1))</f>
        <v>346.10839312896536</v>
      </c>
      <c r="EP144" s="60">
        <f t="shared" si="154"/>
        <v>196.24927250256087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5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8">
        <f t="shared" si="110"/>
        <v>570.95252037884222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3.7</v>
      </c>
      <c r="N145" s="14">
        <f>IF('Données projet'!$A$36&gt;35,N144+M145-V144,IF(A145&lt;'Données projet'!$A$36,$K$205^A145,IF(A145='Données projet'!$A$36,'Données projet'!$B$36,N144+M145-V144)))</f>
        <v>326.89999999999975</v>
      </c>
      <c r="O145" s="14">
        <f>N145*VLOOKUP('Données projet'!$B$9,Paramètres!$A$1:$I$89,3,0)*VLOOKUP('Données projet'!$B$9,Paramètres!$A$1:$I$89,5,0)</f>
        <v>295.77911999999975</v>
      </c>
      <c r="P145" s="14">
        <f t="shared" si="141"/>
        <v>70.290876512663189</v>
      </c>
      <c r="Q145" s="22">
        <f t="shared" si="108"/>
        <v>637.571910592888</v>
      </c>
      <c r="R145" s="60">
        <f t="shared" si="109"/>
        <v>930.90524392622137</v>
      </c>
      <c r="S145" s="60">
        <f ca="1">AVERAGE(OFFSET($R$3,0,0,'Données projet'!$E$9+1,1))-AVERAGE(OFFSET($H$3,0,0,'Données projet'!$E$9+1,1))</f>
        <v>327.62615088747526</v>
      </c>
      <c r="T145" s="60">
        <f t="shared" si="142"/>
        <v>180.48047802041276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3.7</v>
      </c>
      <c r="AI145" s="14">
        <f>IF('Données projet'!$A$62&gt;35,AI144+AH145-AQ144,IF(A145&lt;'Données projet'!$A$62,$AF$205^A145,IF(A145='Données projet'!$A$62,'Données projet'!$B$62,AI144+AH145-AQ144)))</f>
        <v>326.89999999999975</v>
      </c>
      <c r="AJ145" s="14">
        <f>AI145*VLOOKUP('Données projet'!$B$10,Paramètres!$A$1:$I$89,3,0)*VLOOKUP('Données projet'!$B$10,Paramètres!$A$1:$I$89,5,0)</f>
        <v>275.38055999999983</v>
      </c>
      <c r="AK145" s="14">
        <f t="shared" si="143"/>
        <v>65.989845259463067</v>
      </c>
      <c r="AL145" s="22">
        <f t="shared" si="112"/>
        <v>594.5534558268979</v>
      </c>
      <c r="AM145" s="60">
        <f t="shared" si="113"/>
        <v>887.88678916023127</v>
      </c>
      <c r="AN145" s="60">
        <f ca="1">AVERAGE(OFFSET($AM$3,0,0,'Données projet'!$E$10+1,1))-AVERAGE(OFFSET($H$3,0,0,'Données projet'!$E$10+1,1))</f>
        <v>295.5242128298583</v>
      </c>
      <c r="AO145" s="60">
        <f t="shared" si="144"/>
        <v>164.21740841327744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5.4092197387944907E-14</v>
      </c>
      <c r="BF145" s="14">
        <f t="shared" si="145"/>
        <v>8.7287050538073676E-13</v>
      </c>
      <c r="BG145" s="22">
        <f t="shared" si="115"/>
        <v>1.6144600406554537E-12</v>
      </c>
      <c r="BH145" s="60">
        <f t="shared" si="116"/>
        <v>293.33333333333491</v>
      </c>
      <c r="BI145" s="60">
        <f ca="1">AVERAGE(OFFSET($BH$3,0,0,'Données projet'!$E$11+1,1))-AVERAGE(OFFSET($H$3,0,0,'Données projet'!$E$11+1,1))</f>
        <v>276.19649531804959</v>
      </c>
      <c r="BJ145" s="60">
        <f t="shared" si="146"/>
        <v>253.14970964973463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7.4487616075202823E-14</v>
      </c>
      <c r="CA145" s="14">
        <f t="shared" si="147"/>
        <v>1.1580453144473142E-12</v>
      </c>
      <c r="CB145" s="22">
        <f t="shared" si="118"/>
        <v>2.1466615206600508E-12</v>
      </c>
      <c r="CC145" s="60">
        <f t="shared" si="119"/>
        <v>293.33333333333547</v>
      </c>
      <c r="CD145" s="60">
        <f ca="1">AVERAGE(OFFSET($CC$3,0,0,'Données projet'!$E$12+1,1))-AVERAGE(OFFSET($H$3,0,0,'Données projet'!$E$12+1,1))</f>
        <v>154.88061446835457</v>
      </c>
      <c r="CE145" s="60">
        <f t="shared" si="148"/>
        <v>201.47826692201693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0.12233321463817017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0.12233321463817017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0" t="e">
        <f t="shared" si="122"/>
        <v>#NUM!</v>
      </c>
      <c r="CY145" s="60">
        <f ca="1">AVERAGE(OFFSET($CX$3,0,0,'Données projet'!$E$13+1,1))-AVERAGE(OFFSET($H$3,0,0,'Données projet'!$E$13+1,1))</f>
        <v>293.44206058086951</v>
      </c>
      <c r="CZ145" s="60">
        <f t="shared" si="150"/>
        <v>182.15909509186827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>
        <f>DO145*VLOOKUP('Données projet'!$B$14,Paramètres!$A$1:$I$89,3,0)*VLOOKUP('Données projet'!$B$14,Paramètres!$A$1:$I$89,5,0)</f>
        <v>0</v>
      </c>
      <c r="DQ145" s="14" t="e">
        <f t="shared" si="151"/>
        <v>#NUM!</v>
      </c>
      <c r="DR145" s="22" t="e">
        <f t="shared" si="124"/>
        <v>#NUM!</v>
      </c>
      <c r="DS145" s="60" t="e">
        <f t="shared" si="125"/>
        <v>#NUM!</v>
      </c>
      <c r="DT145" s="60">
        <f ca="1">AVERAGE(OFFSET($DS$3,0,0,'Données projet'!$E$14+1,1))-AVERAGE(OFFSET($H$3,0,0,'Données projet'!$E$14+1,1))</f>
        <v>338.92444234934266</v>
      </c>
      <c r="DU145" s="60">
        <f t="shared" si="152"/>
        <v>208.91548891910895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4.0999999999999996</v>
      </c>
      <c r="EJ145" s="13">
        <f>IF('Données projet'!$A$192&gt;35,EJ144+EI145-ER144,IF(A145&lt;'Données projet'!$A$192,$EG$205^A145,IF(A145='Données projet'!$A$192,'Données projet'!$B$192,EJ144+EI145-ER144)))</f>
        <v>434.20000000000005</v>
      </c>
      <c r="EK145" s="18">
        <f>EJ145*VLOOKUP('Données projet'!$B$15,Paramètres!$A$1:$I$89,3,0)*VLOOKUP('Données projet'!$B$15,Paramètres!$A$1:$I$89,5,0)</f>
        <v>352.22304000000003</v>
      </c>
      <c r="EL145" s="14">
        <f t="shared" si="153"/>
        <v>82.020089449408871</v>
      </c>
      <c r="EM145" s="22">
        <f t="shared" si="127"/>
        <v>756.30678379105393</v>
      </c>
      <c r="EN145" s="60">
        <f t="shared" si="128"/>
        <v>1049.6401171243872</v>
      </c>
      <c r="EO145" s="60">
        <f ca="1">AVERAGE(OFFSET($EN$3,0,0,'Données projet'!$E$15+1,1))-AVERAGE(OFFSET($H$3,0,0,'Données projet'!$E$15+1,1))</f>
        <v>346.10839312896536</v>
      </c>
      <c r="EP145" s="60">
        <f t="shared" si="154"/>
        <v>196.24927250256087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5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8">
        <f t="shared" si="110"/>
        <v>572.8601362765794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3.7</v>
      </c>
      <c r="N146" s="14">
        <f>IF('Données projet'!$A$36&gt;35,N145+M146-V145,IF(A146&lt;'Données projet'!$A$36,$K$205^A146,IF(A146='Données projet'!$A$36,'Données projet'!$B$36,N145+M146-V145)))</f>
        <v>330.59999999999974</v>
      </c>
      <c r="O146" s="14">
        <f>N146*VLOOKUP('Données projet'!$B$9,Paramètres!$A$1:$I$89,3,0)*VLOOKUP('Données projet'!$B$9,Paramètres!$A$1:$I$89,5,0)</f>
        <v>299.1268799999998</v>
      </c>
      <c r="P146" s="14">
        <f t="shared" si="141"/>
        <v>70.993392948952888</v>
      </c>
      <c r="Q146" s="22">
        <f t="shared" si="108"/>
        <v>644.62614205275918</v>
      </c>
      <c r="R146" s="60">
        <f t="shared" si="109"/>
        <v>937.95947538609244</v>
      </c>
      <c r="S146" s="60">
        <f ca="1">AVERAGE(OFFSET($R$3,0,0,'Données projet'!$E$9+1,1))-AVERAGE(OFFSET($H$3,0,0,'Données projet'!$E$9+1,1))</f>
        <v>327.62615088747526</v>
      </c>
      <c r="T146" s="60">
        <f t="shared" si="142"/>
        <v>180.48047802041276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3.7</v>
      </c>
      <c r="AI146" s="14">
        <f>IF('Données projet'!$A$62&gt;35,AI145+AH146-AQ145,IF(A146&lt;'Données projet'!$A$62,$AF$205^A146,IF(A146='Données projet'!$A$62,'Données projet'!$B$62,AI145+AH146-AQ145)))</f>
        <v>330.59999999999974</v>
      </c>
      <c r="AJ146" s="14">
        <f>AI146*VLOOKUP('Données projet'!$B$10,Paramètres!$A$1:$I$89,3,0)*VLOOKUP('Données projet'!$B$10,Paramètres!$A$1:$I$89,5,0)</f>
        <v>278.49743999999981</v>
      </c>
      <c r="AK146" s="14">
        <f t="shared" si="143"/>
        <v>66.649375389445595</v>
      </c>
      <c r="AL146" s="22">
        <f t="shared" si="112"/>
        <v>601.13070346995062</v>
      </c>
      <c r="AM146" s="60">
        <f t="shared" si="113"/>
        <v>894.46403680328399</v>
      </c>
      <c r="AN146" s="60">
        <f ca="1">AVERAGE(OFFSET($AM$3,0,0,'Données projet'!$E$10+1,1))-AVERAGE(OFFSET($H$3,0,0,'Données projet'!$E$10+1,1))</f>
        <v>295.5242128298583</v>
      </c>
      <c r="AO146" s="60">
        <f t="shared" si="144"/>
        <v>164.21740841327744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5.4092197387944907E-14</v>
      </c>
      <c r="BF146" s="14">
        <f t="shared" si="145"/>
        <v>8.7287050538073676E-13</v>
      </c>
      <c r="BG146" s="22">
        <f t="shared" si="115"/>
        <v>1.6144600406554537E-12</v>
      </c>
      <c r="BH146" s="60">
        <f t="shared" si="116"/>
        <v>293.33333333333491</v>
      </c>
      <c r="BI146" s="60">
        <f ca="1">AVERAGE(OFFSET($BH$3,0,0,'Données projet'!$E$11+1,1))-AVERAGE(OFFSET($H$3,0,0,'Données projet'!$E$11+1,1))</f>
        <v>276.19649531804959</v>
      </c>
      <c r="BJ146" s="60">
        <f t="shared" si="146"/>
        <v>253.14970964973463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7.4487616075202823E-14</v>
      </c>
      <c r="CA146" s="14">
        <f t="shared" si="147"/>
        <v>1.1580453144473142E-12</v>
      </c>
      <c r="CB146" s="22">
        <f t="shared" si="118"/>
        <v>2.1466615206600508E-12</v>
      </c>
      <c r="CC146" s="60">
        <f t="shared" si="119"/>
        <v>293.33333333333547</v>
      </c>
      <c r="CD146" s="60">
        <f ca="1">AVERAGE(OFFSET($CC$3,0,0,'Données projet'!$E$12+1,1))-AVERAGE(OFFSET($H$3,0,0,'Données projet'!$E$12+1,1))</f>
        <v>154.88061446835457</v>
      </c>
      <c r="CE146" s="60">
        <f t="shared" si="148"/>
        <v>201.47826692201693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0.11898800645066523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0.11898800645066523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0" t="e">
        <f t="shared" si="122"/>
        <v>#NUM!</v>
      </c>
      <c r="CY146" s="60">
        <f ca="1">AVERAGE(OFFSET($CX$3,0,0,'Données projet'!$E$13+1,1))-AVERAGE(OFFSET($H$3,0,0,'Données projet'!$E$13+1,1))</f>
        <v>293.44206058086951</v>
      </c>
      <c r="CZ146" s="60">
        <f t="shared" si="150"/>
        <v>182.15909509186827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>
        <f>DO146*VLOOKUP('Données projet'!$B$14,Paramètres!$A$1:$I$89,3,0)*VLOOKUP('Données projet'!$B$14,Paramètres!$A$1:$I$89,5,0)</f>
        <v>0</v>
      </c>
      <c r="DQ146" s="14" t="e">
        <f t="shared" si="151"/>
        <v>#NUM!</v>
      </c>
      <c r="DR146" s="22" t="e">
        <f t="shared" si="124"/>
        <v>#NUM!</v>
      </c>
      <c r="DS146" s="60" t="e">
        <f t="shared" si="125"/>
        <v>#NUM!</v>
      </c>
      <c r="DT146" s="60">
        <f ca="1">AVERAGE(OFFSET($DS$3,0,0,'Données projet'!$E$14+1,1))-AVERAGE(OFFSET($H$3,0,0,'Données projet'!$E$14+1,1))</f>
        <v>338.92444234934266</v>
      </c>
      <c r="DU146" s="60">
        <f t="shared" si="152"/>
        <v>208.91548891910895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4.0999999999999996</v>
      </c>
      <c r="EJ146" s="13">
        <f>IF('Données projet'!$A$192&gt;35,EJ145+EI146-ER145,IF(A146&lt;'Données projet'!$A$192,$EG$205^A146,IF(A146='Données projet'!$A$192,'Données projet'!$B$192,EJ145+EI146-ER145)))</f>
        <v>438.30000000000007</v>
      </c>
      <c r="EK146" s="18">
        <f>EJ146*VLOOKUP('Données projet'!$B$15,Paramètres!$A$1:$I$89,3,0)*VLOOKUP('Données projet'!$B$15,Paramètres!$A$1:$I$89,5,0)</f>
        <v>355.54896000000008</v>
      </c>
      <c r="EL146" s="14">
        <f t="shared" si="153"/>
        <v>82.704051618305385</v>
      </c>
      <c r="EM146" s="22">
        <f t="shared" si="127"/>
        <v>763.29066190188189</v>
      </c>
      <c r="EN146" s="60">
        <f t="shared" si="128"/>
        <v>1056.6239952352153</v>
      </c>
      <c r="EO146" s="60">
        <f ca="1">AVERAGE(OFFSET($EN$3,0,0,'Données projet'!$E$15+1,1))-AVERAGE(OFFSET($H$3,0,0,'Données projet'!$E$15+1,1))</f>
        <v>346.10839312896536</v>
      </c>
      <c r="EP146" s="60">
        <f t="shared" si="154"/>
        <v>196.24927250256087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5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8">
        <f t="shared" si="110"/>
        <v>574.76746013001298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3.7</v>
      </c>
      <c r="N147" s="14">
        <f>IF('Données projet'!$A$36&gt;35,N146+M147-V146,IF(A147&lt;'Données projet'!$A$36,$K$205^A147,IF(A147='Données projet'!$A$36,'Données projet'!$B$36,N146+M147-V146)))</f>
        <v>334.29999999999973</v>
      </c>
      <c r="O147" s="14">
        <f>N147*VLOOKUP('Données projet'!$B$9,Paramètres!$A$1:$I$89,3,0)*VLOOKUP('Données projet'!$B$9,Paramètres!$A$1:$I$89,5,0)</f>
        <v>302.47463999999974</v>
      </c>
      <c r="P147" s="14">
        <f t="shared" si="141"/>
        <v>71.694994777063087</v>
      </c>
      <c r="Q147" s="22">
        <f t="shared" si="108"/>
        <v>651.678780570051</v>
      </c>
      <c r="R147" s="60">
        <f t="shared" si="109"/>
        <v>945.01211390338426</v>
      </c>
      <c r="S147" s="60">
        <f ca="1">AVERAGE(OFFSET($R$3,0,0,'Données projet'!$E$9+1,1))-AVERAGE(OFFSET($H$3,0,0,'Données projet'!$E$9+1,1))</f>
        <v>327.62615088747526</v>
      </c>
      <c r="T147" s="60">
        <f t="shared" si="142"/>
        <v>180.48047802041276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3.7</v>
      </c>
      <c r="AI147" s="14">
        <f>IF('Données projet'!$A$62&gt;35,AI146+AH147-AQ146,IF(A147&lt;'Données projet'!$A$62,$AF$205^A147,IF(A147='Données projet'!$A$62,'Données projet'!$B$62,AI146+AH147-AQ146)))</f>
        <v>334.29999999999973</v>
      </c>
      <c r="AJ147" s="14">
        <f>AI147*VLOOKUP('Données projet'!$B$10,Paramètres!$A$1:$I$89,3,0)*VLOOKUP('Données projet'!$B$10,Paramètres!$A$1:$I$89,5,0)</f>
        <v>281.61431999999979</v>
      </c>
      <c r="AK147" s="14">
        <f t="shared" si="143"/>
        <v>67.308046875245211</v>
      </c>
      <c r="AL147" s="22">
        <f t="shared" si="112"/>
        <v>607.70645564105166</v>
      </c>
      <c r="AM147" s="60">
        <f t="shared" si="113"/>
        <v>901.03978897438492</v>
      </c>
      <c r="AN147" s="60">
        <f ca="1">AVERAGE(OFFSET($AM$3,0,0,'Données projet'!$E$10+1,1))-AVERAGE(OFFSET($H$3,0,0,'Données projet'!$E$10+1,1))</f>
        <v>295.5242128298583</v>
      </c>
      <c r="AO147" s="60">
        <f t="shared" si="144"/>
        <v>164.21740841327744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5.4092197387944907E-14</v>
      </c>
      <c r="BF147" s="14">
        <f t="shared" si="145"/>
        <v>8.7287050538073676E-13</v>
      </c>
      <c r="BG147" s="22">
        <f t="shared" si="115"/>
        <v>1.6144600406554537E-12</v>
      </c>
      <c r="BH147" s="60">
        <f t="shared" si="116"/>
        <v>293.33333333333491</v>
      </c>
      <c r="BI147" s="60">
        <f ca="1">AVERAGE(OFFSET($BH$3,0,0,'Données projet'!$E$11+1,1))-AVERAGE(OFFSET($H$3,0,0,'Données projet'!$E$11+1,1))</f>
        <v>276.19649531804959</v>
      </c>
      <c r="BJ147" s="60">
        <f t="shared" si="146"/>
        <v>253.14970964973463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7.4487616075202823E-14</v>
      </c>
      <c r="CA147" s="14">
        <f t="shared" si="147"/>
        <v>1.1580453144473142E-12</v>
      </c>
      <c r="CB147" s="22">
        <f t="shared" si="118"/>
        <v>2.1466615206600508E-12</v>
      </c>
      <c r="CC147" s="60">
        <f t="shared" si="119"/>
        <v>293.33333333333547</v>
      </c>
      <c r="CD147" s="60">
        <f ca="1">AVERAGE(OFFSET($CC$3,0,0,'Données projet'!$E$12+1,1))-AVERAGE(OFFSET($H$3,0,0,'Données projet'!$E$12+1,1))</f>
        <v>154.88061446835457</v>
      </c>
      <c r="CE147" s="60">
        <f t="shared" si="148"/>
        <v>201.47826692201693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0.11573427315696448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0.11573427315696448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0" t="e">
        <f t="shared" si="122"/>
        <v>#NUM!</v>
      </c>
      <c r="CY147" s="60">
        <f ca="1">AVERAGE(OFFSET($CX$3,0,0,'Données projet'!$E$13+1,1))-AVERAGE(OFFSET($H$3,0,0,'Données projet'!$E$13+1,1))</f>
        <v>293.44206058086951</v>
      </c>
      <c r="CZ147" s="60">
        <f t="shared" si="150"/>
        <v>182.15909509186827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>
        <f>DO147*VLOOKUP('Données projet'!$B$14,Paramètres!$A$1:$I$89,3,0)*VLOOKUP('Données projet'!$B$14,Paramètres!$A$1:$I$89,5,0)</f>
        <v>0</v>
      </c>
      <c r="DQ147" s="14" t="e">
        <f t="shared" si="151"/>
        <v>#NUM!</v>
      </c>
      <c r="DR147" s="22" t="e">
        <f t="shared" si="124"/>
        <v>#NUM!</v>
      </c>
      <c r="DS147" s="60" t="e">
        <f t="shared" si="125"/>
        <v>#NUM!</v>
      </c>
      <c r="DT147" s="60">
        <f ca="1">AVERAGE(OFFSET($DS$3,0,0,'Données projet'!$E$14+1,1))-AVERAGE(OFFSET($H$3,0,0,'Données projet'!$E$14+1,1))</f>
        <v>338.92444234934266</v>
      </c>
      <c r="DU147" s="60">
        <f t="shared" si="152"/>
        <v>208.91548891910895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4.0999999999999996</v>
      </c>
      <c r="EJ147" s="13">
        <f>IF('Données projet'!$A$192&gt;35,EJ146+EI147-ER146,IF(A147&lt;'Données projet'!$A$192,$EG$205^A147,IF(A147='Données projet'!$A$192,'Données projet'!$B$192,EJ146+EI147-ER146)))</f>
        <v>442.40000000000009</v>
      </c>
      <c r="EK147" s="18">
        <f>EJ147*VLOOKUP('Données projet'!$B$15,Paramètres!$A$1:$I$89,3,0)*VLOOKUP('Données projet'!$B$15,Paramètres!$A$1:$I$89,5,0)</f>
        <v>358.87488000000008</v>
      </c>
      <c r="EL147" s="14">
        <f t="shared" si="153"/>
        <v>83.387269453423144</v>
      </c>
      <c r="EM147" s="22">
        <f t="shared" si="127"/>
        <v>770.2732436313787</v>
      </c>
      <c r="EN147" s="60">
        <f t="shared" si="128"/>
        <v>1063.6065769647121</v>
      </c>
      <c r="EO147" s="60">
        <f ca="1">AVERAGE(OFFSET($EN$3,0,0,'Données projet'!$E$15+1,1))-AVERAGE(OFFSET($H$3,0,0,'Données projet'!$E$15+1,1))</f>
        <v>346.10839312896536</v>
      </c>
      <c r="EP147" s="60">
        <f t="shared" si="154"/>
        <v>196.24927250256087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5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8">
        <f t="shared" si="110"/>
        <v>576.6744942024194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338</v>
      </c>
      <c r="L148" s="13">
        <f>VLOOKUP(A148,'Données projet'!$A$35:$I$55,9,0)</f>
        <v>3.7</v>
      </c>
      <c r="M148" s="13">
        <f t="array" ref="M148">INDEX(L:L,MIN(IF(ISNUMBER(L148:L344),ROW(L148:L344),"")))</f>
        <v>3.7</v>
      </c>
      <c r="N148" s="14">
        <f>IF('Données projet'!$A$36&gt;35,N147+M148-V147,IF(A148&lt;'Données projet'!$A$36,$K$205^A148,IF(A148='Données projet'!$A$36,'Données projet'!$B$36,N147+M148-V147)))</f>
        <v>337.99999999999972</v>
      </c>
      <c r="O148" s="14">
        <f>N148*VLOOKUP('Données projet'!$B$9,Paramètres!$A$1:$I$89,3,0)*VLOOKUP('Données projet'!$B$9,Paramètres!$A$1:$I$89,5,0)</f>
        <v>305.82239999999973</v>
      </c>
      <c r="P148" s="14">
        <f t="shared" si="141"/>
        <v>72.39569329126887</v>
      </c>
      <c r="Q148" s="22">
        <f t="shared" si="108"/>
        <v>658.72984581562616</v>
      </c>
      <c r="R148" s="60">
        <f t="shared" si="109"/>
        <v>952.06317914895953</v>
      </c>
      <c r="S148" s="60">
        <f ca="1">AVERAGE(OFFSET($R$3,0,0,'Données projet'!$E$9+1,1))-AVERAGE(OFFSET($H$3,0,0,'Données projet'!$E$9+1,1))</f>
        <v>327.62615088747526</v>
      </c>
      <c r="T148" s="60">
        <f t="shared" si="142"/>
        <v>180.48047802041276</v>
      </c>
      <c r="U148" s="16">
        <f>IF(ISNA(VLOOKUP(A148,'Données projet'!$A$35:$I$55,3,0)),0,VLOOKUP(A148,'Données projet'!$A$35:$I$55,3,0))</f>
        <v>13</v>
      </c>
      <c r="V148" s="16">
        <f>IF(ISNA(VLOOKUP(A148,'Données projet'!$A$35:$I$55,4,0)),0,VLOOKUP(A148,'Données projet'!$A$35:$I$55,4,0))</f>
        <v>39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338</v>
      </c>
      <c r="AG148" s="13">
        <f>VLOOKUP(A148,'Données projet'!$A$61:$I$81,9,0)</f>
        <v>3.7</v>
      </c>
      <c r="AH148" s="13">
        <f t="array" ref="AH148">INDEX(AG:AG,MIN(IF(ISNUMBER(AG148:AG344),ROW(AG148:AG344),"")))</f>
        <v>3.7</v>
      </c>
      <c r="AI148" s="14">
        <f>IF('Données projet'!$A$62&gt;35,AI147+AH148-AQ147,IF(A148&lt;'Données projet'!$A$62,$AF$205^A148,IF(A148='Données projet'!$A$62,'Données projet'!$B$62,AI147+AH148-AQ147)))</f>
        <v>337.99999999999972</v>
      </c>
      <c r="AJ148" s="14">
        <f>AI148*VLOOKUP('Données projet'!$B$10,Paramètres!$A$1:$I$89,3,0)*VLOOKUP('Données projet'!$B$10,Paramètres!$A$1:$I$89,5,0)</f>
        <v>284.73119999999983</v>
      </c>
      <c r="AK148" s="14">
        <f t="shared" si="143"/>
        <v>67.965870320050954</v>
      </c>
      <c r="AL148" s="22">
        <f t="shared" si="112"/>
        <v>614.28073080742172</v>
      </c>
      <c r="AM148" s="60">
        <f t="shared" si="113"/>
        <v>907.61406414075509</v>
      </c>
      <c r="AN148" s="60">
        <f ca="1">AVERAGE(OFFSET($AM$3,0,0,'Données projet'!$E$10+1,1))-AVERAGE(OFFSET($H$3,0,0,'Données projet'!$E$10+1,1))</f>
        <v>295.5242128298583</v>
      </c>
      <c r="AO148" s="60">
        <f t="shared" si="144"/>
        <v>164.21740841327744</v>
      </c>
      <c r="AP148" s="16">
        <f>IF(ISNA(VLOOKUP(A148,'Données projet'!$A$61:$I$81,3,0)),0,VLOOKUP(A148,'Données projet'!$A$61:$I$81,3,0))</f>
        <v>13</v>
      </c>
      <c r="AQ148" s="16">
        <f>IF(ISNA(VLOOKUP(A148,'Données projet'!$A$61:$I$81,4,0)),0,VLOOKUP(A148,'Données projet'!$A$61:$I$81,4,0))</f>
        <v>39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5.4092197387944907E-14</v>
      </c>
      <c r="BF148" s="14">
        <f t="shared" si="145"/>
        <v>8.7287050538073676E-13</v>
      </c>
      <c r="BG148" s="22">
        <f t="shared" si="115"/>
        <v>1.6144600406554537E-12</v>
      </c>
      <c r="BH148" s="60">
        <f t="shared" si="116"/>
        <v>293.33333333333491</v>
      </c>
      <c r="BI148" s="60">
        <f ca="1">AVERAGE(OFFSET($BH$3,0,0,'Données projet'!$E$11+1,1))-AVERAGE(OFFSET($H$3,0,0,'Données projet'!$E$11+1,1))</f>
        <v>276.19649531804959</v>
      </c>
      <c r="BJ148" s="60">
        <f t="shared" si="146"/>
        <v>253.14970964973463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7.4487616075202823E-14</v>
      </c>
      <c r="CA148" s="14">
        <f t="shared" si="147"/>
        <v>1.1580453144473142E-12</v>
      </c>
      <c r="CB148" s="22">
        <f t="shared" si="118"/>
        <v>2.1466615206600508E-12</v>
      </c>
      <c r="CC148" s="60">
        <f t="shared" si="119"/>
        <v>293.33333333333547</v>
      </c>
      <c r="CD148" s="60">
        <f ca="1">AVERAGE(OFFSET($CC$3,0,0,'Données projet'!$E$12+1,1))-AVERAGE(OFFSET($H$3,0,0,'Données projet'!$E$12+1,1))</f>
        <v>154.88061446835457</v>
      </c>
      <c r="CE148" s="60">
        <f t="shared" si="148"/>
        <v>201.47826692201693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0.11256951337128637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0.11256951337128637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0" t="e">
        <f t="shared" si="122"/>
        <v>#NUM!</v>
      </c>
      <c r="CY148" s="60">
        <f ca="1">AVERAGE(OFFSET($CX$3,0,0,'Données projet'!$E$13+1,1))-AVERAGE(OFFSET($H$3,0,0,'Données projet'!$E$13+1,1))</f>
        <v>293.44206058086951</v>
      </c>
      <c r="CZ148" s="60">
        <f t="shared" si="150"/>
        <v>182.15909509186827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>
        <f>DO148*VLOOKUP('Données projet'!$B$14,Paramètres!$A$1:$I$89,3,0)*VLOOKUP('Données projet'!$B$14,Paramètres!$A$1:$I$89,5,0)</f>
        <v>0</v>
      </c>
      <c r="DQ148" s="14" t="e">
        <f t="shared" si="151"/>
        <v>#NUM!</v>
      </c>
      <c r="DR148" s="22" t="e">
        <f t="shared" si="124"/>
        <v>#NUM!</v>
      </c>
      <c r="DS148" s="60" t="e">
        <f t="shared" si="125"/>
        <v>#NUM!</v>
      </c>
      <c r="DT148" s="60">
        <f ca="1">AVERAGE(OFFSET($DS$3,0,0,'Données projet'!$E$14+1,1))-AVERAGE(OFFSET($H$3,0,0,'Données projet'!$E$14+1,1))</f>
        <v>338.92444234934266</v>
      </c>
      <c r="DU148" s="60">
        <f t="shared" si="152"/>
        <v>208.91548891910895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4.0999999999999996</v>
      </c>
      <c r="EJ148" s="13">
        <f>IF('Données projet'!$A$192&gt;35,EJ147+EI148-ER147,IF(A148&lt;'Données projet'!$A$192,$EG$205^A148,IF(A148='Données projet'!$A$192,'Données projet'!$B$192,EJ147+EI148-ER147)))</f>
        <v>446.50000000000011</v>
      </c>
      <c r="EK148" s="18">
        <f>EJ148*VLOOKUP('Données projet'!$B$15,Paramètres!$A$1:$I$89,3,0)*VLOOKUP('Données projet'!$B$15,Paramètres!$A$1:$I$89,5,0)</f>
        <v>362.20080000000013</v>
      </c>
      <c r="EL148" s="14">
        <f t="shared" si="153"/>
        <v>84.069750651993814</v>
      </c>
      <c r="EM148" s="22">
        <f t="shared" si="127"/>
        <v>777.25454238555619</v>
      </c>
      <c r="EN148" s="60">
        <f t="shared" si="128"/>
        <v>1070.5878757188896</v>
      </c>
      <c r="EO148" s="60">
        <f ca="1">AVERAGE(OFFSET($EN$3,0,0,'Données projet'!$E$15+1,1))-AVERAGE(OFFSET($H$3,0,0,'Données projet'!$E$15+1,1))</f>
        <v>346.10839312896536</v>
      </c>
      <c r="EP148" s="60">
        <f t="shared" si="154"/>
        <v>196.24927250256087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5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8">
        <f t="shared" si="110"/>
        <v>578.58124072405269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7.2</v>
      </c>
      <c r="N149" s="14">
        <f>IF('Données projet'!$A$36&gt;35,N148+M149-V148,IF(A149&lt;'Données projet'!$A$36,$K$205^A149,IF(A149='Données projet'!$A$36,'Données projet'!$B$36,N148+M149-V148)))</f>
        <v>306.1999999999997</v>
      </c>
      <c r="O149" s="14">
        <f>N149*VLOOKUP('Données projet'!$B$9,Paramètres!$A$1:$I$89,3,0)*VLOOKUP('Données projet'!$B$9,Paramètres!$A$1:$I$89,5,0)</f>
        <v>277.04975999999971</v>
      </c>
      <c r="P149" s="14">
        <f t="shared" si="141"/>
        <v>66.343154522348001</v>
      </c>
      <c r="Q149" s="22">
        <f t="shared" si="108"/>
        <v>598.07599279308897</v>
      </c>
      <c r="R149" s="60">
        <f t="shared" si="109"/>
        <v>891.40932612642223</v>
      </c>
      <c r="S149" s="60">
        <f ca="1">AVERAGE(OFFSET($R$3,0,0,'Données projet'!$E$9+1,1))-AVERAGE(OFFSET($H$3,0,0,'Données projet'!$E$9+1,1))</f>
        <v>327.62615088747526</v>
      </c>
      <c r="T149" s="60">
        <f t="shared" si="142"/>
        <v>180.48047802041276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7.2</v>
      </c>
      <c r="AI149" s="14">
        <f>IF('Données projet'!$A$62&gt;35,AI148+AH149-AQ148,IF(A149&lt;'Données projet'!$A$62,$AF$205^A149,IF(A149='Données projet'!$A$62,'Données projet'!$B$62,AI148+AH149-AQ148)))</f>
        <v>306.1999999999997</v>
      </c>
      <c r="AJ149" s="14">
        <f>AI149*VLOOKUP('Données projet'!$B$10,Paramètres!$A$1:$I$89,3,0)*VLOOKUP('Données projet'!$B$10,Paramètres!$A$1:$I$89,5,0)</f>
        <v>257.94287999999978</v>
      </c>
      <c r="AK149" s="14">
        <f t="shared" si="143"/>
        <v>62.283680587845303</v>
      </c>
      <c r="AL149" s="22">
        <f t="shared" si="112"/>
        <v>557.72792635716348</v>
      </c>
      <c r="AM149" s="60">
        <f t="shared" si="113"/>
        <v>851.06125969049685</v>
      </c>
      <c r="AN149" s="60">
        <f ca="1">AVERAGE(OFFSET($AM$3,0,0,'Données projet'!$E$10+1,1))-AVERAGE(OFFSET($H$3,0,0,'Données projet'!$E$10+1,1))</f>
        <v>295.5242128298583</v>
      </c>
      <c r="AO149" s="60">
        <f t="shared" si="144"/>
        <v>164.21740841327744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5.4092197387944907E-14</v>
      </c>
      <c r="BF149" s="14">
        <f t="shared" si="145"/>
        <v>8.7287050538073676E-13</v>
      </c>
      <c r="BG149" s="22">
        <f t="shared" si="115"/>
        <v>1.6144600406554537E-12</v>
      </c>
      <c r="BH149" s="60">
        <f t="shared" si="116"/>
        <v>293.33333333333491</v>
      </c>
      <c r="BI149" s="60">
        <f ca="1">AVERAGE(OFFSET($BH$3,0,0,'Données projet'!$E$11+1,1))-AVERAGE(OFFSET($H$3,0,0,'Données projet'!$E$11+1,1))</f>
        <v>276.19649531804959</v>
      </c>
      <c r="BJ149" s="60">
        <f t="shared" si="146"/>
        <v>253.14970964973463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7.4487616075202823E-14</v>
      </c>
      <c r="CA149" s="14">
        <f t="shared" si="147"/>
        <v>1.1580453144473142E-12</v>
      </c>
      <c r="CB149" s="22">
        <f t="shared" si="118"/>
        <v>2.1466615206600508E-12</v>
      </c>
      <c r="CC149" s="60">
        <f t="shared" si="119"/>
        <v>293.33333333333547</v>
      </c>
      <c r="CD149" s="60">
        <f ca="1">AVERAGE(OFFSET($CC$3,0,0,'Données projet'!$E$12+1,1))-AVERAGE(OFFSET($H$3,0,0,'Données projet'!$E$12+1,1))</f>
        <v>154.88061446835457</v>
      </c>
      <c r="CE149" s="60">
        <f t="shared" si="148"/>
        <v>201.47826692201693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0.10949129410837512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0.10949129410837512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0" t="e">
        <f t="shared" si="122"/>
        <v>#NUM!</v>
      </c>
      <c r="CY149" s="60">
        <f ca="1">AVERAGE(OFFSET($CX$3,0,0,'Données projet'!$E$13+1,1))-AVERAGE(OFFSET($H$3,0,0,'Données projet'!$E$13+1,1))</f>
        <v>293.44206058086951</v>
      </c>
      <c r="CZ149" s="60">
        <f t="shared" si="150"/>
        <v>182.15909509186827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>
        <f>DO149*VLOOKUP('Données projet'!$B$14,Paramètres!$A$1:$I$89,3,0)*VLOOKUP('Données projet'!$B$14,Paramètres!$A$1:$I$89,5,0)</f>
        <v>0</v>
      </c>
      <c r="DQ149" s="14" t="e">
        <f t="shared" si="151"/>
        <v>#NUM!</v>
      </c>
      <c r="DR149" s="22" t="e">
        <f t="shared" si="124"/>
        <v>#NUM!</v>
      </c>
      <c r="DS149" s="60" t="e">
        <f t="shared" si="125"/>
        <v>#NUM!</v>
      </c>
      <c r="DT149" s="60">
        <f ca="1">AVERAGE(OFFSET($DS$3,0,0,'Données projet'!$E$14+1,1))-AVERAGE(OFFSET($H$3,0,0,'Données projet'!$E$14+1,1))</f>
        <v>338.92444234934266</v>
      </c>
      <c r="DU149" s="60">
        <f t="shared" si="152"/>
        <v>208.91548891910895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4.0999999999999996</v>
      </c>
      <c r="EJ149" s="13">
        <f>IF('Données projet'!$A$192&gt;35,EJ148+EI149-ER148,IF(A149&lt;'Données projet'!$A$192,$EG$205^A149,IF(A149='Données projet'!$A$192,'Données projet'!$B$192,EJ148+EI149-ER148)))</f>
        <v>450.60000000000014</v>
      </c>
      <c r="EK149" s="18">
        <f>EJ149*VLOOKUP('Données projet'!$B$15,Paramètres!$A$1:$I$89,3,0)*VLOOKUP('Données projet'!$B$15,Paramètres!$A$1:$I$89,5,0)</f>
        <v>365.52672000000013</v>
      </c>
      <c r="EL149" s="14">
        <f t="shared" si="153"/>
        <v>84.751502761735267</v>
      </c>
      <c r="EM149" s="22">
        <f t="shared" si="127"/>
        <v>784.23457131002249</v>
      </c>
      <c r="EN149" s="60">
        <f t="shared" si="128"/>
        <v>1077.5679046433559</v>
      </c>
      <c r="EO149" s="60">
        <f ca="1">AVERAGE(OFFSET($EN$3,0,0,'Données projet'!$E$15+1,1))-AVERAGE(OFFSET($H$3,0,0,'Données projet'!$E$15+1,1))</f>
        <v>346.10839312896536</v>
      </c>
      <c r="EP149" s="60">
        <f t="shared" si="154"/>
        <v>196.24927250256087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5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8">
        <f t="shared" si="110"/>
        <v>580.48770189284971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7.2</v>
      </c>
      <c r="N150" s="14">
        <f>IF('Données projet'!$A$36&gt;35,N149+M150-V149,IF(A150&lt;'Données projet'!$A$36,$K$205^A150,IF(A150='Données projet'!$A$36,'Données projet'!$B$36,N149+M150-V149)))</f>
        <v>313.39999999999969</v>
      </c>
      <c r="O150" s="14">
        <f>N150*VLOOKUP('Données projet'!$B$9,Paramètres!$A$1:$I$89,3,0)*VLOOKUP('Données projet'!$B$9,Paramètres!$A$1:$I$89,5,0)</f>
        <v>283.56431999999973</v>
      </c>
      <c r="P150" s="14">
        <f t="shared" si="141"/>
        <v>67.71969673023186</v>
      </c>
      <c r="Q150" s="22">
        <f t="shared" si="108"/>
        <v>611.81966247182004</v>
      </c>
      <c r="R150" s="60">
        <f t="shared" si="109"/>
        <v>905.1529958051533</v>
      </c>
      <c r="S150" s="60">
        <f ca="1">AVERAGE(OFFSET($R$3,0,0,'Données projet'!$E$9+1,1))-AVERAGE(OFFSET($H$3,0,0,'Données projet'!$E$9+1,1))</f>
        <v>327.62615088747526</v>
      </c>
      <c r="T150" s="60">
        <f t="shared" si="142"/>
        <v>180.48047802041276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7.2</v>
      </c>
      <c r="AI150" s="14">
        <f>IF('Données projet'!$A$62&gt;35,AI149+AH150-AQ149,IF(A150&lt;'Données projet'!$A$62,$AF$205^A150,IF(A150='Données projet'!$A$62,'Données projet'!$B$62,AI149+AH150-AQ149)))</f>
        <v>313.39999999999969</v>
      </c>
      <c r="AJ150" s="14">
        <f>AI150*VLOOKUP('Données projet'!$B$10,Paramètres!$A$1:$I$89,3,0)*VLOOKUP('Données projet'!$B$10,Paramètres!$A$1:$I$89,5,0)</f>
        <v>264.00815999999975</v>
      </c>
      <c r="AK150" s="14">
        <f t="shared" si="143"/>
        <v>63.575993499536068</v>
      </c>
      <c r="AL150" s="22">
        <f t="shared" si="112"/>
        <v>570.54240067835826</v>
      </c>
      <c r="AM150" s="60">
        <f t="shared" si="113"/>
        <v>863.87573401169152</v>
      </c>
      <c r="AN150" s="60">
        <f ca="1">AVERAGE(OFFSET($AM$3,0,0,'Données projet'!$E$10+1,1))-AVERAGE(OFFSET($H$3,0,0,'Données projet'!$E$10+1,1))</f>
        <v>295.5242128298583</v>
      </c>
      <c r="AO150" s="60">
        <f t="shared" si="144"/>
        <v>164.21740841327744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5.4092197387944907E-14</v>
      </c>
      <c r="BF150" s="14">
        <f t="shared" si="145"/>
        <v>8.7287050538073676E-13</v>
      </c>
      <c r="BG150" s="22">
        <f t="shared" si="115"/>
        <v>1.6144600406554537E-12</v>
      </c>
      <c r="BH150" s="60">
        <f t="shared" si="116"/>
        <v>293.33333333333491</v>
      </c>
      <c r="BI150" s="60">
        <f ca="1">AVERAGE(OFFSET($BH$3,0,0,'Données projet'!$E$11+1,1))-AVERAGE(OFFSET($H$3,0,0,'Données projet'!$E$11+1,1))</f>
        <v>276.19649531804959</v>
      </c>
      <c r="BJ150" s="60">
        <f t="shared" si="146"/>
        <v>253.14970964973463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7.4487616075202823E-14</v>
      </c>
      <c r="CA150" s="14">
        <f t="shared" si="147"/>
        <v>1.1580453144473142E-12</v>
      </c>
      <c r="CB150" s="22">
        <f t="shared" si="118"/>
        <v>2.1466615206600508E-12</v>
      </c>
      <c r="CC150" s="60">
        <f t="shared" si="119"/>
        <v>293.33333333333547</v>
      </c>
      <c r="CD150" s="60">
        <f ca="1">AVERAGE(OFFSET($CC$3,0,0,'Données projet'!$E$12+1,1))-AVERAGE(OFFSET($H$3,0,0,'Données projet'!$E$12+1,1))</f>
        <v>154.88061446835457</v>
      </c>
      <c r="CE150" s="60">
        <f t="shared" si="148"/>
        <v>201.47826692201693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0.10649724891308469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0.10649724891308469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0" t="e">
        <f t="shared" si="122"/>
        <v>#NUM!</v>
      </c>
      <c r="CY150" s="60">
        <f ca="1">AVERAGE(OFFSET($CX$3,0,0,'Données projet'!$E$13+1,1))-AVERAGE(OFFSET($H$3,0,0,'Données projet'!$E$13+1,1))</f>
        <v>293.44206058086951</v>
      </c>
      <c r="CZ150" s="60">
        <f t="shared" si="150"/>
        <v>182.15909509186827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>
        <f>DO150*VLOOKUP('Données projet'!$B$14,Paramètres!$A$1:$I$89,3,0)*VLOOKUP('Données projet'!$B$14,Paramètres!$A$1:$I$89,5,0)</f>
        <v>0</v>
      </c>
      <c r="DQ150" s="14" t="e">
        <f t="shared" si="151"/>
        <v>#NUM!</v>
      </c>
      <c r="DR150" s="22" t="e">
        <f t="shared" si="124"/>
        <v>#NUM!</v>
      </c>
      <c r="DS150" s="60" t="e">
        <f t="shared" si="125"/>
        <v>#NUM!</v>
      </c>
      <c r="DT150" s="60">
        <f ca="1">AVERAGE(OFFSET($DS$3,0,0,'Données projet'!$E$14+1,1))-AVERAGE(OFFSET($H$3,0,0,'Données projet'!$E$14+1,1))</f>
        <v>338.92444234934266</v>
      </c>
      <c r="DU150" s="60">
        <f t="shared" si="152"/>
        <v>208.91548891910895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4.0999999999999996</v>
      </c>
      <c r="EJ150" s="13">
        <f>IF('Données projet'!$A$192&gt;35,EJ149+EI150-ER149,IF(A150&lt;'Données projet'!$A$192,$EG$205^A150,IF(A150='Données projet'!$A$192,'Données projet'!$B$192,EJ149+EI150-ER149)))</f>
        <v>454.70000000000016</v>
      </c>
      <c r="EK150" s="18">
        <f>EJ150*VLOOKUP('Données projet'!$B$15,Paramètres!$A$1:$I$89,3,0)*VLOOKUP('Données projet'!$B$15,Paramètres!$A$1:$I$89,5,0)</f>
        <v>368.85264000000018</v>
      </c>
      <c r="EL150" s="14">
        <f t="shared" si="153"/>
        <v>85.432533185089483</v>
      </c>
      <c r="EM150" s="22">
        <f t="shared" si="127"/>
        <v>791.21334329736453</v>
      </c>
      <c r="EN150" s="60">
        <f t="shared" si="128"/>
        <v>1084.5466766306979</v>
      </c>
      <c r="EO150" s="60">
        <f ca="1">AVERAGE(OFFSET($EN$3,0,0,'Données projet'!$E$15+1,1))-AVERAGE(OFFSET($H$3,0,0,'Données projet'!$E$15+1,1))</f>
        <v>346.10839312896536</v>
      </c>
      <c r="EP150" s="60">
        <f t="shared" si="154"/>
        <v>196.24927250256087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5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8">
        <f t="shared" si="110"/>
        <v>582.39387987511509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7.2</v>
      </c>
      <c r="N151" s="14">
        <f>IF('Données projet'!$A$36&gt;35,N150+M151-V150,IF(A151&lt;'Données projet'!$A$36,$K$205^A151,IF(A151='Données projet'!$A$36,'Données projet'!$B$36,N150+M151-V150)))</f>
        <v>320.59999999999968</v>
      </c>
      <c r="O151" s="14">
        <f>N151*VLOOKUP('Données projet'!$B$9,Paramètres!$A$1:$I$89,3,0)*VLOOKUP('Données projet'!$B$9,Paramètres!$A$1:$I$89,5,0)</f>
        <v>290.07887999999969</v>
      </c>
      <c r="P151" s="14">
        <f t="shared" si="141"/>
        <v>69.092562427360406</v>
      </c>
      <c r="Q151" s="22">
        <f t="shared" si="108"/>
        <v>625.55692889431873</v>
      </c>
      <c r="R151" s="60">
        <f t="shared" si="109"/>
        <v>918.8902622276521</v>
      </c>
      <c r="S151" s="60">
        <f ca="1">AVERAGE(OFFSET($R$3,0,0,'Données projet'!$E$9+1,1))-AVERAGE(OFFSET($H$3,0,0,'Données projet'!$E$9+1,1))</f>
        <v>327.62615088747526</v>
      </c>
      <c r="T151" s="60">
        <f t="shared" si="142"/>
        <v>180.48047802041276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7.2</v>
      </c>
      <c r="AI151" s="14">
        <f>IF('Données projet'!$A$62&gt;35,AI150+AH151-AQ150,IF(A151&lt;'Données projet'!$A$62,$AF$205^A151,IF(A151='Données projet'!$A$62,'Données projet'!$B$62,AI150+AH151-AQ150)))</f>
        <v>320.59999999999968</v>
      </c>
      <c r="AJ151" s="14">
        <f>AI151*VLOOKUP('Données projet'!$B$10,Paramètres!$A$1:$I$89,3,0)*VLOOKUP('Données projet'!$B$10,Paramètres!$A$1:$I$89,5,0)</f>
        <v>270.07343999999978</v>
      </c>
      <c r="AK151" s="14">
        <f t="shared" si="143"/>
        <v>64.864854862635056</v>
      </c>
      <c r="AL151" s="22">
        <f t="shared" si="112"/>
        <v>583.35086355242231</v>
      </c>
      <c r="AM151" s="60">
        <f t="shared" si="113"/>
        <v>876.68419688575568</v>
      </c>
      <c r="AN151" s="60">
        <f ca="1">AVERAGE(OFFSET($AM$3,0,0,'Données projet'!$E$10+1,1))-AVERAGE(OFFSET($H$3,0,0,'Données projet'!$E$10+1,1))</f>
        <v>295.5242128298583</v>
      </c>
      <c r="AO151" s="60">
        <f t="shared" si="144"/>
        <v>164.21740841327744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5.4092197387944907E-14</v>
      </c>
      <c r="BF151" s="14">
        <f t="shared" si="145"/>
        <v>8.7287050538073676E-13</v>
      </c>
      <c r="BG151" s="22">
        <f t="shared" si="115"/>
        <v>1.6144600406554537E-12</v>
      </c>
      <c r="BH151" s="60">
        <f t="shared" si="116"/>
        <v>293.33333333333491</v>
      </c>
      <c r="BI151" s="60">
        <f ca="1">AVERAGE(OFFSET($BH$3,0,0,'Données projet'!$E$11+1,1))-AVERAGE(OFFSET($H$3,0,0,'Données projet'!$E$11+1,1))</f>
        <v>276.19649531804959</v>
      </c>
      <c r="BJ151" s="60">
        <f t="shared" si="146"/>
        <v>253.14970964973463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7.4487616075202823E-14</v>
      </c>
      <c r="CA151" s="14">
        <f t="shared" si="147"/>
        <v>1.1580453144473142E-12</v>
      </c>
      <c r="CB151" s="22">
        <f t="shared" si="118"/>
        <v>2.1466615206600508E-12</v>
      </c>
      <c r="CC151" s="60">
        <f t="shared" si="119"/>
        <v>293.33333333333547</v>
      </c>
      <c r="CD151" s="60">
        <f ca="1">AVERAGE(OFFSET($CC$3,0,0,'Données projet'!$E$12+1,1))-AVERAGE(OFFSET($H$3,0,0,'Données projet'!$E$12+1,1))</f>
        <v>154.88061446835457</v>
      </c>
      <c r="CE151" s="60">
        <f t="shared" si="148"/>
        <v>201.47826692201693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0.10358507604110948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0.10358507604110948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0" t="e">
        <f t="shared" si="122"/>
        <v>#NUM!</v>
      </c>
      <c r="CY151" s="60">
        <f ca="1">AVERAGE(OFFSET($CX$3,0,0,'Données projet'!$E$13+1,1))-AVERAGE(OFFSET($H$3,0,0,'Données projet'!$E$13+1,1))</f>
        <v>293.44206058086951</v>
      </c>
      <c r="CZ151" s="60">
        <f t="shared" si="150"/>
        <v>182.15909509186827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>
        <f>DO151*VLOOKUP('Données projet'!$B$14,Paramètres!$A$1:$I$89,3,0)*VLOOKUP('Données projet'!$B$14,Paramètres!$A$1:$I$89,5,0)</f>
        <v>0</v>
      </c>
      <c r="DQ151" s="14" t="e">
        <f t="shared" si="151"/>
        <v>#NUM!</v>
      </c>
      <c r="DR151" s="22" t="e">
        <f t="shared" si="124"/>
        <v>#NUM!</v>
      </c>
      <c r="DS151" s="60" t="e">
        <f t="shared" si="125"/>
        <v>#NUM!</v>
      </c>
      <c r="DT151" s="60">
        <f ca="1">AVERAGE(OFFSET($DS$3,0,0,'Données projet'!$E$14+1,1))-AVERAGE(OFFSET($H$3,0,0,'Données projet'!$E$14+1,1))</f>
        <v>338.92444234934266</v>
      </c>
      <c r="DU151" s="60">
        <f t="shared" si="152"/>
        <v>208.91548891910895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4.0999999999999996</v>
      </c>
      <c r="EJ151" s="13">
        <f>IF('Données projet'!$A$192&gt;35,EJ150+EI151-ER150,IF(A151&lt;'Données projet'!$A$192,$EG$205^A151,IF(A151='Données projet'!$A$192,'Données projet'!$B$192,EJ150+EI151-ER150)))</f>
        <v>458.80000000000018</v>
      </c>
      <c r="EK151" s="18">
        <f>EJ151*VLOOKUP('Données projet'!$B$15,Paramètres!$A$1:$I$89,3,0)*VLOOKUP('Données projet'!$B$15,Paramètres!$A$1:$I$89,5,0)</f>
        <v>372.17856000000018</v>
      </c>
      <c r="EL151" s="14">
        <f t="shared" si="153"/>
        <v>86.112849183302814</v>
      </c>
      <c r="EM151" s="22">
        <f t="shared" si="127"/>
        <v>798.19087099425269</v>
      </c>
      <c r="EN151" s="60">
        <f t="shared" si="128"/>
        <v>1091.5242043275859</v>
      </c>
      <c r="EO151" s="60">
        <f ca="1">AVERAGE(OFFSET($EN$3,0,0,'Données projet'!$E$15+1,1))-AVERAGE(OFFSET($H$3,0,0,'Données projet'!$E$15+1,1))</f>
        <v>346.10839312896536</v>
      </c>
      <c r="EP151" s="60">
        <f t="shared" si="154"/>
        <v>196.24927250256087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5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8">
        <f t="shared" si="110"/>
        <v>584.29977680618606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7.2</v>
      </c>
      <c r="N152" s="14">
        <f>IF('Données projet'!$A$36&gt;35,N151+M152-V151,IF(A152&lt;'Données projet'!$A$36,$K$205^A152,IF(A152='Données projet'!$A$36,'Données projet'!$B$36,N151+M152-V151)))</f>
        <v>327.79999999999967</v>
      </c>
      <c r="O152" s="14">
        <f>N152*VLOOKUP('Données projet'!$B$9,Paramètres!$A$1:$I$89,3,0)*VLOOKUP('Données projet'!$B$9,Paramètres!$A$1:$I$89,5,0)</f>
        <v>296.5934399999997</v>
      </c>
      <c r="P152" s="14">
        <f t="shared" si="141"/>
        <v>70.461843686437376</v>
      </c>
      <c r="Q152" s="22">
        <f t="shared" si="108"/>
        <v>639.28795242054446</v>
      </c>
      <c r="R152" s="60">
        <f t="shared" si="109"/>
        <v>932.62128575387783</v>
      </c>
      <c r="S152" s="60">
        <f ca="1">AVERAGE(OFFSET($R$3,0,0,'Données projet'!$E$9+1,1))-AVERAGE(OFFSET($H$3,0,0,'Données projet'!$E$9+1,1))</f>
        <v>327.62615088747526</v>
      </c>
      <c r="T152" s="60">
        <f t="shared" si="142"/>
        <v>180.48047802041276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7.2</v>
      </c>
      <c r="AI152" s="14">
        <f>IF('Données projet'!$A$62&gt;35,AI151+AH152-AQ151,IF(A152&lt;'Données projet'!$A$62,$AF$205^A152,IF(A152='Données projet'!$A$62,'Données projet'!$B$62,AI151+AH152-AQ151)))</f>
        <v>327.79999999999967</v>
      </c>
      <c r="AJ152" s="14">
        <f>AI152*VLOOKUP('Données projet'!$B$10,Paramètres!$A$1:$I$89,3,0)*VLOOKUP('Données projet'!$B$10,Paramètres!$A$1:$I$89,5,0)</f>
        <v>276.13871999999975</v>
      </c>
      <c r="AK152" s="14">
        <f t="shared" si="143"/>
        <v>66.150351116005822</v>
      </c>
      <c r="AL152" s="22">
        <f t="shared" si="112"/>
        <v>596.15346552704295</v>
      </c>
      <c r="AM152" s="60">
        <f t="shared" si="113"/>
        <v>889.48679886037621</v>
      </c>
      <c r="AN152" s="60">
        <f ca="1">AVERAGE(OFFSET($AM$3,0,0,'Données projet'!$E$10+1,1))-AVERAGE(OFFSET($H$3,0,0,'Données projet'!$E$10+1,1))</f>
        <v>295.5242128298583</v>
      </c>
      <c r="AO152" s="60">
        <f t="shared" si="144"/>
        <v>164.21740841327744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5.4092197387944907E-14</v>
      </c>
      <c r="BF152" s="14">
        <f t="shared" si="145"/>
        <v>8.7287050538073676E-13</v>
      </c>
      <c r="BG152" s="22">
        <f t="shared" si="115"/>
        <v>1.6144600406554537E-12</v>
      </c>
      <c r="BH152" s="60">
        <f t="shared" si="116"/>
        <v>293.33333333333491</v>
      </c>
      <c r="BI152" s="60">
        <f ca="1">AVERAGE(OFFSET($BH$3,0,0,'Données projet'!$E$11+1,1))-AVERAGE(OFFSET($H$3,0,0,'Données projet'!$E$11+1,1))</f>
        <v>276.19649531804959</v>
      </c>
      <c r="BJ152" s="60">
        <f t="shared" si="146"/>
        <v>253.14970964973463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7.4487616075202823E-14</v>
      </c>
      <c r="CA152" s="14">
        <f t="shared" si="147"/>
        <v>1.1580453144473142E-12</v>
      </c>
      <c r="CB152" s="22">
        <f t="shared" si="118"/>
        <v>2.1466615206600508E-12</v>
      </c>
      <c r="CC152" s="60">
        <f t="shared" si="119"/>
        <v>293.33333333333547</v>
      </c>
      <c r="CD152" s="60">
        <f ca="1">AVERAGE(OFFSET($CC$3,0,0,'Données projet'!$E$12+1,1))-AVERAGE(OFFSET($H$3,0,0,'Données projet'!$E$12+1,1))</f>
        <v>154.88061446835457</v>
      </c>
      <c r="CE152" s="60">
        <f t="shared" si="148"/>
        <v>201.47826692201693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0.10075253668946293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0.10075253668946293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0" t="e">
        <f t="shared" si="122"/>
        <v>#NUM!</v>
      </c>
      <c r="CY152" s="60">
        <f ca="1">AVERAGE(OFFSET($CX$3,0,0,'Données projet'!$E$13+1,1))-AVERAGE(OFFSET($H$3,0,0,'Données projet'!$E$13+1,1))</f>
        <v>293.44206058086951</v>
      </c>
      <c r="CZ152" s="60">
        <f t="shared" si="150"/>
        <v>182.15909509186827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>
        <f>DO152*VLOOKUP('Données projet'!$B$14,Paramètres!$A$1:$I$89,3,0)*VLOOKUP('Données projet'!$B$14,Paramètres!$A$1:$I$89,5,0)</f>
        <v>0</v>
      </c>
      <c r="DQ152" s="14" t="e">
        <f t="shared" si="151"/>
        <v>#NUM!</v>
      </c>
      <c r="DR152" s="22" t="e">
        <f t="shared" si="124"/>
        <v>#NUM!</v>
      </c>
      <c r="DS152" s="60" t="e">
        <f t="shared" si="125"/>
        <v>#NUM!</v>
      </c>
      <c r="DT152" s="60">
        <f ca="1">AVERAGE(OFFSET($DS$3,0,0,'Données projet'!$E$14+1,1))-AVERAGE(OFFSET($H$3,0,0,'Données projet'!$E$14+1,1))</f>
        <v>338.92444234934266</v>
      </c>
      <c r="DU152" s="60">
        <f t="shared" si="152"/>
        <v>208.91548891910895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4.0999999999999996</v>
      </c>
      <c r="EJ152" s="13">
        <f>IF('Données projet'!$A$192&gt;35,EJ151+EI152-ER151,IF(A152&lt;'Données projet'!$A$192,$EG$205^A152,IF(A152='Données projet'!$A$192,'Données projet'!$B$192,EJ151+EI152-ER151)))</f>
        <v>462.9000000000002</v>
      </c>
      <c r="EK152" s="18">
        <f>EJ152*VLOOKUP('Données projet'!$B$15,Paramètres!$A$1:$I$89,3,0)*VLOOKUP('Données projet'!$B$15,Paramètres!$A$1:$I$89,5,0)</f>
        <v>375.50448000000017</v>
      </c>
      <c r="EL152" s="14">
        <f t="shared" si="153"/>
        <v>86.79245788035638</v>
      </c>
      <c r="EM152" s="22">
        <f t="shared" si="127"/>
        <v>805.16716680828767</v>
      </c>
      <c r="EN152" s="60">
        <f t="shared" si="128"/>
        <v>1098.5005001416209</v>
      </c>
      <c r="EO152" s="60">
        <f ca="1">AVERAGE(OFFSET($EN$3,0,0,'Données projet'!$E$15+1,1))-AVERAGE(OFFSET($H$3,0,0,'Données projet'!$E$15+1,1))</f>
        <v>346.10839312896536</v>
      </c>
      <c r="EP152" s="60">
        <f t="shared" si="154"/>
        <v>196.24927250256087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5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8">
        <f t="shared" si="110"/>
        <v>586.20539479108152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335</v>
      </c>
      <c r="L153" s="13">
        <f>VLOOKUP(A153,'Données projet'!$A$35:$I$55,9,0)</f>
        <v>7.2</v>
      </c>
      <c r="M153" s="13">
        <f t="array" ref="M153">INDEX(L:L,MIN(IF(ISNUMBER(L153:L349),ROW(L153:L349),"")))</f>
        <v>7.2</v>
      </c>
      <c r="N153" s="14">
        <f>IF('Données projet'!$A$36&gt;35,N152+M153-V152,IF(A153&lt;'Données projet'!$A$36,$K$205^A153,IF(A153='Données projet'!$A$36,'Données projet'!$B$36,N152+M153-V152)))</f>
        <v>334.99999999999966</v>
      </c>
      <c r="O153" s="14">
        <f>N153*VLOOKUP('Données projet'!$B$9,Paramètres!$A$1:$I$89,3,0)*VLOOKUP('Données projet'!$B$9,Paramètres!$A$1:$I$89,5,0)</f>
        <v>303.10799999999966</v>
      </c>
      <c r="P153" s="14">
        <f t="shared" si="141"/>
        <v>71.827628304517162</v>
      </c>
      <c r="Q153" s="22">
        <f t="shared" si="108"/>
        <v>653.01288596370011</v>
      </c>
      <c r="R153" s="60">
        <f t="shared" si="109"/>
        <v>946.34621929703349</v>
      </c>
      <c r="S153" s="60">
        <f ca="1">AVERAGE(OFFSET($R$3,0,0,'Données projet'!$E$9+1,1))-AVERAGE(OFFSET($H$3,0,0,'Données projet'!$E$9+1,1))</f>
        <v>327.62615088747526</v>
      </c>
      <c r="T153" s="60">
        <f t="shared" si="142"/>
        <v>180.48047802041276</v>
      </c>
      <c r="U153" s="16">
        <f>IF(ISNA(VLOOKUP(A153,'Données projet'!$A$35:$I$55,3,0)),0,VLOOKUP(A153,'Données projet'!$A$35:$I$55,3,0))</f>
        <v>14</v>
      </c>
      <c r="V153" s="16">
        <f>IF(ISNA(VLOOKUP(A153,'Données projet'!$A$35:$I$55,4,0)),0,VLOOKUP(A153,'Données projet'!$A$35:$I$55,4,0))</f>
        <v>335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335</v>
      </c>
      <c r="AG153" s="13">
        <f>VLOOKUP(A153,'Données projet'!$A$61:$I$81,9,0)</f>
        <v>7.2</v>
      </c>
      <c r="AH153" s="13">
        <f t="array" ref="AH153">INDEX(AG:AG,MIN(IF(ISNUMBER(AG153:AG349),ROW(AG153:AG349),"")))</f>
        <v>7.2</v>
      </c>
      <c r="AI153" s="14">
        <f>IF('Données projet'!$A$62&gt;35,AI152+AH153-AQ152,IF(A153&lt;'Données projet'!$A$62,$AF$205^A153,IF(A153='Données projet'!$A$62,'Données projet'!$B$62,AI152+AH153-AQ152)))</f>
        <v>334.99999999999966</v>
      </c>
      <c r="AJ153" s="14">
        <f>AI153*VLOOKUP('Données projet'!$B$10,Paramètres!$A$1:$I$89,3,0)*VLOOKUP('Données projet'!$B$10,Paramètres!$A$1:$I$89,5,0)</f>
        <v>282.20399999999978</v>
      </c>
      <c r="AK153" s="14">
        <f t="shared" si="143"/>
        <v>67.432564684485129</v>
      </c>
      <c r="AL153" s="22">
        <f t="shared" si="112"/>
        <v>608.95035015881115</v>
      </c>
      <c r="AM153" s="60">
        <f t="shared" si="113"/>
        <v>902.28368349214452</v>
      </c>
      <c r="AN153" s="60">
        <f ca="1">AVERAGE(OFFSET($AM$3,0,0,'Données projet'!$E$10+1,1))-AVERAGE(OFFSET($H$3,0,0,'Données projet'!$E$10+1,1))</f>
        <v>295.5242128298583</v>
      </c>
      <c r="AO153" s="60">
        <f t="shared" si="144"/>
        <v>164.21740841327744</v>
      </c>
      <c r="AP153" s="16">
        <f>IF(ISNA(VLOOKUP(A153,'Données projet'!$A$61:$I$81,3,0)),0,VLOOKUP(A153,'Données projet'!$A$61:$I$81,3,0))</f>
        <v>14</v>
      </c>
      <c r="AQ153" s="16">
        <f>IF(ISNA(VLOOKUP(A153,'Données projet'!$A$61:$I$81,4,0)),0,VLOOKUP(A153,'Données projet'!$A$61:$I$81,4,0))</f>
        <v>335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5.4092197387944907E-14</v>
      </c>
      <c r="BF153" s="14">
        <f t="shared" si="145"/>
        <v>8.7287050538073676E-13</v>
      </c>
      <c r="BG153" s="22">
        <f t="shared" si="115"/>
        <v>1.6144600406554537E-12</v>
      </c>
      <c r="BH153" s="60">
        <f t="shared" si="116"/>
        <v>293.33333333333491</v>
      </c>
      <c r="BI153" s="60">
        <f ca="1">AVERAGE(OFFSET($BH$3,0,0,'Données projet'!$E$11+1,1))-AVERAGE(OFFSET($H$3,0,0,'Données projet'!$E$11+1,1))</f>
        <v>276.19649531804959</v>
      </c>
      <c r="BJ153" s="60">
        <f t="shared" si="146"/>
        <v>253.14970964973463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7.4487616075202823E-14</v>
      </c>
      <c r="CA153" s="14">
        <f t="shared" si="147"/>
        <v>1.1580453144473142E-12</v>
      </c>
      <c r="CB153" s="22">
        <f t="shared" si="118"/>
        <v>2.1466615206600508E-12</v>
      </c>
      <c r="CC153" s="60">
        <f t="shared" si="119"/>
        <v>293.33333333333547</v>
      </c>
      <c r="CD153" s="60">
        <f ca="1">AVERAGE(OFFSET($CC$3,0,0,'Données projet'!$E$12+1,1))-AVERAGE(OFFSET($H$3,0,0,'Données projet'!$E$12+1,1))</f>
        <v>154.88061446835457</v>
      </c>
      <c r="CE153" s="60">
        <f t="shared" si="148"/>
        <v>201.47826692201693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9.799745327534394E-2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9.799745327534394E-2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0" t="e">
        <f t="shared" si="122"/>
        <v>#NUM!</v>
      </c>
      <c r="CY153" s="60">
        <f ca="1">AVERAGE(OFFSET($CX$3,0,0,'Données projet'!$E$13+1,1))-AVERAGE(OFFSET($H$3,0,0,'Données projet'!$E$13+1,1))</f>
        <v>293.44206058086951</v>
      </c>
      <c r="CZ153" s="60">
        <f t="shared" si="150"/>
        <v>182.15909509186827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>
        <f>DO153*VLOOKUP('Données projet'!$B$14,Paramètres!$A$1:$I$89,3,0)*VLOOKUP('Données projet'!$B$14,Paramètres!$A$1:$I$89,5,0)</f>
        <v>0</v>
      </c>
      <c r="DQ153" s="14" t="e">
        <f t="shared" si="151"/>
        <v>#NUM!</v>
      </c>
      <c r="DR153" s="22" t="e">
        <f t="shared" si="124"/>
        <v>#NUM!</v>
      </c>
      <c r="DS153" s="60" t="e">
        <f t="shared" si="125"/>
        <v>#NUM!</v>
      </c>
      <c r="DT153" s="60">
        <f ca="1">AVERAGE(OFFSET($DS$3,0,0,'Données projet'!$E$14+1,1))-AVERAGE(OFFSET($H$3,0,0,'Données projet'!$E$14+1,1))</f>
        <v>338.92444234934266</v>
      </c>
      <c r="DU153" s="60">
        <f t="shared" si="152"/>
        <v>208.91548891910895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>
        <f>VLOOKUP(A153,'Données projet'!$A$191:$I$211,2,0)</f>
        <v>467</v>
      </c>
      <c r="EH153" s="13">
        <f>VLOOKUP(A153,'Données projet'!$A$191:$I$211,9,0)</f>
        <v>4.0999999999999996</v>
      </c>
      <c r="EI153" s="13">
        <f t="array" ref="EI153">INDEX(EH:EH,MIN(IF(ISNUMBER(EH153:EH349),ROW(EH153:EH349),"")))</f>
        <v>4.0999999999999996</v>
      </c>
      <c r="EJ153" s="13">
        <f>IF('Données projet'!$A$192&gt;35,EJ152+EI153-ER152,IF(A153&lt;'Données projet'!$A$192,$EG$205^A153,IF(A153='Données projet'!$A$192,'Données projet'!$B$192,EJ152+EI153-ER152)))</f>
        <v>467.00000000000023</v>
      </c>
      <c r="EK153" s="18">
        <f>EJ153*VLOOKUP('Données projet'!$B$15,Paramètres!$A$1:$I$89,3,0)*VLOOKUP('Données projet'!$B$15,Paramètres!$A$1:$I$89,5,0)</f>
        <v>378.83040000000017</v>
      </c>
      <c r="EL153" s="14">
        <f t="shared" si="153"/>
        <v>87.471366266753023</v>
      </c>
      <c r="EM153" s="22">
        <f t="shared" si="127"/>
        <v>812.14224291459504</v>
      </c>
      <c r="EN153" s="60">
        <f t="shared" si="128"/>
        <v>1105.4755762479283</v>
      </c>
      <c r="EO153" s="60">
        <f ca="1">AVERAGE(OFFSET($EN$3,0,0,'Données projet'!$E$15+1,1))-AVERAGE(OFFSET($H$3,0,0,'Données projet'!$E$15+1,1))</f>
        <v>346.10839312896536</v>
      </c>
      <c r="EP153" s="60">
        <f t="shared" si="154"/>
        <v>196.24927250256087</v>
      </c>
      <c r="EQ153" s="16">
        <f>IF(ISNA(VLOOKUP(A153,'Données projet'!$A$191:$I$211,3,0)),0,VLOOKUP(A153,'Données projet'!$A$191:$I$211,3,0))</f>
        <v>13</v>
      </c>
      <c r="ER153" s="16">
        <f>IF(ISNA(VLOOKUP(A153,'Données projet'!$A$191:$I$211,4,0)),0,VLOOKUP(A153,'Données projet'!$A$191:$I$211,4,0))</f>
        <v>467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5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8">
        <f t="shared" si="110"/>
        <v>588.11073590513013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-3.4106051316484809E-13</v>
      </c>
      <c r="O154" s="14">
        <f>N154*VLOOKUP('Données projet'!$B$9,Paramètres!$A$1:$I$89,3,0)*VLOOKUP('Données projet'!$B$9,Paramètres!$A$1:$I$89,5,0)</f>
        <v>-3.0859155231155454E-13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327.62615088747526</v>
      </c>
      <c r="T154" s="60">
        <f t="shared" si="142"/>
        <v>180.48047802041276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-3.4106051316484809E-13</v>
      </c>
      <c r="AJ154" s="14">
        <f>AI154*VLOOKUP('Données projet'!$B$10,Paramètres!$A$1:$I$89,3,0)*VLOOKUP('Données projet'!$B$10,Paramètres!$A$1:$I$89,5,0)</f>
        <v>-2.8730937629006804E-13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295.5242128298583</v>
      </c>
      <c r="AO154" s="60">
        <f t="shared" si="144"/>
        <v>164.21740841327744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5.4092197387944907E-14</v>
      </c>
      <c r="BF154" s="14">
        <f t="shared" ref="BF154:BF203" si="167">EXP(-1.0587+0.8836*LN(BE154)+0.284)</f>
        <v>8.7287050538073676E-13</v>
      </c>
      <c r="BG154" s="22">
        <f t="shared" ref="BG154:BG203" si="168">(BE154+BF154)*0.475*44/12</f>
        <v>1.6144600406554537E-12</v>
      </c>
      <c r="BH154" s="60">
        <f t="shared" si="116"/>
        <v>293.33333333333491</v>
      </c>
      <c r="BI154" s="60">
        <f ca="1">AVERAGE(OFFSET($BH$3,0,0,'Données projet'!$E$11+1,1))-AVERAGE(OFFSET($H$3,0,0,'Données projet'!$E$11+1,1))</f>
        <v>276.19649531804959</v>
      </c>
      <c r="BJ154" s="60">
        <f t="shared" si="146"/>
        <v>253.14970964973463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7.4487616075202823E-14</v>
      </c>
      <c r="CA154" s="14">
        <f t="shared" ref="CA154:CA203" si="170">EXP(-1.0587+0.8836*LN(BZ154)+0.284)</f>
        <v>1.1580453144473142E-12</v>
      </c>
      <c r="CB154" s="22">
        <f t="shared" ref="CB154:CB203" si="171">(BZ154+CA154)*0.475*44/12</f>
        <v>2.1466615206600508E-12</v>
      </c>
      <c r="CC154" s="60">
        <f t="shared" si="119"/>
        <v>293.33333333333547</v>
      </c>
      <c r="CD154" s="60">
        <f ca="1">AVERAGE(OFFSET($CC$3,0,0,'Données projet'!$E$12+1,1))-AVERAGE(OFFSET($H$3,0,0,'Données projet'!$E$12+1,1))</f>
        <v>154.88061446835457</v>
      </c>
      <c r="CE154" s="60">
        <f t="shared" si="148"/>
        <v>201.47826692201693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9.5317707762067563E-2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9.5317707762067563E-2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293.44206058086951</v>
      </c>
      <c r="CZ154" s="60">
        <f t="shared" si="150"/>
        <v>182.15909509186827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>
        <f>DO154*VLOOKUP('Données projet'!$B$14,Paramètres!$A$1:$I$89,3,0)*VLOOKUP('Données projet'!$B$14,Paramètres!$A$1:$I$89,5,0)</f>
        <v>0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338.92444234934266</v>
      </c>
      <c r="DU154" s="60">
        <f t="shared" si="152"/>
        <v>208.91548891910895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2.2737367544323206E-13</v>
      </c>
      <c r="EK154" s="18">
        <f>EJ154*VLOOKUP('Données projet'!$B$15,Paramètres!$A$1:$I$89,3,0)*VLOOKUP('Données projet'!$B$15,Paramètres!$A$1:$I$89,5,0)</f>
        <v>1.8444552551954985E-13</v>
      </c>
      <c r="EL154" s="14">
        <f t="shared" ref="EL154:EL203" si="179">EXP(-1.0587+0.8836*LN(EK154)+0.284)</f>
        <v>2.580317449479618E-12</v>
      </c>
      <c r="EM154" s="22">
        <f t="shared" ref="EM154:EM203" si="180">(EK154+EL154)*0.475*44/12</f>
        <v>4.8152955147902165E-12</v>
      </c>
      <c r="EN154" s="60">
        <f t="shared" si="128"/>
        <v>293.33333333333815</v>
      </c>
      <c r="EO154" s="60">
        <f ca="1">AVERAGE(OFFSET($EN$3,0,0,'Données projet'!$E$15+1,1))-AVERAGE(OFFSET($H$3,0,0,'Données projet'!$E$15+1,1))</f>
        <v>346.10839312896536</v>
      </c>
      <c r="EP154" s="60">
        <f t="shared" si="154"/>
        <v>196.24927250256087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5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8">
        <f t="shared" si="110"/>
        <v>590.0158021945839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-3.4106051316484809E-13</v>
      </c>
      <c r="O155" s="14">
        <f>N155*VLOOKUP('Données projet'!$B$9,Paramètres!$A$1:$I$89,3,0)*VLOOKUP('Données projet'!$B$9,Paramètres!$A$1:$I$89,5,0)</f>
        <v>-3.0859155231155454E-13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327.62615088747526</v>
      </c>
      <c r="T155" s="60">
        <f t="shared" si="142"/>
        <v>180.48047802041276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-3.4106051316484809E-13</v>
      </c>
      <c r="AJ155" s="14">
        <f>AI155*VLOOKUP('Données projet'!$B$10,Paramètres!$A$1:$I$89,3,0)*VLOOKUP('Données projet'!$B$10,Paramètres!$A$1:$I$89,5,0)</f>
        <v>-2.8730937629006804E-13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295.5242128298583</v>
      </c>
      <c r="AO155" s="60">
        <f t="shared" si="144"/>
        <v>164.21740841327744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5.4092197387944907E-14</v>
      </c>
      <c r="BF155" s="14">
        <f t="shared" si="167"/>
        <v>8.7287050538073676E-13</v>
      </c>
      <c r="BG155" s="22">
        <f t="shared" si="168"/>
        <v>1.6144600406554537E-12</v>
      </c>
      <c r="BH155" s="60">
        <f t="shared" si="116"/>
        <v>293.33333333333491</v>
      </c>
      <c r="BI155" s="60">
        <f ca="1">AVERAGE(OFFSET($BH$3,0,0,'Données projet'!$E$11+1,1))-AVERAGE(OFFSET($H$3,0,0,'Données projet'!$E$11+1,1))</f>
        <v>276.19649531804959</v>
      </c>
      <c r="BJ155" s="60">
        <f t="shared" si="146"/>
        <v>253.14970964973463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7.4487616075202823E-14</v>
      </c>
      <c r="CA155" s="14">
        <f t="shared" si="170"/>
        <v>1.1580453144473142E-12</v>
      </c>
      <c r="CB155" s="22">
        <f t="shared" si="171"/>
        <v>2.1466615206600508E-12</v>
      </c>
      <c r="CC155" s="60">
        <f t="shared" si="119"/>
        <v>293.33333333333547</v>
      </c>
      <c r="CD155" s="60">
        <f ca="1">AVERAGE(OFFSET($CC$3,0,0,'Données projet'!$E$12+1,1))-AVERAGE(OFFSET($H$3,0,0,'Données projet'!$E$12+1,1))</f>
        <v>154.88061446835457</v>
      </c>
      <c r="CE155" s="60">
        <f t="shared" si="148"/>
        <v>201.47826692201693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9.2711240030773426E-2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9.2711240030773426E-2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293.44206058086951</v>
      </c>
      <c r="CZ155" s="60">
        <f t="shared" si="150"/>
        <v>182.15909509186827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>
        <f>DO155*VLOOKUP('Données projet'!$B$14,Paramètres!$A$1:$I$89,3,0)*VLOOKUP('Données projet'!$B$14,Paramètres!$A$1:$I$89,5,0)</f>
        <v>0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338.92444234934266</v>
      </c>
      <c r="DU155" s="60">
        <f t="shared" si="152"/>
        <v>208.91548891910895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2.2737367544323206E-13</v>
      </c>
      <c r="EK155" s="18">
        <f>EJ155*VLOOKUP('Données projet'!$B$15,Paramètres!$A$1:$I$89,3,0)*VLOOKUP('Données projet'!$B$15,Paramètres!$A$1:$I$89,5,0)</f>
        <v>1.8444552551954985E-13</v>
      </c>
      <c r="EL155" s="14">
        <f t="shared" si="179"/>
        <v>2.580317449479618E-12</v>
      </c>
      <c r="EM155" s="22">
        <f t="shared" si="180"/>
        <v>4.8152955147902165E-12</v>
      </c>
      <c r="EN155" s="60">
        <f t="shared" si="128"/>
        <v>293.33333333333815</v>
      </c>
      <c r="EO155" s="60">
        <f ca="1">AVERAGE(OFFSET($EN$3,0,0,'Données projet'!$E$15+1,1))-AVERAGE(OFFSET($H$3,0,0,'Données projet'!$E$15+1,1))</f>
        <v>346.10839312896536</v>
      </c>
      <c r="EP155" s="60">
        <f t="shared" si="154"/>
        <v>196.24927250256087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5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8">
        <f t="shared" si="110"/>
        <v>591.92059567721367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-3.4106051316484809E-13</v>
      </c>
      <c r="O156" s="14">
        <f>N156*VLOOKUP('Données projet'!$B$9,Paramètres!$A$1:$I$89,3,0)*VLOOKUP('Données projet'!$B$9,Paramètres!$A$1:$I$89,5,0)</f>
        <v>-3.0859155231155454E-13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327.62615088747526</v>
      </c>
      <c r="T156" s="60">
        <f t="shared" si="142"/>
        <v>180.48047802041276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-3.4106051316484809E-13</v>
      </c>
      <c r="AJ156" s="14">
        <f>AI156*VLOOKUP('Données projet'!$B$10,Paramètres!$A$1:$I$89,3,0)*VLOOKUP('Données projet'!$B$10,Paramètres!$A$1:$I$89,5,0)</f>
        <v>-2.8730937629006804E-13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295.5242128298583</v>
      </c>
      <c r="AO156" s="60">
        <f t="shared" si="144"/>
        <v>164.21740841327744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5.4092197387944907E-14</v>
      </c>
      <c r="BF156" s="14">
        <f t="shared" si="167"/>
        <v>8.7287050538073676E-13</v>
      </c>
      <c r="BG156" s="22">
        <f t="shared" si="168"/>
        <v>1.6144600406554537E-12</v>
      </c>
      <c r="BH156" s="60">
        <f t="shared" si="116"/>
        <v>293.33333333333491</v>
      </c>
      <c r="BI156" s="60">
        <f ca="1">AVERAGE(OFFSET($BH$3,0,0,'Données projet'!$E$11+1,1))-AVERAGE(OFFSET($H$3,0,0,'Données projet'!$E$11+1,1))</f>
        <v>276.19649531804959</v>
      </c>
      <c r="BJ156" s="60">
        <f t="shared" si="146"/>
        <v>253.14970964973463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7.4487616075202823E-14</v>
      </c>
      <c r="CA156" s="14">
        <f t="shared" si="170"/>
        <v>1.1580453144473142E-12</v>
      </c>
      <c r="CB156" s="22">
        <f t="shared" si="171"/>
        <v>2.1466615206600508E-12</v>
      </c>
      <c r="CC156" s="60">
        <f t="shared" si="119"/>
        <v>293.33333333333547</v>
      </c>
      <c r="CD156" s="60">
        <f ca="1">AVERAGE(OFFSET($CC$3,0,0,'Données projet'!$E$12+1,1))-AVERAGE(OFFSET($H$3,0,0,'Données projet'!$E$12+1,1))</f>
        <v>154.88061446835457</v>
      </c>
      <c r="CE156" s="60">
        <f t="shared" si="148"/>
        <v>201.47826692201693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9.0176046296659707E-2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9.0176046296659707E-2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293.44206058086951</v>
      </c>
      <c r="CZ156" s="60">
        <f t="shared" si="150"/>
        <v>182.15909509186827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>
        <f>DO156*VLOOKUP('Données projet'!$B$14,Paramètres!$A$1:$I$89,3,0)*VLOOKUP('Données projet'!$B$14,Paramètres!$A$1:$I$89,5,0)</f>
        <v>0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338.92444234934266</v>
      </c>
      <c r="DU156" s="60">
        <f t="shared" si="152"/>
        <v>208.91548891910895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2.2737367544323206E-13</v>
      </c>
      <c r="EK156" s="18">
        <f>EJ156*VLOOKUP('Données projet'!$B$15,Paramètres!$A$1:$I$89,3,0)*VLOOKUP('Données projet'!$B$15,Paramètres!$A$1:$I$89,5,0)</f>
        <v>1.8444552551954985E-13</v>
      </c>
      <c r="EL156" s="14">
        <f t="shared" si="179"/>
        <v>2.580317449479618E-12</v>
      </c>
      <c r="EM156" s="22">
        <f t="shared" si="180"/>
        <v>4.8152955147902165E-12</v>
      </c>
      <c r="EN156" s="60">
        <f t="shared" si="128"/>
        <v>293.33333333333815</v>
      </c>
      <c r="EO156" s="60">
        <f ca="1">AVERAGE(OFFSET($EN$3,0,0,'Données projet'!$E$15+1,1))-AVERAGE(OFFSET($H$3,0,0,'Données projet'!$E$15+1,1))</f>
        <v>346.10839312896536</v>
      </c>
      <c r="EP156" s="60">
        <f t="shared" si="154"/>
        <v>196.24927250256087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5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8">
        <f t="shared" si="110"/>
        <v>593.82511834288903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-3.4106051316484809E-13</v>
      </c>
      <c r="O157" s="14">
        <f>N157*VLOOKUP('Données projet'!$B$9,Paramètres!$A$1:$I$89,3,0)*VLOOKUP('Données projet'!$B$9,Paramètres!$A$1:$I$89,5,0)</f>
        <v>-3.0859155231155454E-13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327.62615088747526</v>
      </c>
      <c r="T157" s="60">
        <f t="shared" si="142"/>
        <v>180.48047802041276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-3.4106051316484809E-13</v>
      </c>
      <c r="AJ157" s="14">
        <f>AI157*VLOOKUP('Données projet'!$B$10,Paramètres!$A$1:$I$89,3,0)*VLOOKUP('Données projet'!$B$10,Paramètres!$A$1:$I$89,5,0)</f>
        <v>-2.8730937629006804E-13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295.5242128298583</v>
      </c>
      <c r="AO157" s="60">
        <f t="shared" si="144"/>
        <v>164.21740841327744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5.4092197387944907E-14</v>
      </c>
      <c r="BF157" s="14">
        <f t="shared" si="167"/>
        <v>8.7287050538073676E-13</v>
      </c>
      <c r="BG157" s="22">
        <f t="shared" si="168"/>
        <v>1.6144600406554537E-12</v>
      </c>
      <c r="BH157" s="60">
        <f t="shared" si="116"/>
        <v>293.33333333333491</v>
      </c>
      <c r="BI157" s="60">
        <f ca="1">AVERAGE(OFFSET($BH$3,0,0,'Données projet'!$E$11+1,1))-AVERAGE(OFFSET($H$3,0,0,'Données projet'!$E$11+1,1))</f>
        <v>276.19649531804959</v>
      </c>
      <c r="BJ157" s="60">
        <f t="shared" si="146"/>
        <v>253.14970964973463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7.4487616075202823E-14</v>
      </c>
      <c r="CA157" s="14">
        <f t="shared" si="170"/>
        <v>1.1580453144473142E-12</v>
      </c>
      <c r="CB157" s="22">
        <f t="shared" si="171"/>
        <v>2.1466615206600508E-12</v>
      </c>
      <c r="CC157" s="60">
        <f t="shared" si="119"/>
        <v>293.33333333333547</v>
      </c>
      <c r="CD157" s="60">
        <f ca="1">AVERAGE(OFFSET($CC$3,0,0,'Données projet'!$E$12+1,1))-AVERAGE(OFFSET($H$3,0,0,'Données projet'!$E$12+1,1))</f>
        <v>154.88061446835457</v>
      </c>
      <c r="CE157" s="60">
        <f t="shared" si="148"/>
        <v>201.47826692201693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8.7710177568525366E-2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8.7710177568525366E-2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293.44206058086951</v>
      </c>
      <c r="CZ157" s="60">
        <f t="shared" si="150"/>
        <v>182.15909509186827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>
        <f>DO157*VLOOKUP('Données projet'!$B$14,Paramètres!$A$1:$I$89,3,0)*VLOOKUP('Données projet'!$B$14,Paramètres!$A$1:$I$89,5,0)</f>
        <v>0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338.92444234934266</v>
      </c>
      <c r="DU157" s="60">
        <f t="shared" si="152"/>
        <v>208.91548891910895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2.2737367544323206E-13</v>
      </c>
      <c r="EK157" s="18">
        <f>EJ157*VLOOKUP('Données projet'!$B$15,Paramètres!$A$1:$I$89,3,0)*VLOOKUP('Données projet'!$B$15,Paramètres!$A$1:$I$89,5,0)</f>
        <v>1.8444552551954985E-13</v>
      </c>
      <c r="EL157" s="14">
        <f t="shared" si="179"/>
        <v>2.580317449479618E-12</v>
      </c>
      <c r="EM157" s="22">
        <f t="shared" si="180"/>
        <v>4.8152955147902165E-12</v>
      </c>
      <c r="EN157" s="60">
        <f t="shared" si="128"/>
        <v>293.33333333333815</v>
      </c>
      <c r="EO157" s="60">
        <f ca="1">AVERAGE(OFFSET($EN$3,0,0,'Données projet'!$E$15+1,1))-AVERAGE(OFFSET($H$3,0,0,'Données projet'!$E$15+1,1))</f>
        <v>346.10839312896536</v>
      </c>
      <c r="EP157" s="60">
        <f t="shared" si="154"/>
        <v>196.24927250256087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5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8">
        <f t="shared" si="110"/>
        <v>595.72937215414299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-3.4106051316484809E-13</v>
      </c>
      <c r="O158" s="14">
        <f>N158*VLOOKUP('Données projet'!$B$9,Paramètres!$A$1:$I$89,3,0)*VLOOKUP('Données projet'!$B$9,Paramètres!$A$1:$I$89,5,0)</f>
        <v>-3.0859155231155454E-13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327.62615088747526</v>
      </c>
      <c r="T158" s="60">
        <f t="shared" si="142"/>
        <v>180.48047802041276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-3.4106051316484809E-13</v>
      </c>
      <c r="AJ158" s="14">
        <f>AI158*VLOOKUP('Données projet'!$B$10,Paramètres!$A$1:$I$89,3,0)*VLOOKUP('Données projet'!$B$10,Paramètres!$A$1:$I$89,5,0)</f>
        <v>-2.8730937629006804E-13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295.5242128298583</v>
      </c>
      <c r="AO158" s="60">
        <f t="shared" si="144"/>
        <v>164.21740841327744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5.4092197387944907E-14</v>
      </c>
      <c r="BF158" s="14">
        <f t="shared" si="167"/>
        <v>8.7287050538073676E-13</v>
      </c>
      <c r="BG158" s="22">
        <f t="shared" si="168"/>
        <v>1.6144600406554537E-12</v>
      </c>
      <c r="BH158" s="60">
        <f t="shared" si="116"/>
        <v>293.33333333333491</v>
      </c>
      <c r="BI158" s="60">
        <f ca="1">AVERAGE(OFFSET($BH$3,0,0,'Données projet'!$E$11+1,1))-AVERAGE(OFFSET($H$3,0,0,'Données projet'!$E$11+1,1))</f>
        <v>276.19649531804959</v>
      </c>
      <c r="BJ158" s="60">
        <f t="shared" si="146"/>
        <v>253.14970964973463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7.4487616075202823E-14</v>
      </c>
      <c r="CA158" s="14">
        <f t="shared" si="170"/>
        <v>1.1580453144473142E-12</v>
      </c>
      <c r="CB158" s="22">
        <f t="shared" si="171"/>
        <v>2.1466615206600508E-12</v>
      </c>
      <c r="CC158" s="60">
        <f t="shared" si="119"/>
        <v>293.33333333333547</v>
      </c>
      <c r="CD158" s="60">
        <f ca="1">AVERAGE(OFFSET($CC$3,0,0,'Données projet'!$E$12+1,1))-AVERAGE(OFFSET($H$3,0,0,'Données projet'!$E$12+1,1))</f>
        <v>154.88061446835457</v>
      </c>
      <c r="CE158" s="60">
        <f t="shared" si="148"/>
        <v>201.47826692201693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8.5311738150436273E-2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8.5311738150436273E-2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293.44206058086951</v>
      </c>
      <c r="CZ158" s="60">
        <f t="shared" si="150"/>
        <v>182.15909509186827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>
        <f>DO158*VLOOKUP('Données projet'!$B$14,Paramètres!$A$1:$I$89,3,0)*VLOOKUP('Données projet'!$B$14,Paramètres!$A$1:$I$89,5,0)</f>
        <v>0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338.92444234934266</v>
      </c>
      <c r="DU158" s="60">
        <f t="shared" si="152"/>
        <v>208.91548891910895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2.2737367544323206E-13</v>
      </c>
      <c r="EK158" s="18">
        <f>EJ158*VLOOKUP('Données projet'!$B$15,Paramètres!$A$1:$I$89,3,0)*VLOOKUP('Données projet'!$B$15,Paramètres!$A$1:$I$89,5,0)</f>
        <v>1.8444552551954985E-13</v>
      </c>
      <c r="EL158" s="14">
        <f t="shared" si="179"/>
        <v>2.580317449479618E-12</v>
      </c>
      <c r="EM158" s="22">
        <f t="shared" si="180"/>
        <v>4.8152955147902165E-12</v>
      </c>
      <c r="EN158" s="60">
        <f t="shared" si="128"/>
        <v>293.33333333333815</v>
      </c>
      <c r="EO158" s="60">
        <f ca="1">AVERAGE(OFFSET($EN$3,0,0,'Données projet'!$E$15+1,1))-AVERAGE(OFFSET($H$3,0,0,'Données projet'!$E$15+1,1))</f>
        <v>346.10839312896536</v>
      </c>
      <c r="EP158" s="60">
        <f t="shared" si="154"/>
        <v>196.24927250256087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5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8">
        <f t="shared" si="110"/>
        <v>597.63335904672135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-3.4106051316484809E-13</v>
      </c>
      <c r="O159" s="14">
        <f>N159*VLOOKUP('Données projet'!$B$9,Paramètres!$A$1:$I$89,3,0)*VLOOKUP('Données projet'!$B$9,Paramètres!$A$1:$I$89,5,0)</f>
        <v>-3.0859155231155454E-13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327.62615088747526</v>
      </c>
      <c r="T159" s="60">
        <f t="shared" si="142"/>
        <v>180.48047802041276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-3.4106051316484809E-13</v>
      </c>
      <c r="AJ159" s="14">
        <f>AI159*VLOOKUP('Données projet'!$B$10,Paramètres!$A$1:$I$89,3,0)*VLOOKUP('Données projet'!$B$10,Paramètres!$A$1:$I$89,5,0)</f>
        <v>-2.8730937629006804E-13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295.5242128298583</v>
      </c>
      <c r="AO159" s="60">
        <f t="shared" si="144"/>
        <v>164.21740841327744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5.4092197387944907E-14</v>
      </c>
      <c r="BF159" s="14">
        <f t="shared" si="167"/>
        <v>8.7287050538073676E-13</v>
      </c>
      <c r="BG159" s="22">
        <f t="shared" si="168"/>
        <v>1.6144600406554537E-12</v>
      </c>
      <c r="BH159" s="60">
        <f t="shared" si="116"/>
        <v>293.33333333333491</v>
      </c>
      <c r="BI159" s="60">
        <f ca="1">AVERAGE(OFFSET($BH$3,0,0,'Données projet'!$E$11+1,1))-AVERAGE(OFFSET($H$3,0,0,'Données projet'!$E$11+1,1))</f>
        <v>276.19649531804959</v>
      </c>
      <c r="BJ159" s="60">
        <f t="shared" si="146"/>
        <v>253.14970964973463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7.4487616075202823E-14</v>
      </c>
      <c r="CA159" s="14">
        <f t="shared" si="170"/>
        <v>1.1580453144473142E-12</v>
      </c>
      <c r="CB159" s="22">
        <f t="shared" si="171"/>
        <v>2.1466615206600508E-12</v>
      </c>
      <c r="CC159" s="60">
        <f t="shared" si="119"/>
        <v>293.33333333333547</v>
      </c>
      <c r="CD159" s="60">
        <f ca="1">AVERAGE(OFFSET($CC$3,0,0,'Données projet'!$E$12+1,1))-AVERAGE(OFFSET($H$3,0,0,'Données projet'!$E$12+1,1))</f>
        <v>154.88061446835457</v>
      </c>
      <c r="CE159" s="60">
        <f t="shared" si="148"/>
        <v>201.47826692201693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8.2978884184363264E-2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8.2978884184363264E-2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293.44206058086951</v>
      </c>
      <c r="CZ159" s="60">
        <f t="shared" si="150"/>
        <v>182.15909509186827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>
        <f>DO159*VLOOKUP('Données projet'!$B$14,Paramètres!$A$1:$I$89,3,0)*VLOOKUP('Données projet'!$B$14,Paramètres!$A$1:$I$89,5,0)</f>
        <v>0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338.92444234934266</v>
      </c>
      <c r="DU159" s="60">
        <f t="shared" si="152"/>
        <v>208.91548891910895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2.2737367544323206E-13</v>
      </c>
      <c r="EK159" s="18">
        <f>EJ159*VLOOKUP('Données projet'!$B$15,Paramètres!$A$1:$I$89,3,0)*VLOOKUP('Données projet'!$B$15,Paramètres!$A$1:$I$89,5,0)</f>
        <v>1.8444552551954985E-13</v>
      </c>
      <c r="EL159" s="14">
        <f t="shared" si="179"/>
        <v>2.580317449479618E-12</v>
      </c>
      <c r="EM159" s="22">
        <f t="shared" si="180"/>
        <v>4.8152955147902165E-12</v>
      </c>
      <c r="EN159" s="60">
        <f t="shared" si="128"/>
        <v>293.33333333333815</v>
      </c>
      <c r="EO159" s="60">
        <f ca="1">AVERAGE(OFFSET($EN$3,0,0,'Données projet'!$E$15+1,1))-AVERAGE(OFFSET($H$3,0,0,'Données projet'!$E$15+1,1))</f>
        <v>346.10839312896536</v>
      </c>
      <c r="EP159" s="60">
        <f t="shared" si="154"/>
        <v>196.24927250256087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5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8">
        <f t="shared" si="110"/>
        <v>599.53708093011733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-3.4106051316484809E-13</v>
      </c>
      <c r="O160" s="14">
        <f>N160*VLOOKUP('Données projet'!$B$9,Paramètres!$A$1:$I$89,3,0)*VLOOKUP('Données projet'!$B$9,Paramètres!$A$1:$I$89,5,0)</f>
        <v>-3.0859155231155454E-13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327.62615088747526</v>
      </c>
      <c r="T160" s="60">
        <f t="shared" si="142"/>
        <v>180.48047802041276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-3.4106051316484809E-13</v>
      </c>
      <c r="AJ160" s="14">
        <f>AI160*VLOOKUP('Données projet'!$B$10,Paramètres!$A$1:$I$89,3,0)*VLOOKUP('Données projet'!$B$10,Paramètres!$A$1:$I$89,5,0)</f>
        <v>-2.8730937629006804E-13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295.5242128298583</v>
      </c>
      <c r="AO160" s="60">
        <f t="shared" si="144"/>
        <v>164.21740841327744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5.4092197387944907E-14</v>
      </c>
      <c r="BF160" s="14">
        <f t="shared" si="167"/>
        <v>8.7287050538073676E-13</v>
      </c>
      <c r="BG160" s="22">
        <f t="shared" si="168"/>
        <v>1.6144600406554537E-12</v>
      </c>
      <c r="BH160" s="60">
        <f t="shared" si="116"/>
        <v>293.33333333333491</v>
      </c>
      <c r="BI160" s="60">
        <f ca="1">AVERAGE(OFFSET($BH$3,0,0,'Données projet'!$E$11+1,1))-AVERAGE(OFFSET($H$3,0,0,'Données projet'!$E$11+1,1))</f>
        <v>276.19649531804959</v>
      </c>
      <c r="BJ160" s="60">
        <f t="shared" si="146"/>
        <v>253.14970964973463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7.4487616075202823E-14</v>
      </c>
      <c r="CA160" s="14">
        <f t="shared" si="170"/>
        <v>1.1580453144473142E-12</v>
      </c>
      <c r="CB160" s="22">
        <f t="shared" si="171"/>
        <v>2.1466615206600508E-12</v>
      </c>
      <c r="CC160" s="60">
        <f t="shared" si="119"/>
        <v>293.33333333333547</v>
      </c>
      <c r="CD160" s="60">
        <f ca="1">AVERAGE(OFFSET($CC$3,0,0,'Données projet'!$E$12+1,1))-AVERAGE(OFFSET($H$3,0,0,'Données projet'!$E$12+1,1))</f>
        <v>154.88061446835457</v>
      </c>
      <c r="CE160" s="60">
        <f t="shared" si="148"/>
        <v>201.47826692201693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8.0709822232671979E-2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8.0709822232671979E-2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293.44206058086951</v>
      </c>
      <c r="CZ160" s="60">
        <f t="shared" si="150"/>
        <v>182.15909509186827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>
        <f>DO160*VLOOKUP('Données projet'!$B$14,Paramètres!$A$1:$I$89,3,0)*VLOOKUP('Données projet'!$B$14,Paramètres!$A$1:$I$89,5,0)</f>
        <v>0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338.92444234934266</v>
      </c>
      <c r="DU160" s="60">
        <f t="shared" si="152"/>
        <v>208.91548891910895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2.2737367544323206E-13</v>
      </c>
      <c r="EK160" s="18">
        <f>EJ160*VLOOKUP('Données projet'!$B$15,Paramètres!$A$1:$I$89,3,0)*VLOOKUP('Données projet'!$B$15,Paramètres!$A$1:$I$89,5,0)</f>
        <v>1.8444552551954985E-13</v>
      </c>
      <c r="EL160" s="14">
        <f t="shared" si="179"/>
        <v>2.580317449479618E-12</v>
      </c>
      <c r="EM160" s="22">
        <f t="shared" si="180"/>
        <v>4.8152955147902165E-12</v>
      </c>
      <c r="EN160" s="60">
        <f t="shared" si="128"/>
        <v>293.33333333333815</v>
      </c>
      <c r="EO160" s="60">
        <f ca="1">AVERAGE(OFFSET($EN$3,0,0,'Données projet'!$E$15+1,1))-AVERAGE(OFFSET($H$3,0,0,'Données projet'!$E$15+1,1))</f>
        <v>346.10839312896536</v>
      </c>
      <c r="EP160" s="60">
        <f t="shared" si="154"/>
        <v>196.24927250256087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5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8">
        <f t="shared" si="110"/>
        <v>601.44053968809271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-3.4106051316484809E-13</v>
      </c>
      <c r="O161" s="14">
        <f>N161*VLOOKUP('Données projet'!$B$9,Paramètres!$A$1:$I$89,3,0)*VLOOKUP('Données projet'!$B$9,Paramètres!$A$1:$I$89,5,0)</f>
        <v>-3.0859155231155454E-13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327.62615088747526</v>
      </c>
      <c r="T161" s="60">
        <f t="shared" si="142"/>
        <v>180.48047802041276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-3.4106051316484809E-13</v>
      </c>
      <c r="AJ161" s="14">
        <f>AI161*VLOOKUP('Données projet'!$B$10,Paramètres!$A$1:$I$89,3,0)*VLOOKUP('Données projet'!$B$10,Paramètres!$A$1:$I$89,5,0)</f>
        <v>-2.8730937629006804E-13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295.5242128298583</v>
      </c>
      <c r="AO161" s="60">
        <f t="shared" si="144"/>
        <v>164.21740841327744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5.4092197387944907E-14</v>
      </c>
      <c r="BF161" s="14">
        <f t="shared" si="167"/>
        <v>8.7287050538073676E-13</v>
      </c>
      <c r="BG161" s="22">
        <f t="shared" si="168"/>
        <v>1.6144600406554537E-12</v>
      </c>
      <c r="BH161" s="60">
        <f t="shared" si="116"/>
        <v>293.33333333333491</v>
      </c>
      <c r="BI161" s="60">
        <f ca="1">AVERAGE(OFFSET($BH$3,0,0,'Données projet'!$E$11+1,1))-AVERAGE(OFFSET($H$3,0,0,'Données projet'!$E$11+1,1))</f>
        <v>276.19649531804959</v>
      </c>
      <c r="BJ161" s="60">
        <f t="shared" si="146"/>
        <v>253.14970964973463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7.4487616075202823E-14</v>
      </c>
      <c r="CA161" s="14">
        <f t="shared" si="170"/>
        <v>1.1580453144473142E-12</v>
      </c>
      <c r="CB161" s="22">
        <f t="shared" si="171"/>
        <v>2.1466615206600508E-12</v>
      </c>
      <c r="CC161" s="60">
        <f t="shared" si="119"/>
        <v>293.33333333333547</v>
      </c>
      <c r="CD161" s="60">
        <f ca="1">AVERAGE(OFFSET($CC$3,0,0,'Données projet'!$E$12+1,1))-AVERAGE(OFFSET($H$3,0,0,'Données projet'!$E$12+1,1))</f>
        <v>154.88061446835457</v>
      </c>
      <c r="CE161" s="60">
        <f t="shared" si="148"/>
        <v>201.47826692201693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7.8502807899374472E-2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7.8502807899374472E-2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293.44206058086951</v>
      </c>
      <c r="CZ161" s="60">
        <f t="shared" si="150"/>
        <v>182.15909509186827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>
        <f>DO161*VLOOKUP('Données projet'!$B$14,Paramètres!$A$1:$I$89,3,0)*VLOOKUP('Données projet'!$B$14,Paramètres!$A$1:$I$89,5,0)</f>
        <v>0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338.92444234934266</v>
      </c>
      <c r="DU161" s="60">
        <f t="shared" si="152"/>
        <v>208.91548891910895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2.2737367544323206E-13</v>
      </c>
      <c r="EK161" s="18">
        <f>EJ161*VLOOKUP('Données projet'!$B$15,Paramètres!$A$1:$I$89,3,0)*VLOOKUP('Données projet'!$B$15,Paramètres!$A$1:$I$89,5,0)</f>
        <v>1.8444552551954985E-13</v>
      </c>
      <c r="EL161" s="14">
        <f t="shared" si="179"/>
        <v>2.580317449479618E-12</v>
      </c>
      <c r="EM161" s="22">
        <f t="shared" si="180"/>
        <v>4.8152955147902165E-12</v>
      </c>
      <c r="EN161" s="60">
        <f t="shared" si="128"/>
        <v>293.33333333333815</v>
      </c>
      <c r="EO161" s="60">
        <f ca="1">AVERAGE(OFFSET($EN$3,0,0,'Données projet'!$E$15+1,1))-AVERAGE(OFFSET($H$3,0,0,'Données projet'!$E$15+1,1))</f>
        <v>346.10839312896536</v>
      </c>
      <c r="EP161" s="60">
        <f t="shared" si="154"/>
        <v>196.24927250256087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5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8">
        <f t="shared" si="110"/>
        <v>603.34373717918538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-3.4106051316484809E-13</v>
      </c>
      <c r="O162" s="14">
        <f>N162*VLOOKUP('Données projet'!$B$9,Paramètres!$A$1:$I$89,3,0)*VLOOKUP('Données projet'!$B$9,Paramètres!$A$1:$I$89,5,0)</f>
        <v>-3.0859155231155454E-13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327.62615088747526</v>
      </c>
      <c r="T162" s="60">
        <f t="shared" si="142"/>
        <v>180.48047802041276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-3.4106051316484809E-13</v>
      </c>
      <c r="AJ162" s="14">
        <f>AI162*VLOOKUP('Données projet'!$B$10,Paramètres!$A$1:$I$89,3,0)*VLOOKUP('Données projet'!$B$10,Paramètres!$A$1:$I$89,5,0)</f>
        <v>-2.8730937629006804E-13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295.5242128298583</v>
      </c>
      <c r="AO162" s="60">
        <f t="shared" si="144"/>
        <v>164.21740841327744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5.4092197387944907E-14</v>
      </c>
      <c r="BF162" s="14">
        <f t="shared" si="167"/>
        <v>8.7287050538073676E-13</v>
      </c>
      <c r="BG162" s="22">
        <f t="shared" si="168"/>
        <v>1.6144600406554537E-12</v>
      </c>
      <c r="BH162" s="60">
        <f t="shared" si="116"/>
        <v>293.33333333333491</v>
      </c>
      <c r="BI162" s="60">
        <f ca="1">AVERAGE(OFFSET($BH$3,0,0,'Données projet'!$E$11+1,1))-AVERAGE(OFFSET($H$3,0,0,'Données projet'!$E$11+1,1))</f>
        <v>276.19649531804959</v>
      </c>
      <c r="BJ162" s="60">
        <f t="shared" si="146"/>
        <v>253.14970964973463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7.4487616075202823E-14</v>
      </c>
      <c r="CA162" s="14">
        <f t="shared" si="170"/>
        <v>1.1580453144473142E-12</v>
      </c>
      <c r="CB162" s="22">
        <f t="shared" si="171"/>
        <v>2.1466615206600508E-12</v>
      </c>
      <c r="CC162" s="60">
        <f t="shared" si="119"/>
        <v>293.33333333333547</v>
      </c>
      <c r="CD162" s="60">
        <f ca="1">AVERAGE(OFFSET($CC$3,0,0,'Données projet'!$E$12+1,1))-AVERAGE(OFFSET($H$3,0,0,'Données projet'!$E$12+1,1))</f>
        <v>154.88061446835457</v>
      </c>
      <c r="CE162" s="60">
        <f t="shared" si="148"/>
        <v>201.47826692201693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7.6356144489082831E-2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7.6356144489082831E-2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293.44206058086951</v>
      </c>
      <c r="CZ162" s="60">
        <f t="shared" si="150"/>
        <v>182.15909509186827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>
        <f>DO162*VLOOKUP('Données projet'!$B$14,Paramètres!$A$1:$I$89,3,0)*VLOOKUP('Données projet'!$B$14,Paramètres!$A$1:$I$89,5,0)</f>
        <v>0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338.92444234934266</v>
      </c>
      <c r="DU162" s="60">
        <f t="shared" si="152"/>
        <v>208.91548891910895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2.2737367544323206E-13</v>
      </c>
      <c r="EK162" s="18">
        <f>EJ162*VLOOKUP('Données projet'!$B$15,Paramètres!$A$1:$I$89,3,0)*VLOOKUP('Données projet'!$B$15,Paramètres!$A$1:$I$89,5,0)</f>
        <v>1.8444552551954985E-13</v>
      </c>
      <c r="EL162" s="14">
        <f t="shared" si="179"/>
        <v>2.580317449479618E-12</v>
      </c>
      <c r="EM162" s="22">
        <f t="shared" si="180"/>
        <v>4.8152955147902165E-12</v>
      </c>
      <c r="EN162" s="60">
        <f t="shared" si="128"/>
        <v>293.33333333333815</v>
      </c>
      <c r="EO162" s="60">
        <f ca="1">AVERAGE(OFFSET($EN$3,0,0,'Données projet'!$E$15+1,1))-AVERAGE(OFFSET($H$3,0,0,'Données projet'!$E$15+1,1))</f>
        <v>346.10839312896536</v>
      </c>
      <c r="EP162" s="60">
        <f t="shared" si="154"/>
        <v>196.24927250256087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5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8">
        <f t="shared" si="110"/>
        <v>605.24667523720336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-3.4106051316484809E-13</v>
      </c>
      <c r="O163" s="14">
        <f>N163*VLOOKUP('Données projet'!$B$9,Paramètres!$A$1:$I$89,3,0)*VLOOKUP('Données projet'!$B$9,Paramètres!$A$1:$I$89,5,0)</f>
        <v>-3.0859155231155454E-13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327.62615088747526</v>
      </c>
      <c r="T163" s="60">
        <f t="shared" si="142"/>
        <v>180.48047802041276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-3.4106051316484809E-13</v>
      </c>
      <c r="AJ163" s="14">
        <f>AI163*VLOOKUP('Données projet'!$B$10,Paramètres!$A$1:$I$89,3,0)*VLOOKUP('Données projet'!$B$10,Paramètres!$A$1:$I$89,5,0)</f>
        <v>-2.8730937629006804E-13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295.5242128298583</v>
      </c>
      <c r="AO163" s="60">
        <f t="shared" si="144"/>
        <v>164.21740841327744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5.4092197387944907E-14</v>
      </c>
      <c r="BF163" s="14">
        <f t="shared" si="167"/>
        <v>8.7287050538073676E-13</v>
      </c>
      <c r="BG163" s="22">
        <f t="shared" si="168"/>
        <v>1.6144600406554537E-12</v>
      </c>
      <c r="BH163" s="60">
        <f t="shared" si="116"/>
        <v>293.33333333333491</v>
      </c>
      <c r="BI163" s="60">
        <f ca="1">AVERAGE(OFFSET($BH$3,0,0,'Données projet'!$E$11+1,1))-AVERAGE(OFFSET($H$3,0,0,'Données projet'!$E$11+1,1))</f>
        <v>276.19649531804959</v>
      </c>
      <c r="BJ163" s="60">
        <f t="shared" si="146"/>
        <v>253.14970964973463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7.4487616075202823E-14</v>
      </c>
      <c r="CA163" s="14">
        <f t="shared" si="170"/>
        <v>1.1580453144473142E-12</v>
      </c>
      <c r="CB163" s="22">
        <f t="shared" si="171"/>
        <v>2.1466615206600508E-12</v>
      </c>
      <c r="CC163" s="60">
        <f t="shared" si="119"/>
        <v>293.33333333333547</v>
      </c>
      <c r="CD163" s="60">
        <f ca="1">AVERAGE(OFFSET($CC$3,0,0,'Données projet'!$E$12+1,1))-AVERAGE(OFFSET($H$3,0,0,'Données projet'!$E$12+1,1))</f>
        <v>154.88061446835457</v>
      </c>
      <c r="CE163" s="60">
        <f t="shared" si="148"/>
        <v>201.47826692201693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7.4268181702633732E-2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7.4268181702633732E-2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293.44206058086951</v>
      </c>
      <c r="CZ163" s="60">
        <f t="shared" si="150"/>
        <v>182.15909509186827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>
        <f>DO163*VLOOKUP('Données projet'!$B$14,Paramètres!$A$1:$I$89,3,0)*VLOOKUP('Données projet'!$B$14,Paramètres!$A$1:$I$89,5,0)</f>
        <v>0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338.92444234934266</v>
      </c>
      <c r="DU163" s="60">
        <f t="shared" si="152"/>
        <v>208.91548891910895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2.2737367544323206E-13</v>
      </c>
      <c r="EK163" s="18">
        <f>EJ163*VLOOKUP('Données projet'!$B$15,Paramètres!$A$1:$I$89,3,0)*VLOOKUP('Données projet'!$B$15,Paramètres!$A$1:$I$89,5,0)</f>
        <v>1.8444552551954985E-13</v>
      </c>
      <c r="EL163" s="14">
        <f t="shared" si="179"/>
        <v>2.580317449479618E-12</v>
      </c>
      <c r="EM163" s="22">
        <f t="shared" si="180"/>
        <v>4.8152955147902165E-12</v>
      </c>
      <c r="EN163" s="60">
        <f t="shared" si="128"/>
        <v>293.33333333333815</v>
      </c>
      <c r="EO163" s="60">
        <f ca="1">AVERAGE(OFFSET($EN$3,0,0,'Données projet'!$E$15+1,1))-AVERAGE(OFFSET($H$3,0,0,'Données projet'!$E$15+1,1))</f>
        <v>346.10839312896536</v>
      </c>
      <c r="EP163" s="60">
        <f t="shared" si="154"/>
        <v>196.24927250256087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5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8">
        <f t="shared" si="110"/>
        <v>607.14935567170596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-3.4106051316484809E-13</v>
      </c>
      <c r="O164" s="14">
        <f>N164*VLOOKUP('Données projet'!$B$9,Paramètres!$A$1:$I$89,3,0)*VLOOKUP('Données projet'!$B$9,Paramètres!$A$1:$I$89,5,0)</f>
        <v>-3.0859155231155454E-13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327.62615088747526</v>
      </c>
      <c r="T164" s="60">
        <f t="shared" si="142"/>
        <v>180.48047802041276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-3.4106051316484809E-13</v>
      </c>
      <c r="AJ164" s="14">
        <f>AI164*VLOOKUP('Données projet'!$B$10,Paramètres!$A$1:$I$89,3,0)*VLOOKUP('Données projet'!$B$10,Paramètres!$A$1:$I$89,5,0)</f>
        <v>-2.8730937629006804E-13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295.5242128298583</v>
      </c>
      <c r="AO164" s="60">
        <f t="shared" si="144"/>
        <v>164.21740841327744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5.4092197387944907E-14</v>
      </c>
      <c r="BF164" s="14">
        <f t="shared" si="167"/>
        <v>8.7287050538073676E-13</v>
      </c>
      <c r="BG164" s="22">
        <f t="shared" si="168"/>
        <v>1.6144600406554537E-12</v>
      </c>
      <c r="BH164" s="60">
        <f t="shared" si="116"/>
        <v>293.33333333333491</v>
      </c>
      <c r="BI164" s="60">
        <f ca="1">AVERAGE(OFFSET($BH$3,0,0,'Données projet'!$E$11+1,1))-AVERAGE(OFFSET($H$3,0,0,'Données projet'!$E$11+1,1))</f>
        <v>276.19649531804959</v>
      </c>
      <c r="BJ164" s="60">
        <f t="shared" si="146"/>
        <v>253.14970964973463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7.4487616075202823E-14</v>
      </c>
      <c r="CA164" s="14">
        <f t="shared" si="170"/>
        <v>1.1580453144473142E-12</v>
      </c>
      <c r="CB164" s="22">
        <f t="shared" si="171"/>
        <v>2.1466615206600508E-12</v>
      </c>
      <c r="CC164" s="60">
        <f t="shared" si="119"/>
        <v>293.33333333333547</v>
      </c>
      <c r="CD164" s="60">
        <f ca="1">AVERAGE(OFFSET($CC$3,0,0,'Données projet'!$E$12+1,1))-AVERAGE(OFFSET($H$3,0,0,'Données projet'!$E$12+1,1))</f>
        <v>154.88061446835457</v>
      </c>
      <c r="CE164" s="60">
        <f t="shared" si="148"/>
        <v>201.47826692201693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7.2237314368381281E-2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7.2237314368381281E-2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293.44206058086951</v>
      </c>
      <c r="CZ164" s="60">
        <f t="shared" si="150"/>
        <v>182.15909509186827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>
        <f>DO164*VLOOKUP('Données projet'!$B$14,Paramètres!$A$1:$I$89,3,0)*VLOOKUP('Données projet'!$B$14,Paramètres!$A$1:$I$89,5,0)</f>
        <v>0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338.92444234934266</v>
      </c>
      <c r="DU164" s="60">
        <f t="shared" si="152"/>
        <v>208.91548891910895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2.2737367544323206E-13</v>
      </c>
      <c r="EK164" s="18">
        <f>EJ164*VLOOKUP('Données projet'!$B$15,Paramètres!$A$1:$I$89,3,0)*VLOOKUP('Données projet'!$B$15,Paramètres!$A$1:$I$89,5,0)</f>
        <v>1.8444552551954985E-13</v>
      </c>
      <c r="EL164" s="14">
        <f t="shared" si="179"/>
        <v>2.580317449479618E-12</v>
      </c>
      <c r="EM164" s="22">
        <f t="shared" si="180"/>
        <v>4.8152955147902165E-12</v>
      </c>
      <c r="EN164" s="60">
        <f t="shared" si="128"/>
        <v>293.33333333333815</v>
      </c>
      <c r="EO164" s="60">
        <f ca="1">AVERAGE(OFFSET($EN$3,0,0,'Données projet'!$E$15+1,1))-AVERAGE(OFFSET($H$3,0,0,'Données projet'!$E$15+1,1))</f>
        <v>346.10839312896536</v>
      </c>
      <c r="EP164" s="60">
        <f t="shared" si="154"/>
        <v>196.24927250256087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5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8">
        <f t="shared" si="110"/>
        <v>609.05178026847398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-3.4106051316484809E-13</v>
      </c>
      <c r="O165" s="14">
        <f>N165*VLOOKUP('Données projet'!$B$9,Paramètres!$A$1:$I$89,3,0)*VLOOKUP('Données projet'!$B$9,Paramètres!$A$1:$I$89,5,0)</f>
        <v>-3.0859155231155454E-13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327.62615088747526</v>
      </c>
      <c r="T165" s="60">
        <f t="shared" si="142"/>
        <v>180.48047802041276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-3.4106051316484809E-13</v>
      </c>
      <c r="AJ165" s="14">
        <f>AI165*VLOOKUP('Données projet'!$B$10,Paramètres!$A$1:$I$89,3,0)*VLOOKUP('Données projet'!$B$10,Paramètres!$A$1:$I$89,5,0)</f>
        <v>-2.8730937629006804E-13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295.5242128298583</v>
      </c>
      <c r="AO165" s="60">
        <f t="shared" si="144"/>
        <v>164.21740841327744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5.4092197387944907E-14</v>
      </c>
      <c r="BF165" s="14">
        <f t="shared" si="167"/>
        <v>8.7287050538073676E-13</v>
      </c>
      <c r="BG165" s="22">
        <f t="shared" si="168"/>
        <v>1.6144600406554537E-12</v>
      </c>
      <c r="BH165" s="60">
        <f t="shared" si="116"/>
        <v>293.33333333333491</v>
      </c>
      <c r="BI165" s="60">
        <f ca="1">AVERAGE(OFFSET($BH$3,0,0,'Données projet'!$E$11+1,1))-AVERAGE(OFFSET($H$3,0,0,'Données projet'!$E$11+1,1))</f>
        <v>276.19649531804959</v>
      </c>
      <c r="BJ165" s="60">
        <f t="shared" si="146"/>
        <v>253.14970964973463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7.4487616075202823E-14</v>
      </c>
      <c r="CA165" s="14">
        <f t="shared" si="170"/>
        <v>1.1580453144473142E-12</v>
      </c>
      <c r="CB165" s="22">
        <f t="shared" si="171"/>
        <v>2.1466615206600508E-12</v>
      </c>
      <c r="CC165" s="60">
        <f t="shared" si="119"/>
        <v>293.33333333333547</v>
      </c>
      <c r="CD165" s="60">
        <f ca="1">AVERAGE(OFFSET($CC$3,0,0,'Données projet'!$E$12+1,1))-AVERAGE(OFFSET($H$3,0,0,'Données projet'!$E$12+1,1))</f>
        <v>154.88061446835457</v>
      </c>
      <c r="CE165" s="60">
        <f t="shared" si="148"/>
        <v>201.47826692201693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7.0261981208182639E-2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7.0261981208182639E-2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293.44206058086951</v>
      </c>
      <c r="CZ165" s="60">
        <f t="shared" si="150"/>
        <v>182.15909509186827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>
        <f>DO165*VLOOKUP('Données projet'!$B$14,Paramètres!$A$1:$I$89,3,0)*VLOOKUP('Données projet'!$B$14,Paramètres!$A$1:$I$89,5,0)</f>
        <v>0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338.92444234934266</v>
      </c>
      <c r="DU165" s="60">
        <f t="shared" si="152"/>
        <v>208.91548891910895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2.2737367544323206E-13</v>
      </c>
      <c r="EK165" s="18">
        <f>EJ165*VLOOKUP('Données projet'!$B$15,Paramètres!$A$1:$I$89,3,0)*VLOOKUP('Données projet'!$B$15,Paramètres!$A$1:$I$89,5,0)</f>
        <v>1.8444552551954985E-13</v>
      </c>
      <c r="EL165" s="14">
        <f t="shared" si="179"/>
        <v>2.580317449479618E-12</v>
      </c>
      <c r="EM165" s="22">
        <f t="shared" si="180"/>
        <v>4.8152955147902165E-12</v>
      </c>
      <c r="EN165" s="60">
        <f t="shared" si="128"/>
        <v>293.33333333333815</v>
      </c>
      <c r="EO165" s="60">
        <f ca="1">AVERAGE(OFFSET($EN$3,0,0,'Données projet'!$E$15+1,1))-AVERAGE(OFFSET($H$3,0,0,'Données projet'!$E$15+1,1))</f>
        <v>346.10839312896536</v>
      </c>
      <c r="EP165" s="60">
        <f t="shared" si="154"/>
        <v>196.24927250256087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5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8">
        <f t="shared" si="110"/>
        <v>610.95395078996603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-3.4106051316484809E-13</v>
      </c>
      <c r="O166" s="14">
        <f>N166*VLOOKUP('Données projet'!$B$9,Paramètres!$A$1:$I$89,3,0)*VLOOKUP('Données projet'!$B$9,Paramètres!$A$1:$I$89,5,0)</f>
        <v>-3.0859155231155454E-13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327.62615088747526</v>
      </c>
      <c r="T166" s="60">
        <f t="shared" si="142"/>
        <v>180.48047802041276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-3.4106051316484809E-13</v>
      </c>
      <c r="AJ166" s="14">
        <f>AI166*VLOOKUP('Données projet'!$B$10,Paramètres!$A$1:$I$89,3,0)*VLOOKUP('Données projet'!$B$10,Paramètres!$A$1:$I$89,5,0)</f>
        <v>-2.8730937629006804E-13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295.5242128298583</v>
      </c>
      <c r="AO166" s="60">
        <f t="shared" si="144"/>
        <v>164.21740841327744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5.4092197387944907E-14</v>
      </c>
      <c r="BF166" s="14">
        <f t="shared" si="167"/>
        <v>8.7287050538073676E-13</v>
      </c>
      <c r="BG166" s="22">
        <f t="shared" si="168"/>
        <v>1.6144600406554537E-12</v>
      </c>
      <c r="BH166" s="60">
        <f t="shared" si="116"/>
        <v>293.33333333333491</v>
      </c>
      <c r="BI166" s="60">
        <f ca="1">AVERAGE(OFFSET($BH$3,0,0,'Données projet'!$E$11+1,1))-AVERAGE(OFFSET($H$3,0,0,'Données projet'!$E$11+1,1))</f>
        <v>276.19649531804959</v>
      </c>
      <c r="BJ166" s="60">
        <f t="shared" si="146"/>
        <v>253.14970964973463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7.4487616075202823E-14</v>
      </c>
      <c r="CA166" s="14">
        <f t="shared" si="170"/>
        <v>1.1580453144473142E-12</v>
      </c>
      <c r="CB166" s="22">
        <f t="shared" si="171"/>
        <v>2.1466615206600508E-12</v>
      </c>
      <c r="CC166" s="60">
        <f t="shared" si="119"/>
        <v>293.33333333333547</v>
      </c>
      <c r="CD166" s="60">
        <f ca="1">AVERAGE(OFFSET($CC$3,0,0,'Données projet'!$E$12+1,1))-AVERAGE(OFFSET($H$3,0,0,'Données projet'!$E$12+1,1))</f>
        <v>154.88061446835457</v>
      </c>
      <c r="CE166" s="60">
        <f t="shared" si="148"/>
        <v>201.47826692201693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6.8340663637127874E-2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6.8340663637127874E-2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293.44206058086951</v>
      </c>
      <c r="CZ166" s="60">
        <f t="shared" si="150"/>
        <v>182.15909509186827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>
        <f>DO166*VLOOKUP('Données projet'!$B$14,Paramètres!$A$1:$I$89,3,0)*VLOOKUP('Données projet'!$B$14,Paramètres!$A$1:$I$89,5,0)</f>
        <v>0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338.92444234934266</v>
      </c>
      <c r="DU166" s="60">
        <f t="shared" si="152"/>
        <v>208.91548891910895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2.2737367544323206E-13</v>
      </c>
      <c r="EK166" s="18">
        <f>EJ166*VLOOKUP('Données projet'!$B$15,Paramètres!$A$1:$I$89,3,0)*VLOOKUP('Données projet'!$B$15,Paramètres!$A$1:$I$89,5,0)</f>
        <v>1.8444552551954985E-13</v>
      </c>
      <c r="EL166" s="14">
        <f t="shared" si="179"/>
        <v>2.580317449479618E-12</v>
      </c>
      <c r="EM166" s="22">
        <f t="shared" si="180"/>
        <v>4.8152955147902165E-12</v>
      </c>
      <c r="EN166" s="60">
        <f t="shared" si="128"/>
        <v>293.33333333333815</v>
      </c>
      <c r="EO166" s="60">
        <f ca="1">AVERAGE(OFFSET($EN$3,0,0,'Données projet'!$E$15+1,1))-AVERAGE(OFFSET($H$3,0,0,'Données projet'!$E$15+1,1))</f>
        <v>346.10839312896536</v>
      </c>
      <c r="EP166" s="60">
        <f t="shared" si="154"/>
        <v>196.24927250256087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5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8">
        <f t="shared" si="110"/>
        <v>612.85586897576445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-3.4106051316484809E-13</v>
      </c>
      <c r="O167" s="14">
        <f>N167*VLOOKUP('Données projet'!$B$9,Paramètres!$A$1:$I$89,3,0)*VLOOKUP('Données projet'!$B$9,Paramètres!$A$1:$I$89,5,0)</f>
        <v>-3.0859155231155454E-13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327.62615088747526</v>
      </c>
      <c r="T167" s="60">
        <f t="shared" si="142"/>
        <v>180.48047802041276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-3.4106051316484809E-13</v>
      </c>
      <c r="AJ167" s="14">
        <f>AI167*VLOOKUP('Données projet'!$B$10,Paramètres!$A$1:$I$89,3,0)*VLOOKUP('Données projet'!$B$10,Paramètres!$A$1:$I$89,5,0)</f>
        <v>-2.8730937629006804E-13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295.5242128298583</v>
      </c>
      <c r="AO167" s="60">
        <f t="shared" si="144"/>
        <v>164.21740841327744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5.4092197387944907E-14</v>
      </c>
      <c r="BF167" s="14">
        <f t="shared" si="167"/>
        <v>8.7287050538073676E-13</v>
      </c>
      <c r="BG167" s="22">
        <f t="shared" si="168"/>
        <v>1.6144600406554537E-12</v>
      </c>
      <c r="BH167" s="60">
        <f t="shared" si="116"/>
        <v>293.33333333333491</v>
      </c>
      <c r="BI167" s="60">
        <f ca="1">AVERAGE(OFFSET($BH$3,0,0,'Données projet'!$E$11+1,1))-AVERAGE(OFFSET($H$3,0,0,'Données projet'!$E$11+1,1))</f>
        <v>276.19649531804959</v>
      </c>
      <c r="BJ167" s="60">
        <f t="shared" si="146"/>
        <v>253.14970964973463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7.4487616075202823E-14</v>
      </c>
      <c r="CA167" s="14">
        <f t="shared" si="170"/>
        <v>1.1580453144473142E-12</v>
      </c>
      <c r="CB167" s="22">
        <f t="shared" si="171"/>
        <v>2.1466615206600508E-12</v>
      </c>
      <c r="CC167" s="60">
        <f t="shared" si="119"/>
        <v>293.33333333333547</v>
      </c>
      <c r="CD167" s="60">
        <f ca="1">AVERAGE(OFFSET($CC$3,0,0,'Données projet'!$E$12+1,1))-AVERAGE(OFFSET($H$3,0,0,'Données projet'!$E$12+1,1))</f>
        <v>154.88061446835457</v>
      </c>
      <c r="CE167" s="60">
        <f t="shared" si="148"/>
        <v>201.47826692201693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6.647188459609131E-2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6.647188459609131E-2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293.44206058086951</v>
      </c>
      <c r="CZ167" s="60">
        <f t="shared" si="150"/>
        <v>182.15909509186827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>
        <f>DO167*VLOOKUP('Données projet'!$B$14,Paramètres!$A$1:$I$89,3,0)*VLOOKUP('Données projet'!$B$14,Paramètres!$A$1:$I$89,5,0)</f>
        <v>0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338.92444234934266</v>
      </c>
      <c r="DU167" s="60">
        <f t="shared" si="152"/>
        <v>208.91548891910895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2.2737367544323206E-13</v>
      </c>
      <c r="EK167" s="18">
        <f>EJ167*VLOOKUP('Données projet'!$B$15,Paramètres!$A$1:$I$89,3,0)*VLOOKUP('Données projet'!$B$15,Paramètres!$A$1:$I$89,5,0)</f>
        <v>1.8444552551954985E-13</v>
      </c>
      <c r="EL167" s="14">
        <f t="shared" si="179"/>
        <v>2.580317449479618E-12</v>
      </c>
      <c r="EM167" s="22">
        <f t="shared" si="180"/>
        <v>4.8152955147902165E-12</v>
      </c>
      <c r="EN167" s="60">
        <f t="shared" si="128"/>
        <v>293.33333333333815</v>
      </c>
      <c r="EO167" s="60">
        <f ca="1">AVERAGE(OFFSET($EN$3,0,0,'Données projet'!$E$15+1,1))-AVERAGE(OFFSET($H$3,0,0,'Données projet'!$E$15+1,1))</f>
        <v>346.10839312896536</v>
      </c>
      <c r="EP167" s="60">
        <f t="shared" si="154"/>
        <v>196.24927250256087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5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8">
        <f t="shared" si="110"/>
        <v>614.75753654301047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-3.4106051316484809E-13</v>
      </c>
      <c r="O168" s="14">
        <f>N168*VLOOKUP('Données projet'!$B$9,Paramètres!$A$1:$I$89,3,0)*VLOOKUP('Données projet'!$B$9,Paramètres!$A$1:$I$89,5,0)</f>
        <v>-3.0859155231155454E-13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327.62615088747526</v>
      </c>
      <c r="T168" s="60">
        <f t="shared" si="142"/>
        <v>180.48047802041276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-3.4106051316484809E-13</v>
      </c>
      <c r="AJ168" s="14">
        <f>AI168*VLOOKUP('Données projet'!$B$10,Paramètres!$A$1:$I$89,3,0)*VLOOKUP('Données projet'!$B$10,Paramètres!$A$1:$I$89,5,0)</f>
        <v>-2.8730937629006804E-13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295.5242128298583</v>
      </c>
      <c r="AO168" s="60">
        <f t="shared" si="144"/>
        <v>164.21740841327744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5.4092197387944907E-14</v>
      </c>
      <c r="BF168" s="14">
        <f t="shared" si="167"/>
        <v>8.7287050538073676E-13</v>
      </c>
      <c r="BG168" s="22">
        <f t="shared" si="168"/>
        <v>1.6144600406554537E-12</v>
      </c>
      <c r="BH168" s="60">
        <f t="shared" si="116"/>
        <v>293.33333333333491</v>
      </c>
      <c r="BI168" s="60">
        <f ca="1">AVERAGE(OFFSET($BH$3,0,0,'Données projet'!$E$11+1,1))-AVERAGE(OFFSET($H$3,0,0,'Données projet'!$E$11+1,1))</f>
        <v>276.19649531804959</v>
      </c>
      <c r="BJ168" s="60">
        <f t="shared" si="146"/>
        <v>253.14970964973463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7.4487616075202823E-14</v>
      </c>
      <c r="CA168" s="14">
        <f t="shared" si="170"/>
        <v>1.1580453144473142E-12</v>
      </c>
      <c r="CB168" s="22">
        <f t="shared" si="171"/>
        <v>2.1466615206600508E-12</v>
      </c>
      <c r="CC168" s="60">
        <f t="shared" si="119"/>
        <v>293.33333333333547</v>
      </c>
      <c r="CD168" s="60">
        <f ca="1">AVERAGE(OFFSET($CC$3,0,0,'Données projet'!$E$12+1,1))-AVERAGE(OFFSET($H$3,0,0,'Données projet'!$E$12+1,1))</f>
        <v>154.88061446835457</v>
      </c>
      <c r="CE168" s="60">
        <f t="shared" si="148"/>
        <v>201.47826692201693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6.4654207416206699E-2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6.4654207416206699E-2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293.44206058086951</v>
      </c>
      <c r="CZ168" s="60">
        <f t="shared" si="150"/>
        <v>182.15909509186827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>
        <f>DO168*VLOOKUP('Données projet'!$B$14,Paramètres!$A$1:$I$89,3,0)*VLOOKUP('Données projet'!$B$14,Paramètres!$A$1:$I$89,5,0)</f>
        <v>0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338.92444234934266</v>
      </c>
      <c r="DU168" s="60">
        <f t="shared" si="152"/>
        <v>208.91548891910895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2.2737367544323206E-13</v>
      </c>
      <c r="EK168" s="18">
        <f>EJ168*VLOOKUP('Données projet'!$B$15,Paramètres!$A$1:$I$89,3,0)*VLOOKUP('Données projet'!$B$15,Paramètres!$A$1:$I$89,5,0)</f>
        <v>1.8444552551954985E-13</v>
      </c>
      <c r="EL168" s="14">
        <f t="shared" si="179"/>
        <v>2.580317449479618E-12</v>
      </c>
      <c r="EM168" s="22">
        <f t="shared" si="180"/>
        <v>4.8152955147902165E-12</v>
      </c>
      <c r="EN168" s="60">
        <f t="shared" si="128"/>
        <v>293.33333333333815</v>
      </c>
      <c r="EO168" s="60">
        <f ca="1">AVERAGE(OFFSET($EN$3,0,0,'Données projet'!$E$15+1,1))-AVERAGE(OFFSET($H$3,0,0,'Données projet'!$E$15+1,1))</f>
        <v>346.10839312896536</v>
      </c>
      <c r="EP168" s="60">
        <f t="shared" si="154"/>
        <v>196.24927250256087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5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8">
        <f t="shared" si="110"/>
        <v>616.65895518682692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-3.4106051316484809E-13</v>
      </c>
      <c r="O169" s="14">
        <f>N169*VLOOKUP('Données projet'!$B$9,Paramètres!$A$1:$I$89,3,0)*VLOOKUP('Données projet'!$B$9,Paramètres!$A$1:$I$89,5,0)</f>
        <v>-3.0859155231155454E-13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327.62615088747526</v>
      </c>
      <c r="T169" s="60">
        <f t="shared" si="142"/>
        <v>180.48047802041276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-3.4106051316484809E-13</v>
      </c>
      <c r="AJ169" s="14">
        <f>AI169*VLOOKUP('Données projet'!$B$10,Paramètres!$A$1:$I$89,3,0)*VLOOKUP('Données projet'!$B$10,Paramètres!$A$1:$I$89,5,0)</f>
        <v>-2.8730937629006804E-13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295.5242128298583</v>
      </c>
      <c r="AO169" s="60">
        <f t="shared" si="144"/>
        <v>164.21740841327744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5.4092197387944907E-14</v>
      </c>
      <c r="BF169" s="14">
        <f t="shared" si="167"/>
        <v>8.7287050538073676E-13</v>
      </c>
      <c r="BG169" s="22">
        <f t="shared" si="168"/>
        <v>1.6144600406554537E-12</v>
      </c>
      <c r="BH169" s="60">
        <f t="shared" si="116"/>
        <v>293.33333333333491</v>
      </c>
      <c r="BI169" s="60">
        <f ca="1">AVERAGE(OFFSET($BH$3,0,0,'Données projet'!$E$11+1,1))-AVERAGE(OFFSET($H$3,0,0,'Données projet'!$E$11+1,1))</f>
        <v>276.19649531804959</v>
      </c>
      <c r="BJ169" s="60">
        <f t="shared" si="146"/>
        <v>253.14970964973463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7.4487616075202823E-14</v>
      </c>
      <c r="CA169" s="14">
        <f t="shared" si="170"/>
        <v>1.1580453144473142E-12</v>
      </c>
      <c r="CB169" s="22">
        <f t="shared" si="171"/>
        <v>2.1466615206600508E-12</v>
      </c>
      <c r="CC169" s="60">
        <f t="shared" si="119"/>
        <v>293.33333333333547</v>
      </c>
      <c r="CD169" s="60">
        <f ca="1">AVERAGE(OFFSET($CC$3,0,0,'Données projet'!$E$12+1,1))-AVERAGE(OFFSET($H$3,0,0,'Données projet'!$E$12+1,1))</f>
        <v>154.88061446835457</v>
      </c>
      <c r="CE169" s="60">
        <f t="shared" si="148"/>
        <v>201.47826692201693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6.288623471439353E-2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6.288623471439353E-2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293.44206058086951</v>
      </c>
      <c r="CZ169" s="60">
        <f t="shared" si="150"/>
        <v>182.15909509186827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>
        <f>DO169*VLOOKUP('Données projet'!$B$14,Paramètres!$A$1:$I$89,3,0)*VLOOKUP('Données projet'!$B$14,Paramètres!$A$1:$I$89,5,0)</f>
        <v>0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338.92444234934266</v>
      </c>
      <c r="DU169" s="60">
        <f t="shared" si="152"/>
        <v>208.91548891910895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2.2737367544323206E-13</v>
      </c>
      <c r="EK169" s="18">
        <f>EJ169*VLOOKUP('Données projet'!$B$15,Paramètres!$A$1:$I$89,3,0)*VLOOKUP('Données projet'!$B$15,Paramètres!$A$1:$I$89,5,0)</f>
        <v>1.8444552551954985E-13</v>
      </c>
      <c r="EL169" s="14">
        <f t="shared" si="179"/>
        <v>2.580317449479618E-12</v>
      </c>
      <c r="EM169" s="22">
        <f t="shared" si="180"/>
        <v>4.8152955147902165E-12</v>
      </c>
      <c r="EN169" s="60">
        <f t="shared" si="128"/>
        <v>293.33333333333815</v>
      </c>
      <c r="EO169" s="60">
        <f ca="1">AVERAGE(OFFSET($EN$3,0,0,'Données projet'!$E$15+1,1))-AVERAGE(OFFSET($H$3,0,0,'Données projet'!$E$15+1,1))</f>
        <v>346.10839312896536</v>
      </c>
      <c r="EP169" s="60">
        <f t="shared" si="154"/>
        <v>196.24927250256087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5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8">
        <f t="shared" si="110"/>
        <v>618.56012658073257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-3.4106051316484809E-13</v>
      </c>
      <c r="O170" s="14">
        <f>N170*VLOOKUP('Données projet'!$B$9,Paramètres!$A$1:$I$89,3,0)*VLOOKUP('Données projet'!$B$9,Paramètres!$A$1:$I$89,5,0)</f>
        <v>-3.0859155231155454E-13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327.62615088747526</v>
      </c>
      <c r="T170" s="60">
        <f t="shared" si="142"/>
        <v>180.48047802041276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-3.4106051316484809E-13</v>
      </c>
      <c r="AJ170" s="14">
        <f>AI170*VLOOKUP('Données projet'!$B$10,Paramètres!$A$1:$I$89,3,0)*VLOOKUP('Données projet'!$B$10,Paramètres!$A$1:$I$89,5,0)</f>
        <v>-2.8730937629006804E-13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295.5242128298583</v>
      </c>
      <c r="AO170" s="60">
        <f t="shared" si="144"/>
        <v>164.21740841327744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5.4092197387944907E-14</v>
      </c>
      <c r="BF170" s="14">
        <f t="shared" si="167"/>
        <v>8.7287050538073676E-13</v>
      </c>
      <c r="BG170" s="22">
        <f t="shared" si="168"/>
        <v>1.6144600406554537E-12</v>
      </c>
      <c r="BH170" s="60">
        <f t="shared" si="116"/>
        <v>293.33333333333491</v>
      </c>
      <c r="BI170" s="60">
        <f ca="1">AVERAGE(OFFSET($BH$3,0,0,'Données projet'!$E$11+1,1))-AVERAGE(OFFSET($H$3,0,0,'Données projet'!$E$11+1,1))</f>
        <v>276.19649531804959</v>
      </c>
      <c r="BJ170" s="60">
        <f t="shared" si="146"/>
        <v>253.14970964973463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7.4487616075202823E-14</v>
      </c>
      <c r="CA170" s="14">
        <f t="shared" si="170"/>
        <v>1.1580453144473142E-12</v>
      </c>
      <c r="CB170" s="22">
        <f t="shared" si="171"/>
        <v>2.1466615206600508E-12</v>
      </c>
      <c r="CC170" s="60">
        <f t="shared" si="119"/>
        <v>293.33333333333547</v>
      </c>
      <c r="CD170" s="60">
        <f ca="1">AVERAGE(OFFSET($CC$3,0,0,'Données projet'!$E$12+1,1))-AVERAGE(OFFSET($H$3,0,0,'Données projet'!$E$12+1,1))</f>
        <v>154.88061446835457</v>
      </c>
      <c r="CE170" s="60">
        <f t="shared" si="148"/>
        <v>201.47826692201693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6.1166607319085083E-2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6.1166607319085083E-2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293.44206058086951</v>
      </c>
      <c r="CZ170" s="60">
        <f t="shared" si="150"/>
        <v>182.15909509186827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>
        <f>DO170*VLOOKUP('Données projet'!$B$14,Paramètres!$A$1:$I$89,3,0)*VLOOKUP('Données projet'!$B$14,Paramètres!$A$1:$I$89,5,0)</f>
        <v>0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338.92444234934266</v>
      </c>
      <c r="DU170" s="60">
        <f t="shared" si="152"/>
        <v>208.91548891910895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2.2737367544323206E-13</v>
      </c>
      <c r="EK170" s="18">
        <f>EJ170*VLOOKUP('Données projet'!$B$15,Paramètres!$A$1:$I$89,3,0)*VLOOKUP('Données projet'!$B$15,Paramètres!$A$1:$I$89,5,0)</f>
        <v>1.8444552551954985E-13</v>
      </c>
      <c r="EL170" s="14">
        <f t="shared" si="179"/>
        <v>2.580317449479618E-12</v>
      </c>
      <c r="EM170" s="22">
        <f t="shared" si="180"/>
        <v>4.8152955147902165E-12</v>
      </c>
      <c r="EN170" s="60">
        <f t="shared" si="128"/>
        <v>293.33333333333815</v>
      </c>
      <c r="EO170" s="60">
        <f ca="1">AVERAGE(OFFSET($EN$3,0,0,'Données projet'!$E$15+1,1))-AVERAGE(OFFSET($H$3,0,0,'Données projet'!$E$15+1,1))</f>
        <v>346.10839312896536</v>
      </c>
      <c r="EP170" s="60">
        <f t="shared" si="154"/>
        <v>196.24927250256087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5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8">
        <f t="shared" si="110"/>
        <v>620.46105237704421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-3.4106051316484809E-13</v>
      </c>
      <c r="O171" s="14">
        <f>N171*VLOOKUP('Données projet'!$B$9,Paramètres!$A$1:$I$89,3,0)*VLOOKUP('Données projet'!$B$9,Paramètres!$A$1:$I$89,5,0)</f>
        <v>-3.0859155231155454E-13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327.62615088747526</v>
      </c>
      <c r="T171" s="60">
        <f t="shared" si="142"/>
        <v>180.48047802041276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-3.4106051316484809E-13</v>
      </c>
      <c r="AJ171" s="14">
        <f>AI171*VLOOKUP('Données projet'!$B$10,Paramètres!$A$1:$I$89,3,0)*VLOOKUP('Données projet'!$B$10,Paramètres!$A$1:$I$89,5,0)</f>
        <v>-2.8730937629006804E-13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295.5242128298583</v>
      </c>
      <c r="AO171" s="60">
        <f t="shared" si="144"/>
        <v>164.21740841327744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5.4092197387944907E-14</v>
      </c>
      <c r="BF171" s="14">
        <f t="shared" si="167"/>
        <v>8.7287050538073676E-13</v>
      </c>
      <c r="BG171" s="22">
        <f t="shared" si="168"/>
        <v>1.6144600406554537E-12</v>
      </c>
      <c r="BH171" s="60">
        <f t="shared" si="116"/>
        <v>293.33333333333491</v>
      </c>
      <c r="BI171" s="60">
        <f ca="1">AVERAGE(OFFSET($BH$3,0,0,'Données projet'!$E$11+1,1))-AVERAGE(OFFSET($H$3,0,0,'Données projet'!$E$11+1,1))</f>
        <v>276.19649531804959</v>
      </c>
      <c r="BJ171" s="60">
        <f t="shared" si="146"/>
        <v>253.14970964973463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7.4487616075202823E-14</v>
      </c>
      <c r="CA171" s="14">
        <f t="shared" si="170"/>
        <v>1.1580453144473142E-12</v>
      </c>
      <c r="CB171" s="22">
        <f t="shared" si="171"/>
        <v>2.1466615206600508E-12</v>
      </c>
      <c r="CC171" s="60">
        <f t="shared" si="119"/>
        <v>293.33333333333547</v>
      </c>
      <c r="CD171" s="60">
        <f ca="1">AVERAGE(OFFSET($CC$3,0,0,'Données projet'!$E$12+1,1))-AVERAGE(OFFSET($H$3,0,0,'Données projet'!$E$12+1,1))</f>
        <v>154.88061446835457</v>
      </c>
      <c r="CE171" s="60">
        <f t="shared" si="148"/>
        <v>201.47826692201693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5.9494003225332617E-2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5.9494003225332617E-2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293.44206058086951</v>
      </c>
      <c r="CZ171" s="60">
        <f t="shared" si="150"/>
        <v>182.15909509186827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>
        <f>DO171*VLOOKUP('Données projet'!$B$14,Paramètres!$A$1:$I$89,3,0)*VLOOKUP('Données projet'!$B$14,Paramètres!$A$1:$I$89,5,0)</f>
        <v>0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338.92444234934266</v>
      </c>
      <c r="DU171" s="60">
        <f t="shared" si="152"/>
        <v>208.91548891910895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2.2737367544323206E-13</v>
      </c>
      <c r="EK171" s="18">
        <f>EJ171*VLOOKUP('Données projet'!$B$15,Paramètres!$A$1:$I$89,3,0)*VLOOKUP('Données projet'!$B$15,Paramètres!$A$1:$I$89,5,0)</f>
        <v>1.8444552551954985E-13</v>
      </c>
      <c r="EL171" s="14">
        <f t="shared" si="179"/>
        <v>2.580317449479618E-12</v>
      </c>
      <c r="EM171" s="22">
        <f t="shared" si="180"/>
        <v>4.8152955147902165E-12</v>
      </c>
      <c r="EN171" s="60">
        <f t="shared" si="128"/>
        <v>293.33333333333815</v>
      </c>
      <c r="EO171" s="60">
        <f ca="1">AVERAGE(OFFSET($EN$3,0,0,'Données projet'!$E$15+1,1))-AVERAGE(OFFSET($H$3,0,0,'Données projet'!$E$15+1,1))</f>
        <v>346.10839312896536</v>
      </c>
      <c r="EP171" s="60">
        <f t="shared" si="154"/>
        <v>196.24927250256087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5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8">
        <f t="shared" si="110"/>
        <v>622.36173420727039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-3.4106051316484809E-13</v>
      </c>
      <c r="O172" s="14">
        <f>N172*VLOOKUP('Données projet'!$B$9,Paramètres!$A$1:$I$89,3,0)*VLOOKUP('Données projet'!$B$9,Paramètres!$A$1:$I$89,5,0)</f>
        <v>-3.0859155231155454E-13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327.62615088747526</v>
      </c>
      <c r="T172" s="60">
        <f t="shared" si="142"/>
        <v>180.48047802041276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-3.4106051316484809E-13</v>
      </c>
      <c r="AJ172" s="14">
        <f>AI172*VLOOKUP('Données projet'!$B$10,Paramètres!$A$1:$I$89,3,0)*VLOOKUP('Données projet'!$B$10,Paramètres!$A$1:$I$89,5,0)</f>
        <v>-2.8730937629006804E-13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295.5242128298583</v>
      </c>
      <c r="AO172" s="60">
        <f t="shared" si="144"/>
        <v>164.21740841327744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5.4092197387944907E-14</v>
      </c>
      <c r="BF172" s="14">
        <f t="shared" si="167"/>
        <v>8.7287050538073676E-13</v>
      </c>
      <c r="BG172" s="22">
        <f t="shared" si="168"/>
        <v>1.6144600406554537E-12</v>
      </c>
      <c r="BH172" s="60">
        <f t="shared" si="116"/>
        <v>293.33333333333491</v>
      </c>
      <c r="BI172" s="60">
        <f ca="1">AVERAGE(OFFSET($BH$3,0,0,'Données projet'!$E$11+1,1))-AVERAGE(OFFSET($H$3,0,0,'Données projet'!$E$11+1,1))</f>
        <v>276.19649531804959</v>
      </c>
      <c r="BJ172" s="60">
        <f t="shared" si="146"/>
        <v>253.14970964973463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7.4487616075202823E-14</v>
      </c>
      <c r="CA172" s="14">
        <f t="shared" si="170"/>
        <v>1.1580453144473142E-12</v>
      </c>
      <c r="CB172" s="22">
        <f t="shared" si="171"/>
        <v>2.1466615206600508E-12</v>
      </c>
      <c r="CC172" s="60">
        <f t="shared" si="119"/>
        <v>293.33333333333547</v>
      </c>
      <c r="CD172" s="60">
        <f ca="1">AVERAGE(OFFSET($CC$3,0,0,'Données projet'!$E$12+1,1))-AVERAGE(OFFSET($H$3,0,0,'Données projet'!$E$12+1,1))</f>
        <v>154.88061446835457</v>
      </c>
      <c r="CE172" s="60">
        <f t="shared" si="148"/>
        <v>201.47826692201693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5.7867136578482241E-2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5.7867136578482241E-2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293.44206058086951</v>
      </c>
      <c r="CZ172" s="60">
        <f t="shared" si="150"/>
        <v>182.15909509186827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>
        <f>DO172*VLOOKUP('Données projet'!$B$14,Paramètres!$A$1:$I$89,3,0)*VLOOKUP('Données projet'!$B$14,Paramètres!$A$1:$I$89,5,0)</f>
        <v>0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338.92444234934266</v>
      </c>
      <c r="DU172" s="60">
        <f t="shared" si="152"/>
        <v>208.91548891910895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2.2737367544323206E-13</v>
      </c>
      <c r="EK172" s="18">
        <f>EJ172*VLOOKUP('Données projet'!$B$15,Paramètres!$A$1:$I$89,3,0)*VLOOKUP('Données projet'!$B$15,Paramètres!$A$1:$I$89,5,0)</f>
        <v>1.8444552551954985E-13</v>
      </c>
      <c r="EL172" s="14">
        <f t="shared" si="179"/>
        <v>2.580317449479618E-12</v>
      </c>
      <c r="EM172" s="22">
        <f t="shared" si="180"/>
        <v>4.8152955147902165E-12</v>
      </c>
      <c r="EN172" s="60">
        <f t="shared" si="128"/>
        <v>293.33333333333815</v>
      </c>
      <c r="EO172" s="60">
        <f ca="1">AVERAGE(OFFSET($EN$3,0,0,'Données projet'!$E$15+1,1))-AVERAGE(OFFSET($H$3,0,0,'Données projet'!$E$15+1,1))</f>
        <v>346.10839312896536</v>
      </c>
      <c r="EP172" s="60">
        <f t="shared" si="154"/>
        <v>196.24927250256087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5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8">
        <f t="shared" si="110"/>
        <v>624.26217368249513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-3.4106051316484809E-13</v>
      </c>
      <c r="O173" s="14">
        <f>N173*VLOOKUP('Données projet'!$B$9,Paramètres!$A$1:$I$89,3,0)*VLOOKUP('Données projet'!$B$9,Paramètres!$A$1:$I$89,5,0)</f>
        <v>-3.0859155231155454E-13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327.62615088747526</v>
      </c>
      <c r="T173" s="60">
        <f t="shared" si="142"/>
        <v>180.48047802041276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-3.4106051316484809E-13</v>
      </c>
      <c r="AJ173" s="14">
        <f>AI173*VLOOKUP('Données projet'!$B$10,Paramètres!$A$1:$I$89,3,0)*VLOOKUP('Données projet'!$B$10,Paramètres!$A$1:$I$89,5,0)</f>
        <v>-2.8730937629006804E-13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295.5242128298583</v>
      </c>
      <c r="AO173" s="60">
        <f t="shared" si="144"/>
        <v>164.21740841327744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5.4092197387944907E-14</v>
      </c>
      <c r="BF173" s="14">
        <f t="shared" si="167"/>
        <v>8.7287050538073676E-13</v>
      </c>
      <c r="BG173" s="22">
        <f t="shared" si="168"/>
        <v>1.6144600406554537E-12</v>
      </c>
      <c r="BH173" s="60">
        <f t="shared" si="116"/>
        <v>293.33333333333491</v>
      </c>
      <c r="BI173" s="60">
        <f ca="1">AVERAGE(OFFSET($BH$3,0,0,'Données projet'!$E$11+1,1))-AVERAGE(OFFSET($H$3,0,0,'Données projet'!$E$11+1,1))</f>
        <v>276.19649531804959</v>
      </c>
      <c r="BJ173" s="60">
        <f t="shared" si="146"/>
        <v>253.14970964973463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7.4487616075202823E-14</v>
      </c>
      <c r="CA173" s="14">
        <f t="shared" si="170"/>
        <v>1.1580453144473142E-12</v>
      </c>
      <c r="CB173" s="22">
        <f t="shared" si="171"/>
        <v>2.1466615206600508E-12</v>
      </c>
      <c r="CC173" s="60">
        <f t="shared" si="119"/>
        <v>293.33333333333547</v>
      </c>
      <c r="CD173" s="60">
        <f ca="1">AVERAGE(OFFSET($CC$3,0,0,'Données projet'!$E$12+1,1))-AVERAGE(OFFSET($H$3,0,0,'Données projet'!$E$12+1,1))</f>
        <v>154.88061446835457</v>
      </c>
      <c r="CE173" s="60">
        <f t="shared" si="148"/>
        <v>201.47826692201693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5.6284756685643186E-2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5.6284756685643186E-2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293.44206058086951</v>
      </c>
      <c r="CZ173" s="60">
        <f t="shared" si="150"/>
        <v>182.15909509186827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>
        <f>DO173*VLOOKUP('Données projet'!$B$14,Paramètres!$A$1:$I$89,3,0)*VLOOKUP('Données projet'!$B$14,Paramètres!$A$1:$I$89,5,0)</f>
        <v>0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338.92444234934266</v>
      </c>
      <c r="DU173" s="60">
        <f t="shared" si="152"/>
        <v>208.91548891910895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2.2737367544323206E-13</v>
      </c>
      <c r="EK173" s="18">
        <f>EJ173*VLOOKUP('Données projet'!$B$15,Paramètres!$A$1:$I$89,3,0)*VLOOKUP('Données projet'!$B$15,Paramètres!$A$1:$I$89,5,0)</f>
        <v>1.8444552551954985E-13</v>
      </c>
      <c r="EL173" s="14">
        <f t="shared" si="179"/>
        <v>2.580317449479618E-12</v>
      </c>
      <c r="EM173" s="22">
        <f t="shared" si="180"/>
        <v>4.8152955147902165E-12</v>
      </c>
      <c r="EN173" s="60">
        <f t="shared" si="128"/>
        <v>293.33333333333815</v>
      </c>
      <c r="EO173" s="60">
        <f ca="1">AVERAGE(OFFSET($EN$3,0,0,'Données projet'!$E$15+1,1))-AVERAGE(OFFSET($H$3,0,0,'Données projet'!$E$15+1,1))</f>
        <v>346.10839312896536</v>
      </c>
      <c r="EP173" s="60">
        <f t="shared" si="154"/>
        <v>196.24927250256087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5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8">
        <f t="shared" si="110"/>
        <v>626.1623723937513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-3.4106051316484809E-13</v>
      </c>
      <c r="O174" s="14">
        <f>N174*VLOOKUP('Données projet'!$B$9,Paramètres!$A$1:$I$89,3,0)*VLOOKUP('Données projet'!$B$9,Paramètres!$A$1:$I$89,5,0)</f>
        <v>-3.0859155231155454E-13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327.62615088747526</v>
      </c>
      <c r="T174" s="60">
        <f t="shared" si="142"/>
        <v>180.48047802041276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-3.4106051316484809E-13</v>
      </c>
      <c r="AJ174" s="14">
        <f>AI174*VLOOKUP('Données projet'!$B$10,Paramètres!$A$1:$I$89,3,0)*VLOOKUP('Données projet'!$B$10,Paramètres!$A$1:$I$89,5,0)</f>
        <v>-2.8730937629006804E-13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295.5242128298583</v>
      </c>
      <c r="AO174" s="60">
        <f t="shared" si="144"/>
        <v>164.21740841327744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5.4092197387944907E-14</v>
      </c>
      <c r="BF174" s="14">
        <f t="shared" si="167"/>
        <v>8.7287050538073676E-13</v>
      </c>
      <c r="BG174" s="22">
        <f t="shared" si="168"/>
        <v>1.6144600406554537E-12</v>
      </c>
      <c r="BH174" s="60">
        <f t="shared" si="116"/>
        <v>293.33333333333491</v>
      </c>
      <c r="BI174" s="60">
        <f ca="1">AVERAGE(OFFSET($BH$3,0,0,'Données projet'!$E$11+1,1))-AVERAGE(OFFSET($H$3,0,0,'Données projet'!$E$11+1,1))</f>
        <v>276.19649531804959</v>
      </c>
      <c r="BJ174" s="60">
        <f t="shared" si="146"/>
        <v>253.14970964973463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7.4487616075202823E-14</v>
      </c>
      <c r="CA174" s="14">
        <f t="shared" si="170"/>
        <v>1.1580453144473142E-12</v>
      </c>
      <c r="CB174" s="22">
        <f t="shared" si="171"/>
        <v>2.1466615206600508E-12</v>
      </c>
      <c r="CC174" s="60">
        <f t="shared" si="119"/>
        <v>293.33333333333547</v>
      </c>
      <c r="CD174" s="60">
        <f ca="1">AVERAGE(OFFSET($CC$3,0,0,'Données projet'!$E$12+1,1))-AVERAGE(OFFSET($H$3,0,0,'Données projet'!$E$12+1,1))</f>
        <v>154.88061446835457</v>
      </c>
      <c r="CE174" s="60">
        <f t="shared" si="148"/>
        <v>201.47826692201693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5.4745647054187559E-2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5.4745647054187559E-2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293.44206058086951</v>
      </c>
      <c r="CZ174" s="60">
        <f t="shared" si="150"/>
        <v>182.15909509186827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>
        <f>DO174*VLOOKUP('Données projet'!$B$14,Paramètres!$A$1:$I$89,3,0)*VLOOKUP('Données projet'!$B$14,Paramètres!$A$1:$I$89,5,0)</f>
        <v>0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338.92444234934266</v>
      </c>
      <c r="DU174" s="60">
        <f t="shared" si="152"/>
        <v>208.91548891910895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2.2737367544323206E-13</v>
      </c>
      <c r="EK174" s="18">
        <f>EJ174*VLOOKUP('Données projet'!$B$15,Paramètres!$A$1:$I$89,3,0)*VLOOKUP('Données projet'!$B$15,Paramètres!$A$1:$I$89,5,0)</f>
        <v>1.8444552551954985E-13</v>
      </c>
      <c r="EL174" s="14">
        <f t="shared" si="179"/>
        <v>2.580317449479618E-12</v>
      </c>
      <c r="EM174" s="22">
        <f t="shared" si="180"/>
        <v>4.8152955147902165E-12</v>
      </c>
      <c r="EN174" s="60">
        <f t="shared" si="128"/>
        <v>293.33333333333815</v>
      </c>
      <c r="EO174" s="60">
        <f ca="1">AVERAGE(OFFSET($EN$3,0,0,'Données projet'!$E$15+1,1))-AVERAGE(OFFSET($H$3,0,0,'Données projet'!$E$15+1,1))</f>
        <v>346.10839312896536</v>
      </c>
      <c r="EP174" s="60">
        <f t="shared" si="154"/>
        <v>196.24927250256087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5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8">
        <f t="shared" si="110"/>
        <v>628.06233191238698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-3.4106051316484809E-13</v>
      </c>
      <c r="O175" s="14">
        <f>N175*VLOOKUP('Données projet'!$B$9,Paramètres!$A$1:$I$89,3,0)*VLOOKUP('Données projet'!$B$9,Paramètres!$A$1:$I$89,5,0)</f>
        <v>-3.0859155231155454E-13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327.62615088747526</v>
      </c>
      <c r="T175" s="60">
        <f t="shared" si="142"/>
        <v>180.48047802041276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-3.4106051316484809E-13</v>
      </c>
      <c r="AJ175" s="14">
        <f>AI175*VLOOKUP('Données projet'!$B$10,Paramètres!$A$1:$I$89,3,0)*VLOOKUP('Données projet'!$B$10,Paramètres!$A$1:$I$89,5,0)</f>
        <v>-2.8730937629006804E-13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295.5242128298583</v>
      </c>
      <c r="AO175" s="60">
        <f t="shared" si="144"/>
        <v>164.21740841327744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5.4092197387944907E-14</v>
      </c>
      <c r="BF175" s="14">
        <f t="shared" si="167"/>
        <v>8.7287050538073676E-13</v>
      </c>
      <c r="BG175" s="22">
        <f t="shared" si="168"/>
        <v>1.6144600406554537E-12</v>
      </c>
      <c r="BH175" s="60">
        <f t="shared" si="116"/>
        <v>293.33333333333491</v>
      </c>
      <c r="BI175" s="60">
        <f ca="1">AVERAGE(OFFSET($BH$3,0,0,'Données projet'!$E$11+1,1))-AVERAGE(OFFSET($H$3,0,0,'Données projet'!$E$11+1,1))</f>
        <v>276.19649531804959</v>
      </c>
      <c r="BJ175" s="60">
        <f t="shared" si="146"/>
        <v>253.14970964973463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7.4487616075202823E-14</v>
      </c>
      <c r="CA175" s="14">
        <f t="shared" si="170"/>
        <v>1.1580453144473142E-12</v>
      </c>
      <c r="CB175" s="22">
        <f t="shared" si="171"/>
        <v>2.1466615206600508E-12</v>
      </c>
      <c r="CC175" s="60">
        <f t="shared" si="119"/>
        <v>293.33333333333547</v>
      </c>
      <c r="CD175" s="60">
        <f ca="1">AVERAGE(OFFSET($CC$3,0,0,'Données projet'!$E$12+1,1))-AVERAGE(OFFSET($H$3,0,0,'Données projet'!$E$12+1,1))</f>
        <v>154.88061446835457</v>
      </c>
      <c r="CE175" s="60">
        <f t="shared" si="148"/>
        <v>201.47826692201693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5.3248624456542347E-2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5.3248624456542347E-2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293.44206058086951</v>
      </c>
      <c r="CZ175" s="60">
        <f t="shared" si="150"/>
        <v>182.15909509186827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>
        <f>DO175*VLOOKUP('Données projet'!$B$14,Paramètres!$A$1:$I$89,3,0)*VLOOKUP('Données projet'!$B$14,Paramètres!$A$1:$I$89,5,0)</f>
        <v>0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338.92444234934266</v>
      </c>
      <c r="DU175" s="60">
        <f t="shared" si="152"/>
        <v>208.91548891910895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2.2737367544323206E-13</v>
      </c>
      <c r="EK175" s="18">
        <f>EJ175*VLOOKUP('Données projet'!$B$15,Paramètres!$A$1:$I$89,3,0)*VLOOKUP('Données projet'!$B$15,Paramètres!$A$1:$I$89,5,0)</f>
        <v>1.8444552551954985E-13</v>
      </c>
      <c r="EL175" s="14">
        <f t="shared" si="179"/>
        <v>2.580317449479618E-12</v>
      </c>
      <c r="EM175" s="22">
        <f t="shared" si="180"/>
        <v>4.8152955147902165E-12</v>
      </c>
      <c r="EN175" s="60">
        <f t="shared" si="128"/>
        <v>293.33333333333815</v>
      </c>
      <c r="EO175" s="60">
        <f ca="1">AVERAGE(OFFSET($EN$3,0,0,'Données projet'!$E$15+1,1))-AVERAGE(OFFSET($H$3,0,0,'Données projet'!$E$15+1,1))</f>
        <v>346.10839312896536</v>
      </c>
      <c r="EP175" s="60">
        <f t="shared" si="154"/>
        <v>196.24927250256087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5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8">
        <f t="shared" si="110"/>
        <v>629.96205379042158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-3.4106051316484809E-13</v>
      </c>
      <c r="O176" s="14">
        <f>N176*VLOOKUP('Données projet'!$B$9,Paramètres!$A$1:$I$89,3,0)*VLOOKUP('Données projet'!$B$9,Paramètres!$A$1:$I$89,5,0)</f>
        <v>-3.0859155231155454E-13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327.62615088747526</v>
      </c>
      <c r="T176" s="60">
        <f t="shared" si="142"/>
        <v>180.48047802041276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-3.4106051316484809E-13</v>
      </c>
      <c r="AJ176" s="14">
        <f>AI176*VLOOKUP('Données projet'!$B$10,Paramètres!$A$1:$I$89,3,0)*VLOOKUP('Données projet'!$B$10,Paramètres!$A$1:$I$89,5,0)</f>
        <v>-2.8730937629006804E-13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295.5242128298583</v>
      </c>
      <c r="AO176" s="60">
        <f t="shared" si="144"/>
        <v>164.21740841327744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5.4092197387944907E-14</v>
      </c>
      <c r="BF176" s="14">
        <f t="shared" si="167"/>
        <v>8.7287050538073676E-13</v>
      </c>
      <c r="BG176" s="22">
        <f t="shared" si="168"/>
        <v>1.6144600406554537E-12</v>
      </c>
      <c r="BH176" s="60">
        <f t="shared" si="116"/>
        <v>293.33333333333491</v>
      </c>
      <c r="BI176" s="60">
        <f ca="1">AVERAGE(OFFSET($BH$3,0,0,'Données projet'!$E$11+1,1))-AVERAGE(OFFSET($H$3,0,0,'Données projet'!$E$11+1,1))</f>
        <v>276.19649531804959</v>
      </c>
      <c r="BJ176" s="60">
        <f t="shared" si="146"/>
        <v>253.14970964973463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7.4487616075202823E-14</v>
      </c>
      <c r="CA176" s="14">
        <f t="shared" si="170"/>
        <v>1.1580453144473142E-12</v>
      </c>
      <c r="CB176" s="22">
        <f t="shared" si="171"/>
        <v>2.1466615206600508E-12</v>
      </c>
      <c r="CC176" s="60">
        <f t="shared" si="119"/>
        <v>293.33333333333547</v>
      </c>
      <c r="CD176" s="60">
        <f ca="1">AVERAGE(OFFSET($CC$3,0,0,'Données projet'!$E$12+1,1))-AVERAGE(OFFSET($H$3,0,0,'Données projet'!$E$12+1,1))</f>
        <v>154.88061446835457</v>
      </c>
      <c r="CE176" s="60">
        <f t="shared" si="148"/>
        <v>201.47826692201693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5.1792538020554738E-2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5.1792538020554738E-2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293.44206058086951</v>
      </c>
      <c r="CZ176" s="60">
        <f t="shared" si="150"/>
        <v>182.15909509186827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>
        <f>DO176*VLOOKUP('Données projet'!$B$14,Paramètres!$A$1:$I$89,3,0)*VLOOKUP('Données projet'!$B$14,Paramètres!$A$1:$I$89,5,0)</f>
        <v>0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338.92444234934266</v>
      </c>
      <c r="DU176" s="60">
        <f t="shared" si="152"/>
        <v>208.91548891910895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2.2737367544323206E-13</v>
      </c>
      <c r="EK176" s="18">
        <f>EJ176*VLOOKUP('Données projet'!$B$15,Paramètres!$A$1:$I$89,3,0)*VLOOKUP('Données projet'!$B$15,Paramètres!$A$1:$I$89,5,0)</f>
        <v>1.8444552551954985E-13</v>
      </c>
      <c r="EL176" s="14">
        <f t="shared" si="179"/>
        <v>2.580317449479618E-12</v>
      </c>
      <c r="EM176" s="22">
        <f t="shared" si="180"/>
        <v>4.8152955147902165E-12</v>
      </c>
      <c r="EN176" s="60">
        <f t="shared" si="128"/>
        <v>293.33333333333815</v>
      </c>
      <c r="EO176" s="60">
        <f ca="1">AVERAGE(OFFSET($EN$3,0,0,'Données projet'!$E$15+1,1))-AVERAGE(OFFSET($H$3,0,0,'Données projet'!$E$15+1,1))</f>
        <v>346.10839312896536</v>
      </c>
      <c r="EP176" s="60">
        <f t="shared" si="154"/>
        <v>196.24927250256087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5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8">
        <f t="shared" si="110"/>
        <v>631.86153956089356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-3.4106051316484809E-13</v>
      </c>
      <c r="O177" s="14">
        <f>N177*VLOOKUP('Données projet'!$B$9,Paramètres!$A$1:$I$89,3,0)*VLOOKUP('Données projet'!$B$9,Paramètres!$A$1:$I$89,5,0)</f>
        <v>-3.0859155231155454E-13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327.62615088747526</v>
      </c>
      <c r="T177" s="60">
        <f t="shared" si="142"/>
        <v>180.48047802041276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-3.4106051316484809E-13</v>
      </c>
      <c r="AJ177" s="14">
        <f>AI177*VLOOKUP('Données projet'!$B$10,Paramètres!$A$1:$I$89,3,0)*VLOOKUP('Données projet'!$B$10,Paramètres!$A$1:$I$89,5,0)</f>
        <v>-2.8730937629006804E-13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295.5242128298583</v>
      </c>
      <c r="AO177" s="60">
        <f t="shared" si="144"/>
        <v>164.21740841327744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5.4092197387944907E-14</v>
      </c>
      <c r="BF177" s="14">
        <f t="shared" si="167"/>
        <v>8.7287050538073676E-13</v>
      </c>
      <c r="BG177" s="22">
        <f t="shared" si="168"/>
        <v>1.6144600406554537E-12</v>
      </c>
      <c r="BH177" s="60">
        <f t="shared" si="116"/>
        <v>293.33333333333491</v>
      </c>
      <c r="BI177" s="60">
        <f ca="1">AVERAGE(OFFSET($BH$3,0,0,'Données projet'!$E$11+1,1))-AVERAGE(OFFSET($H$3,0,0,'Données projet'!$E$11+1,1))</f>
        <v>276.19649531804959</v>
      </c>
      <c r="BJ177" s="60">
        <f t="shared" si="146"/>
        <v>253.14970964973463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7.4487616075202823E-14</v>
      </c>
      <c r="CA177" s="14">
        <f t="shared" si="170"/>
        <v>1.1580453144473142E-12</v>
      </c>
      <c r="CB177" s="22">
        <f t="shared" si="171"/>
        <v>2.1466615206600508E-12</v>
      </c>
      <c r="CC177" s="60">
        <f t="shared" si="119"/>
        <v>293.33333333333547</v>
      </c>
      <c r="CD177" s="60">
        <f ca="1">AVERAGE(OFFSET($CC$3,0,0,'Données projet'!$E$12+1,1))-AVERAGE(OFFSET($H$3,0,0,'Données projet'!$E$12+1,1))</f>
        <v>154.88061446835457</v>
      </c>
      <c r="CE177" s="60">
        <f t="shared" si="148"/>
        <v>201.47826692201693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5.0376268344731467E-2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5.0376268344731467E-2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293.44206058086951</v>
      </c>
      <c r="CZ177" s="60">
        <f t="shared" si="150"/>
        <v>182.15909509186827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>
        <f>DO177*VLOOKUP('Données projet'!$B$14,Paramètres!$A$1:$I$89,3,0)*VLOOKUP('Données projet'!$B$14,Paramètres!$A$1:$I$89,5,0)</f>
        <v>0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338.92444234934266</v>
      </c>
      <c r="DU177" s="60">
        <f t="shared" si="152"/>
        <v>208.91548891910895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2.2737367544323206E-13</v>
      </c>
      <c r="EK177" s="18">
        <f>EJ177*VLOOKUP('Données projet'!$B$15,Paramètres!$A$1:$I$89,3,0)*VLOOKUP('Données projet'!$B$15,Paramètres!$A$1:$I$89,5,0)</f>
        <v>1.8444552551954985E-13</v>
      </c>
      <c r="EL177" s="14">
        <f t="shared" si="179"/>
        <v>2.580317449479618E-12</v>
      </c>
      <c r="EM177" s="22">
        <f t="shared" si="180"/>
        <v>4.8152955147902165E-12</v>
      </c>
      <c r="EN177" s="60">
        <f t="shared" si="128"/>
        <v>293.33333333333815</v>
      </c>
      <c r="EO177" s="60">
        <f ca="1">AVERAGE(OFFSET($EN$3,0,0,'Données projet'!$E$15+1,1))-AVERAGE(OFFSET($H$3,0,0,'Données projet'!$E$15+1,1))</f>
        <v>346.10839312896536</v>
      </c>
      <c r="EP177" s="60">
        <f t="shared" si="154"/>
        <v>196.24927250256087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5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8">
        <f t="shared" si="110"/>
        <v>633.76079073820119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-3.4106051316484809E-13</v>
      </c>
      <c r="O178" s="14">
        <f>N178*VLOOKUP('Données projet'!$B$9,Paramètres!$A$1:$I$89,3,0)*VLOOKUP('Données projet'!$B$9,Paramètres!$A$1:$I$89,5,0)</f>
        <v>-3.0859155231155454E-13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327.62615088747526</v>
      </c>
      <c r="T178" s="60">
        <f t="shared" si="142"/>
        <v>180.48047802041276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-3.4106051316484809E-13</v>
      </c>
      <c r="AJ178" s="14">
        <f>AI178*VLOOKUP('Données projet'!$B$10,Paramètres!$A$1:$I$89,3,0)*VLOOKUP('Données projet'!$B$10,Paramètres!$A$1:$I$89,5,0)</f>
        <v>-2.8730937629006804E-13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295.5242128298583</v>
      </c>
      <c r="AO178" s="60">
        <f t="shared" si="144"/>
        <v>164.21740841327744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5.4092197387944907E-14</v>
      </c>
      <c r="BF178" s="14">
        <f t="shared" si="167"/>
        <v>8.7287050538073676E-13</v>
      </c>
      <c r="BG178" s="22">
        <f t="shared" si="168"/>
        <v>1.6144600406554537E-12</v>
      </c>
      <c r="BH178" s="60">
        <f t="shared" si="116"/>
        <v>293.33333333333491</v>
      </c>
      <c r="BI178" s="60">
        <f ca="1">AVERAGE(OFFSET($BH$3,0,0,'Données projet'!$E$11+1,1))-AVERAGE(OFFSET($H$3,0,0,'Données projet'!$E$11+1,1))</f>
        <v>276.19649531804959</v>
      </c>
      <c r="BJ178" s="60">
        <f t="shared" si="146"/>
        <v>253.14970964973463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7.4487616075202823E-14</v>
      </c>
      <c r="CA178" s="14">
        <f t="shared" si="170"/>
        <v>1.1580453144473142E-12</v>
      </c>
      <c r="CB178" s="22">
        <f t="shared" si="171"/>
        <v>2.1466615206600508E-12</v>
      </c>
      <c r="CC178" s="60">
        <f t="shared" si="119"/>
        <v>293.33333333333547</v>
      </c>
      <c r="CD178" s="60">
        <f ca="1">AVERAGE(OFFSET($CC$3,0,0,'Données projet'!$E$12+1,1))-AVERAGE(OFFSET($H$3,0,0,'Données projet'!$E$12+1,1))</f>
        <v>154.88061446835457</v>
      </c>
      <c r="CE178" s="60">
        <f t="shared" si="148"/>
        <v>201.47826692201693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4.899872663767197E-2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4.899872663767197E-2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293.44206058086951</v>
      </c>
      <c r="CZ178" s="60">
        <f t="shared" si="150"/>
        <v>182.15909509186827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>
        <f>DO178*VLOOKUP('Données projet'!$B$14,Paramètres!$A$1:$I$89,3,0)*VLOOKUP('Données projet'!$B$14,Paramètres!$A$1:$I$89,5,0)</f>
        <v>0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338.92444234934266</v>
      </c>
      <c r="DU178" s="60">
        <f t="shared" si="152"/>
        <v>208.91548891910895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2.2737367544323206E-13</v>
      </c>
      <c r="EK178" s="18">
        <f>EJ178*VLOOKUP('Données projet'!$B$15,Paramètres!$A$1:$I$89,3,0)*VLOOKUP('Données projet'!$B$15,Paramètres!$A$1:$I$89,5,0)</f>
        <v>1.8444552551954985E-13</v>
      </c>
      <c r="EL178" s="14">
        <f t="shared" si="179"/>
        <v>2.580317449479618E-12</v>
      </c>
      <c r="EM178" s="22">
        <f t="shared" si="180"/>
        <v>4.8152955147902165E-12</v>
      </c>
      <c r="EN178" s="60">
        <f t="shared" si="128"/>
        <v>293.33333333333815</v>
      </c>
      <c r="EO178" s="60">
        <f ca="1">AVERAGE(OFFSET($EN$3,0,0,'Données projet'!$E$15+1,1))-AVERAGE(OFFSET($H$3,0,0,'Données projet'!$E$15+1,1))</f>
        <v>346.10839312896536</v>
      </c>
      <c r="EP178" s="60">
        <f t="shared" si="154"/>
        <v>196.24927250256087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5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8">
        <f t="shared" si="110"/>
        <v>635.65980881843325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-3.4106051316484809E-13</v>
      </c>
      <c r="O179" s="14">
        <f>N179*VLOOKUP('Données projet'!$B$9,Paramètres!$A$1:$I$89,3,0)*VLOOKUP('Données projet'!$B$9,Paramètres!$A$1:$I$89,5,0)</f>
        <v>-3.0859155231155454E-13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327.62615088747526</v>
      </c>
      <c r="T179" s="60">
        <f t="shared" si="142"/>
        <v>180.48047802041276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-3.4106051316484809E-13</v>
      </c>
      <c r="AJ179" s="14">
        <f>AI179*VLOOKUP('Données projet'!$B$10,Paramètres!$A$1:$I$89,3,0)*VLOOKUP('Données projet'!$B$10,Paramètres!$A$1:$I$89,5,0)</f>
        <v>-2.8730937629006804E-13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295.5242128298583</v>
      </c>
      <c r="AO179" s="60">
        <f t="shared" si="144"/>
        <v>164.21740841327744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5.4092197387944907E-14</v>
      </c>
      <c r="BF179" s="14">
        <f t="shared" si="167"/>
        <v>8.7287050538073676E-13</v>
      </c>
      <c r="BG179" s="22">
        <f t="shared" si="168"/>
        <v>1.6144600406554537E-12</v>
      </c>
      <c r="BH179" s="60">
        <f t="shared" si="116"/>
        <v>293.33333333333491</v>
      </c>
      <c r="BI179" s="60">
        <f ca="1">AVERAGE(OFFSET($BH$3,0,0,'Données projet'!$E$11+1,1))-AVERAGE(OFFSET($H$3,0,0,'Données projet'!$E$11+1,1))</f>
        <v>276.19649531804959</v>
      </c>
      <c r="BJ179" s="60">
        <f t="shared" si="146"/>
        <v>253.14970964973463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7.4487616075202823E-14</v>
      </c>
      <c r="CA179" s="14">
        <f t="shared" si="170"/>
        <v>1.1580453144473142E-12</v>
      </c>
      <c r="CB179" s="22">
        <f t="shared" si="171"/>
        <v>2.1466615206600508E-12</v>
      </c>
      <c r="CC179" s="60">
        <f t="shared" si="119"/>
        <v>293.33333333333547</v>
      </c>
      <c r="CD179" s="60">
        <f ca="1">AVERAGE(OFFSET($CC$3,0,0,'Données projet'!$E$12+1,1))-AVERAGE(OFFSET($H$3,0,0,'Données projet'!$E$12+1,1))</f>
        <v>154.88061446835457</v>
      </c>
      <c r="CE179" s="60">
        <f t="shared" si="148"/>
        <v>201.47826692201693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4.7658853881033782E-2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4.7658853881033782E-2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293.44206058086951</v>
      </c>
      <c r="CZ179" s="60">
        <f t="shared" si="150"/>
        <v>182.15909509186827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>
        <f>DO179*VLOOKUP('Données projet'!$B$14,Paramètres!$A$1:$I$89,3,0)*VLOOKUP('Données projet'!$B$14,Paramètres!$A$1:$I$89,5,0)</f>
        <v>0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338.92444234934266</v>
      </c>
      <c r="DU179" s="60">
        <f t="shared" si="152"/>
        <v>208.91548891910895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2.2737367544323206E-13</v>
      </c>
      <c r="EK179" s="18">
        <f>EJ179*VLOOKUP('Données projet'!$B$15,Paramètres!$A$1:$I$89,3,0)*VLOOKUP('Données projet'!$B$15,Paramètres!$A$1:$I$89,5,0)</f>
        <v>1.8444552551954985E-13</v>
      </c>
      <c r="EL179" s="14">
        <f t="shared" si="179"/>
        <v>2.580317449479618E-12</v>
      </c>
      <c r="EM179" s="22">
        <f t="shared" si="180"/>
        <v>4.8152955147902165E-12</v>
      </c>
      <c r="EN179" s="60">
        <f t="shared" si="128"/>
        <v>293.33333333333815</v>
      </c>
      <c r="EO179" s="60">
        <f ca="1">AVERAGE(OFFSET($EN$3,0,0,'Données projet'!$E$15+1,1))-AVERAGE(OFFSET($H$3,0,0,'Données projet'!$E$15+1,1))</f>
        <v>346.10839312896536</v>
      </c>
      <c r="EP179" s="60">
        <f t="shared" si="154"/>
        <v>196.24927250256087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5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8">
        <f t="shared" si="110"/>
        <v>637.55859527969415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-3.4106051316484809E-13</v>
      </c>
      <c r="O180" s="14">
        <f>N180*VLOOKUP('Données projet'!$B$9,Paramètres!$A$1:$I$89,3,0)*VLOOKUP('Données projet'!$B$9,Paramètres!$A$1:$I$89,5,0)</f>
        <v>-3.0859155231155454E-13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327.62615088747526</v>
      </c>
      <c r="T180" s="60">
        <f t="shared" si="142"/>
        <v>180.48047802041276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-3.4106051316484809E-13</v>
      </c>
      <c r="AJ180" s="14">
        <f>AI180*VLOOKUP('Données projet'!$B$10,Paramètres!$A$1:$I$89,3,0)*VLOOKUP('Données projet'!$B$10,Paramètres!$A$1:$I$89,5,0)</f>
        <v>-2.8730937629006804E-13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295.5242128298583</v>
      </c>
      <c r="AO180" s="60">
        <f t="shared" si="144"/>
        <v>164.21740841327744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5.4092197387944907E-14</v>
      </c>
      <c r="BF180" s="14">
        <f t="shared" si="167"/>
        <v>8.7287050538073676E-13</v>
      </c>
      <c r="BG180" s="22">
        <f t="shared" si="168"/>
        <v>1.6144600406554537E-12</v>
      </c>
      <c r="BH180" s="60">
        <f t="shared" si="116"/>
        <v>293.33333333333491</v>
      </c>
      <c r="BI180" s="60">
        <f ca="1">AVERAGE(OFFSET($BH$3,0,0,'Données projet'!$E$11+1,1))-AVERAGE(OFFSET($H$3,0,0,'Données projet'!$E$11+1,1))</f>
        <v>276.19649531804959</v>
      </c>
      <c r="BJ180" s="60">
        <f t="shared" si="146"/>
        <v>253.14970964973463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7.4487616075202823E-14</v>
      </c>
      <c r="CA180" s="14">
        <f t="shared" si="170"/>
        <v>1.1580453144473142E-12</v>
      </c>
      <c r="CB180" s="22">
        <f t="shared" si="171"/>
        <v>2.1466615206600508E-12</v>
      </c>
      <c r="CC180" s="60">
        <f t="shared" si="119"/>
        <v>293.33333333333547</v>
      </c>
      <c r="CD180" s="60">
        <f ca="1">AVERAGE(OFFSET($CC$3,0,0,'Données projet'!$E$12+1,1))-AVERAGE(OFFSET($H$3,0,0,'Données projet'!$E$12+1,1))</f>
        <v>154.88061446835457</v>
      </c>
      <c r="CE180" s="60">
        <f t="shared" si="148"/>
        <v>201.47826692201693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4.6355620015386713E-2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4.6355620015386713E-2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293.44206058086951</v>
      </c>
      <c r="CZ180" s="60">
        <f t="shared" si="150"/>
        <v>182.15909509186827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>
        <f>DO180*VLOOKUP('Données projet'!$B$14,Paramètres!$A$1:$I$89,3,0)*VLOOKUP('Données projet'!$B$14,Paramètres!$A$1:$I$89,5,0)</f>
        <v>0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338.92444234934266</v>
      </c>
      <c r="DU180" s="60">
        <f t="shared" si="152"/>
        <v>208.91548891910895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2.2737367544323206E-13</v>
      </c>
      <c r="EK180" s="18">
        <f>EJ180*VLOOKUP('Données projet'!$B$15,Paramètres!$A$1:$I$89,3,0)*VLOOKUP('Données projet'!$B$15,Paramètres!$A$1:$I$89,5,0)</f>
        <v>1.8444552551954985E-13</v>
      </c>
      <c r="EL180" s="14">
        <f t="shared" si="179"/>
        <v>2.580317449479618E-12</v>
      </c>
      <c r="EM180" s="22">
        <f t="shared" si="180"/>
        <v>4.8152955147902165E-12</v>
      </c>
      <c r="EN180" s="60">
        <f t="shared" si="128"/>
        <v>293.33333333333815</v>
      </c>
      <c r="EO180" s="60">
        <f ca="1">AVERAGE(OFFSET($EN$3,0,0,'Données projet'!$E$15+1,1))-AVERAGE(OFFSET($H$3,0,0,'Données projet'!$E$15+1,1))</f>
        <v>346.10839312896536</v>
      </c>
      <c r="EP180" s="60">
        <f t="shared" si="154"/>
        <v>196.24927250256087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5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8">
        <f t="shared" si="110"/>
        <v>639.4571515824199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-3.4106051316484809E-13</v>
      </c>
      <c r="O181" s="14">
        <f>N181*VLOOKUP('Données projet'!$B$9,Paramètres!$A$1:$I$89,3,0)*VLOOKUP('Données projet'!$B$9,Paramètres!$A$1:$I$89,5,0)</f>
        <v>-3.0859155231155454E-13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327.62615088747526</v>
      </c>
      <c r="T181" s="60">
        <f t="shared" si="142"/>
        <v>180.48047802041276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-3.4106051316484809E-13</v>
      </c>
      <c r="AJ181" s="14">
        <f>AI181*VLOOKUP('Données projet'!$B$10,Paramètres!$A$1:$I$89,3,0)*VLOOKUP('Données projet'!$B$10,Paramètres!$A$1:$I$89,5,0)</f>
        <v>-2.8730937629006804E-13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295.5242128298583</v>
      </c>
      <c r="AO181" s="60">
        <f t="shared" si="144"/>
        <v>164.21740841327744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5.4092197387944907E-14</v>
      </c>
      <c r="BF181" s="14">
        <f t="shared" si="167"/>
        <v>8.7287050538073676E-13</v>
      </c>
      <c r="BG181" s="22">
        <f t="shared" si="168"/>
        <v>1.6144600406554537E-12</v>
      </c>
      <c r="BH181" s="60">
        <f t="shared" si="116"/>
        <v>293.33333333333491</v>
      </c>
      <c r="BI181" s="60">
        <f ca="1">AVERAGE(OFFSET($BH$3,0,0,'Données projet'!$E$11+1,1))-AVERAGE(OFFSET($H$3,0,0,'Données projet'!$E$11+1,1))</f>
        <v>276.19649531804959</v>
      </c>
      <c r="BJ181" s="60">
        <f t="shared" si="146"/>
        <v>253.14970964973463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7.4487616075202823E-14</v>
      </c>
      <c r="CA181" s="14">
        <f t="shared" si="170"/>
        <v>1.1580453144473142E-12</v>
      </c>
      <c r="CB181" s="22">
        <f t="shared" si="171"/>
        <v>2.1466615206600508E-12</v>
      </c>
      <c r="CC181" s="60">
        <f t="shared" si="119"/>
        <v>293.33333333333547</v>
      </c>
      <c r="CD181" s="60">
        <f ca="1">AVERAGE(OFFSET($CC$3,0,0,'Données projet'!$E$12+1,1))-AVERAGE(OFFSET($H$3,0,0,'Données projet'!$E$12+1,1))</f>
        <v>154.88061446835457</v>
      </c>
      <c r="CE181" s="60">
        <f t="shared" si="148"/>
        <v>201.47826692201693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4.5088023148329853E-2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4.5088023148329853E-2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293.44206058086951</v>
      </c>
      <c r="CZ181" s="60">
        <f t="shared" si="150"/>
        <v>182.15909509186827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>
        <f>DO181*VLOOKUP('Données projet'!$B$14,Paramètres!$A$1:$I$89,3,0)*VLOOKUP('Données projet'!$B$14,Paramètres!$A$1:$I$89,5,0)</f>
        <v>0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338.92444234934266</v>
      </c>
      <c r="DU181" s="60">
        <f t="shared" si="152"/>
        <v>208.91548891910895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2.2737367544323206E-13</v>
      </c>
      <c r="EK181" s="18">
        <f>EJ181*VLOOKUP('Données projet'!$B$15,Paramètres!$A$1:$I$89,3,0)*VLOOKUP('Données projet'!$B$15,Paramètres!$A$1:$I$89,5,0)</f>
        <v>1.8444552551954985E-13</v>
      </c>
      <c r="EL181" s="14">
        <f t="shared" si="179"/>
        <v>2.580317449479618E-12</v>
      </c>
      <c r="EM181" s="22">
        <f t="shared" si="180"/>
        <v>4.8152955147902165E-12</v>
      </c>
      <c r="EN181" s="60">
        <f t="shared" si="128"/>
        <v>293.33333333333815</v>
      </c>
      <c r="EO181" s="60">
        <f ca="1">AVERAGE(OFFSET($EN$3,0,0,'Données projet'!$E$15+1,1))-AVERAGE(OFFSET($H$3,0,0,'Données projet'!$E$15+1,1))</f>
        <v>346.10839312896536</v>
      </c>
      <c r="EP181" s="60">
        <f t="shared" si="154"/>
        <v>196.24927250256087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5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8">
        <f t="shared" si="110"/>
        <v>641.35547916968733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-3.4106051316484809E-13</v>
      </c>
      <c r="O182" s="14">
        <f>N182*VLOOKUP('Données projet'!$B$9,Paramètres!$A$1:$I$89,3,0)*VLOOKUP('Données projet'!$B$9,Paramètres!$A$1:$I$89,5,0)</f>
        <v>-3.0859155231155454E-13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327.62615088747526</v>
      </c>
      <c r="T182" s="60">
        <f t="shared" si="142"/>
        <v>180.48047802041276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-3.4106051316484809E-13</v>
      </c>
      <c r="AJ182" s="14">
        <f>AI182*VLOOKUP('Données projet'!$B$10,Paramètres!$A$1:$I$89,3,0)*VLOOKUP('Données projet'!$B$10,Paramètres!$A$1:$I$89,5,0)</f>
        <v>-2.8730937629006804E-13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295.5242128298583</v>
      </c>
      <c r="AO182" s="60">
        <f t="shared" si="144"/>
        <v>164.21740841327744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5.4092197387944907E-14</v>
      </c>
      <c r="BF182" s="14">
        <f t="shared" si="167"/>
        <v>8.7287050538073676E-13</v>
      </c>
      <c r="BG182" s="22">
        <f t="shared" si="168"/>
        <v>1.6144600406554537E-12</v>
      </c>
      <c r="BH182" s="60">
        <f t="shared" si="116"/>
        <v>293.33333333333491</v>
      </c>
      <c r="BI182" s="60">
        <f ca="1">AVERAGE(OFFSET($BH$3,0,0,'Données projet'!$E$11+1,1))-AVERAGE(OFFSET($H$3,0,0,'Données projet'!$E$11+1,1))</f>
        <v>276.19649531804959</v>
      </c>
      <c r="BJ182" s="60">
        <f t="shared" si="146"/>
        <v>253.14970964973463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7.4487616075202823E-14</v>
      </c>
      <c r="CA182" s="14">
        <f t="shared" si="170"/>
        <v>1.1580453144473142E-12</v>
      </c>
      <c r="CB182" s="22">
        <f t="shared" si="171"/>
        <v>2.1466615206600508E-12</v>
      </c>
      <c r="CC182" s="60">
        <f t="shared" si="119"/>
        <v>293.33333333333547</v>
      </c>
      <c r="CD182" s="60">
        <f ca="1">AVERAGE(OFFSET($CC$3,0,0,'Données projet'!$E$12+1,1))-AVERAGE(OFFSET($H$3,0,0,'Données projet'!$E$12+1,1))</f>
        <v>154.88061446835457</v>
      </c>
      <c r="CE182" s="60">
        <f t="shared" si="148"/>
        <v>201.47826692201693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4.3855088784262683E-2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4.3855088784262683E-2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293.44206058086951</v>
      </c>
      <c r="CZ182" s="60">
        <f t="shared" si="150"/>
        <v>182.15909509186827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>
        <f>DO182*VLOOKUP('Données projet'!$B$14,Paramètres!$A$1:$I$89,3,0)*VLOOKUP('Données projet'!$B$14,Paramètres!$A$1:$I$89,5,0)</f>
        <v>0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338.92444234934266</v>
      </c>
      <c r="DU182" s="60">
        <f t="shared" si="152"/>
        <v>208.91548891910895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2.2737367544323206E-13</v>
      </c>
      <c r="EK182" s="18">
        <f>EJ182*VLOOKUP('Données projet'!$B$15,Paramètres!$A$1:$I$89,3,0)*VLOOKUP('Données projet'!$B$15,Paramètres!$A$1:$I$89,5,0)</f>
        <v>1.8444552551954985E-13</v>
      </c>
      <c r="EL182" s="14">
        <f t="shared" si="179"/>
        <v>2.580317449479618E-12</v>
      </c>
      <c r="EM182" s="22">
        <f t="shared" si="180"/>
        <v>4.8152955147902165E-12</v>
      </c>
      <c r="EN182" s="60">
        <f t="shared" si="128"/>
        <v>293.33333333333815</v>
      </c>
      <c r="EO182" s="60">
        <f ca="1">AVERAGE(OFFSET($EN$3,0,0,'Données projet'!$E$15+1,1))-AVERAGE(OFFSET($H$3,0,0,'Données projet'!$E$15+1,1))</f>
        <v>346.10839312896536</v>
      </c>
      <c r="EP182" s="60">
        <f t="shared" si="154"/>
        <v>196.24927250256087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5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8">
        <f t="shared" si="110"/>
        <v>643.2535794675166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-3.4106051316484809E-13</v>
      </c>
      <c r="O183" s="14">
        <f>N183*VLOOKUP('Données projet'!$B$9,Paramètres!$A$1:$I$89,3,0)*VLOOKUP('Données projet'!$B$9,Paramètres!$A$1:$I$89,5,0)</f>
        <v>-3.0859155231155454E-13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327.62615088747526</v>
      </c>
      <c r="T183" s="60">
        <f t="shared" si="142"/>
        <v>180.48047802041276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-3.4106051316484809E-13</v>
      </c>
      <c r="AJ183" s="14">
        <f>AI183*VLOOKUP('Données projet'!$B$10,Paramètres!$A$1:$I$89,3,0)*VLOOKUP('Données projet'!$B$10,Paramètres!$A$1:$I$89,5,0)</f>
        <v>-2.8730937629006804E-13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295.5242128298583</v>
      </c>
      <c r="AO183" s="60">
        <f t="shared" si="144"/>
        <v>164.21740841327744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5.4092197387944907E-14</v>
      </c>
      <c r="BF183" s="14">
        <f t="shared" si="167"/>
        <v>8.7287050538073676E-13</v>
      </c>
      <c r="BG183" s="22">
        <f t="shared" si="168"/>
        <v>1.6144600406554537E-12</v>
      </c>
      <c r="BH183" s="60">
        <f t="shared" si="116"/>
        <v>293.33333333333491</v>
      </c>
      <c r="BI183" s="60">
        <f ca="1">AVERAGE(OFFSET($BH$3,0,0,'Données projet'!$E$11+1,1))-AVERAGE(OFFSET($H$3,0,0,'Données projet'!$E$11+1,1))</f>
        <v>276.19649531804959</v>
      </c>
      <c r="BJ183" s="60">
        <f t="shared" si="146"/>
        <v>253.14970964973463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7.4487616075202823E-14</v>
      </c>
      <c r="CA183" s="14">
        <f t="shared" si="170"/>
        <v>1.1580453144473142E-12</v>
      </c>
      <c r="CB183" s="22">
        <f t="shared" si="171"/>
        <v>2.1466615206600508E-12</v>
      </c>
      <c r="CC183" s="60">
        <f t="shared" si="119"/>
        <v>293.33333333333547</v>
      </c>
      <c r="CD183" s="60">
        <f ca="1">AVERAGE(OFFSET($CC$3,0,0,'Données projet'!$E$12+1,1))-AVERAGE(OFFSET($H$3,0,0,'Données projet'!$E$12+1,1))</f>
        <v>154.88061446835457</v>
      </c>
      <c r="CE183" s="60">
        <f t="shared" si="148"/>
        <v>201.47826692201693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4.2655869075218136E-2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4.2655869075218136E-2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293.44206058086951</v>
      </c>
      <c r="CZ183" s="60">
        <f t="shared" si="150"/>
        <v>182.15909509186827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>
        <f>DO183*VLOOKUP('Données projet'!$B$14,Paramètres!$A$1:$I$89,3,0)*VLOOKUP('Données projet'!$B$14,Paramètres!$A$1:$I$89,5,0)</f>
        <v>0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338.92444234934266</v>
      </c>
      <c r="DU183" s="60">
        <f t="shared" si="152"/>
        <v>208.91548891910895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2.2737367544323206E-13</v>
      </c>
      <c r="EK183" s="18">
        <f>EJ183*VLOOKUP('Données projet'!$B$15,Paramètres!$A$1:$I$89,3,0)*VLOOKUP('Données projet'!$B$15,Paramètres!$A$1:$I$89,5,0)</f>
        <v>1.8444552551954985E-13</v>
      </c>
      <c r="EL183" s="14">
        <f t="shared" si="179"/>
        <v>2.580317449479618E-12</v>
      </c>
      <c r="EM183" s="22">
        <f t="shared" si="180"/>
        <v>4.8152955147902165E-12</v>
      </c>
      <c r="EN183" s="60">
        <f t="shared" si="128"/>
        <v>293.33333333333815</v>
      </c>
      <c r="EO183" s="60">
        <f ca="1">AVERAGE(OFFSET($EN$3,0,0,'Données projet'!$E$15+1,1))-AVERAGE(OFFSET($H$3,0,0,'Données projet'!$E$15+1,1))</f>
        <v>346.10839312896536</v>
      </c>
      <c r="EP183" s="60">
        <f t="shared" si="154"/>
        <v>196.24927250256087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5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8">
        <f t="shared" si="110"/>
        <v>645.15145388516635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-3.4106051316484809E-13</v>
      </c>
      <c r="O184" s="14">
        <f>N184*VLOOKUP('Données projet'!$B$9,Paramètres!$A$1:$I$89,3,0)*VLOOKUP('Données projet'!$B$9,Paramètres!$A$1:$I$89,5,0)</f>
        <v>-3.0859155231155454E-13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327.62615088747526</v>
      </c>
      <c r="T184" s="60">
        <f t="shared" si="142"/>
        <v>180.48047802041276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-3.4106051316484809E-13</v>
      </c>
      <c r="AJ184" s="14">
        <f>AI184*VLOOKUP('Données projet'!$B$10,Paramètres!$A$1:$I$89,3,0)*VLOOKUP('Données projet'!$B$10,Paramètres!$A$1:$I$89,5,0)</f>
        <v>-2.8730937629006804E-13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295.5242128298583</v>
      </c>
      <c r="AO184" s="60">
        <f t="shared" si="144"/>
        <v>164.21740841327744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5.4092197387944907E-14</v>
      </c>
      <c r="BF184" s="14">
        <f t="shared" si="167"/>
        <v>8.7287050538073676E-13</v>
      </c>
      <c r="BG184" s="22">
        <f t="shared" si="168"/>
        <v>1.6144600406554537E-12</v>
      </c>
      <c r="BH184" s="60">
        <f t="shared" si="116"/>
        <v>293.33333333333491</v>
      </c>
      <c r="BI184" s="60">
        <f ca="1">AVERAGE(OFFSET($BH$3,0,0,'Données projet'!$E$11+1,1))-AVERAGE(OFFSET($H$3,0,0,'Données projet'!$E$11+1,1))</f>
        <v>276.19649531804959</v>
      </c>
      <c r="BJ184" s="60">
        <f t="shared" si="146"/>
        <v>253.14970964973463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7.4487616075202823E-14</v>
      </c>
      <c r="CA184" s="14">
        <f t="shared" si="170"/>
        <v>1.1580453144473142E-12</v>
      </c>
      <c r="CB184" s="22">
        <f t="shared" si="171"/>
        <v>2.1466615206600508E-12</v>
      </c>
      <c r="CC184" s="60">
        <f t="shared" si="119"/>
        <v>293.33333333333547</v>
      </c>
      <c r="CD184" s="60">
        <f ca="1">AVERAGE(OFFSET($CC$3,0,0,'Données projet'!$E$12+1,1))-AVERAGE(OFFSET($H$3,0,0,'Données projet'!$E$12+1,1))</f>
        <v>154.88061446835457</v>
      </c>
      <c r="CE184" s="60">
        <f t="shared" si="148"/>
        <v>201.47826692201693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4.1489442092181632E-2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4.1489442092181632E-2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293.44206058086951</v>
      </c>
      <c r="CZ184" s="60">
        <f t="shared" si="150"/>
        <v>182.15909509186827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>
        <f>DO184*VLOOKUP('Données projet'!$B$14,Paramètres!$A$1:$I$89,3,0)*VLOOKUP('Données projet'!$B$14,Paramètres!$A$1:$I$89,5,0)</f>
        <v>0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338.92444234934266</v>
      </c>
      <c r="DU184" s="60">
        <f t="shared" si="152"/>
        <v>208.91548891910895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2.2737367544323206E-13</v>
      </c>
      <c r="EK184" s="18">
        <f>EJ184*VLOOKUP('Données projet'!$B$15,Paramètres!$A$1:$I$89,3,0)*VLOOKUP('Données projet'!$B$15,Paramètres!$A$1:$I$89,5,0)</f>
        <v>1.8444552551954985E-13</v>
      </c>
      <c r="EL184" s="14">
        <f t="shared" si="179"/>
        <v>2.580317449479618E-12</v>
      </c>
      <c r="EM184" s="22">
        <f t="shared" si="180"/>
        <v>4.8152955147902165E-12</v>
      </c>
      <c r="EN184" s="60">
        <f t="shared" si="128"/>
        <v>293.33333333333815</v>
      </c>
      <c r="EO184" s="60">
        <f ca="1">AVERAGE(OFFSET($EN$3,0,0,'Données projet'!$E$15+1,1))-AVERAGE(OFFSET($H$3,0,0,'Données projet'!$E$15+1,1))</f>
        <v>346.10839312896536</v>
      </c>
      <c r="EP184" s="60">
        <f t="shared" si="154"/>
        <v>196.24927250256087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5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8">
        <f t="shared" si="110"/>
        <v>647.0491038154214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-3.4106051316484809E-13</v>
      </c>
      <c r="O185" s="14">
        <f>N185*VLOOKUP('Données projet'!$B$9,Paramètres!$A$1:$I$89,3,0)*VLOOKUP('Données projet'!$B$9,Paramètres!$A$1:$I$89,5,0)</f>
        <v>-3.0859155231155454E-13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327.62615088747526</v>
      </c>
      <c r="T185" s="60">
        <f t="shared" si="142"/>
        <v>180.48047802041276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-3.4106051316484809E-13</v>
      </c>
      <c r="AJ185" s="14">
        <f>AI185*VLOOKUP('Données projet'!$B$10,Paramètres!$A$1:$I$89,3,0)*VLOOKUP('Données projet'!$B$10,Paramètres!$A$1:$I$89,5,0)</f>
        <v>-2.8730937629006804E-13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295.5242128298583</v>
      </c>
      <c r="AO185" s="60">
        <f t="shared" si="144"/>
        <v>164.21740841327744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5.4092197387944907E-14</v>
      </c>
      <c r="BF185" s="14">
        <f t="shared" si="167"/>
        <v>8.7287050538073676E-13</v>
      </c>
      <c r="BG185" s="22">
        <f t="shared" si="168"/>
        <v>1.6144600406554537E-12</v>
      </c>
      <c r="BH185" s="60">
        <f t="shared" si="116"/>
        <v>293.33333333333491</v>
      </c>
      <c r="BI185" s="60">
        <f ca="1">AVERAGE(OFFSET($BH$3,0,0,'Données projet'!$E$11+1,1))-AVERAGE(OFFSET($H$3,0,0,'Données projet'!$E$11+1,1))</f>
        <v>276.19649531804959</v>
      </c>
      <c r="BJ185" s="60">
        <f t="shared" si="146"/>
        <v>253.14970964973463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7.4487616075202823E-14</v>
      </c>
      <c r="CA185" s="14">
        <f t="shared" si="170"/>
        <v>1.1580453144473142E-12</v>
      </c>
      <c r="CB185" s="22">
        <f t="shared" si="171"/>
        <v>2.1466615206600508E-12</v>
      </c>
      <c r="CC185" s="60">
        <f t="shared" si="119"/>
        <v>293.33333333333547</v>
      </c>
      <c r="CD185" s="60">
        <f ca="1">AVERAGE(OFFSET($CC$3,0,0,'Données projet'!$E$12+1,1))-AVERAGE(OFFSET($H$3,0,0,'Données projet'!$E$12+1,1))</f>
        <v>154.88061446835457</v>
      </c>
      <c r="CE185" s="60">
        <f t="shared" si="148"/>
        <v>201.47826692201693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4.035491111633599E-2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4.035491111633599E-2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293.44206058086951</v>
      </c>
      <c r="CZ185" s="60">
        <f t="shared" si="150"/>
        <v>182.15909509186827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>
        <f>DO185*VLOOKUP('Données projet'!$B$14,Paramètres!$A$1:$I$89,3,0)*VLOOKUP('Données projet'!$B$14,Paramètres!$A$1:$I$89,5,0)</f>
        <v>0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338.92444234934266</v>
      </c>
      <c r="DU185" s="60">
        <f t="shared" si="152"/>
        <v>208.91548891910895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2.2737367544323206E-13</v>
      </c>
      <c r="EK185" s="18">
        <f>EJ185*VLOOKUP('Données projet'!$B$15,Paramètres!$A$1:$I$89,3,0)*VLOOKUP('Données projet'!$B$15,Paramètres!$A$1:$I$89,5,0)</f>
        <v>1.8444552551954985E-13</v>
      </c>
      <c r="EL185" s="14">
        <f t="shared" si="179"/>
        <v>2.580317449479618E-12</v>
      </c>
      <c r="EM185" s="22">
        <f t="shared" si="180"/>
        <v>4.8152955147902165E-12</v>
      </c>
      <c r="EN185" s="60">
        <f t="shared" si="128"/>
        <v>293.33333333333815</v>
      </c>
      <c r="EO185" s="60">
        <f ca="1">AVERAGE(OFFSET($EN$3,0,0,'Données projet'!$E$15+1,1))-AVERAGE(OFFSET($H$3,0,0,'Données projet'!$E$15+1,1))</f>
        <v>346.10839312896536</v>
      </c>
      <c r="EP185" s="60">
        <f t="shared" si="154"/>
        <v>196.24927250256087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5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8">
        <f t="shared" si="110"/>
        <v>648.94653063487635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-3.4106051316484809E-13</v>
      </c>
      <c r="O186" s="14">
        <f>N186*VLOOKUP('Données projet'!$B$9,Paramètres!$A$1:$I$89,3,0)*VLOOKUP('Données projet'!$B$9,Paramètres!$A$1:$I$89,5,0)</f>
        <v>-3.0859155231155454E-13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327.62615088747526</v>
      </c>
      <c r="T186" s="60">
        <f t="shared" si="142"/>
        <v>180.48047802041276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-3.4106051316484809E-13</v>
      </c>
      <c r="AJ186" s="14">
        <f>AI186*VLOOKUP('Données projet'!$B$10,Paramètres!$A$1:$I$89,3,0)*VLOOKUP('Données projet'!$B$10,Paramètres!$A$1:$I$89,5,0)</f>
        <v>-2.8730937629006804E-13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295.5242128298583</v>
      </c>
      <c r="AO186" s="60">
        <f t="shared" si="144"/>
        <v>164.21740841327744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5.4092197387944907E-14</v>
      </c>
      <c r="BF186" s="14">
        <f t="shared" si="167"/>
        <v>8.7287050538073676E-13</v>
      </c>
      <c r="BG186" s="22">
        <f t="shared" si="168"/>
        <v>1.6144600406554537E-12</v>
      </c>
      <c r="BH186" s="60">
        <f t="shared" si="116"/>
        <v>293.33333333333491</v>
      </c>
      <c r="BI186" s="60">
        <f ca="1">AVERAGE(OFFSET($BH$3,0,0,'Données projet'!$E$11+1,1))-AVERAGE(OFFSET($H$3,0,0,'Données projet'!$E$11+1,1))</f>
        <v>276.19649531804959</v>
      </c>
      <c r="BJ186" s="60">
        <f t="shared" si="146"/>
        <v>253.14970964973463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7.4487616075202823E-14</v>
      </c>
      <c r="CA186" s="14">
        <f t="shared" si="170"/>
        <v>1.1580453144473142E-12</v>
      </c>
      <c r="CB186" s="22">
        <f t="shared" si="171"/>
        <v>2.1466615206600508E-12</v>
      </c>
      <c r="CC186" s="60">
        <f t="shared" si="119"/>
        <v>293.33333333333547</v>
      </c>
      <c r="CD186" s="60">
        <f ca="1">AVERAGE(OFFSET($CC$3,0,0,'Données projet'!$E$12+1,1))-AVERAGE(OFFSET($H$3,0,0,'Données projet'!$E$12+1,1))</f>
        <v>154.88061446835457</v>
      </c>
      <c r="CE186" s="60">
        <f t="shared" si="148"/>
        <v>201.47826692201693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3.9251403949687236E-2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3.9251403949687236E-2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293.44206058086951</v>
      </c>
      <c r="CZ186" s="60">
        <f t="shared" si="150"/>
        <v>182.15909509186827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>
        <f>DO186*VLOOKUP('Données projet'!$B$14,Paramètres!$A$1:$I$89,3,0)*VLOOKUP('Données projet'!$B$14,Paramètres!$A$1:$I$89,5,0)</f>
        <v>0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338.92444234934266</v>
      </c>
      <c r="DU186" s="60">
        <f t="shared" si="152"/>
        <v>208.91548891910895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2.2737367544323206E-13</v>
      </c>
      <c r="EK186" s="18">
        <f>EJ186*VLOOKUP('Données projet'!$B$15,Paramètres!$A$1:$I$89,3,0)*VLOOKUP('Données projet'!$B$15,Paramètres!$A$1:$I$89,5,0)</f>
        <v>1.8444552551954985E-13</v>
      </c>
      <c r="EL186" s="14">
        <f t="shared" si="179"/>
        <v>2.580317449479618E-12</v>
      </c>
      <c r="EM186" s="22">
        <f t="shared" si="180"/>
        <v>4.8152955147902165E-12</v>
      </c>
      <c r="EN186" s="60">
        <f t="shared" si="128"/>
        <v>293.33333333333815</v>
      </c>
      <c r="EO186" s="60">
        <f ca="1">AVERAGE(OFFSET($EN$3,0,0,'Données projet'!$E$15+1,1))-AVERAGE(OFFSET($H$3,0,0,'Données projet'!$E$15+1,1))</f>
        <v>346.10839312896536</v>
      </c>
      <c r="EP186" s="60">
        <f t="shared" si="154"/>
        <v>196.24927250256087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5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8">
        <f t="shared" si="110"/>
        <v>650.84373570420951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-3.4106051316484809E-13</v>
      </c>
      <c r="O187" s="14">
        <f>N187*VLOOKUP('Données projet'!$B$9,Paramètres!$A$1:$I$89,3,0)*VLOOKUP('Données projet'!$B$9,Paramètres!$A$1:$I$89,5,0)</f>
        <v>-3.0859155231155454E-13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327.62615088747526</v>
      </c>
      <c r="T187" s="60">
        <f t="shared" si="142"/>
        <v>180.48047802041276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-3.4106051316484809E-13</v>
      </c>
      <c r="AJ187" s="14">
        <f>AI187*VLOOKUP('Données projet'!$B$10,Paramètres!$A$1:$I$89,3,0)*VLOOKUP('Données projet'!$B$10,Paramètres!$A$1:$I$89,5,0)</f>
        <v>-2.8730937629006804E-13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295.5242128298583</v>
      </c>
      <c r="AO187" s="60">
        <f t="shared" si="144"/>
        <v>164.21740841327744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5.4092197387944907E-14</v>
      </c>
      <c r="BF187" s="14">
        <f t="shared" si="167"/>
        <v>8.7287050538073676E-13</v>
      </c>
      <c r="BG187" s="22">
        <f t="shared" si="168"/>
        <v>1.6144600406554537E-12</v>
      </c>
      <c r="BH187" s="60">
        <f t="shared" si="116"/>
        <v>293.33333333333491</v>
      </c>
      <c r="BI187" s="60">
        <f ca="1">AVERAGE(OFFSET($BH$3,0,0,'Données projet'!$E$11+1,1))-AVERAGE(OFFSET($H$3,0,0,'Données projet'!$E$11+1,1))</f>
        <v>276.19649531804959</v>
      </c>
      <c r="BJ187" s="60">
        <f t="shared" si="146"/>
        <v>253.14970964973463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7.4487616075202823E-14</v>
      </c>
      <c r="CA187" s="14">
        <f t="shared" si="170"/>
        <v>1.1580453144473142E-12</v>
      </c>
      <c r="CB187" s="22">
        <f t="shared" si="171"/>
        <v>2.1466615206600508E-12</v>
      </c>
      <c r="CC187" s="60">
        <f t="shared" si="119"/>
        <v>293.33333333333547</v>
      </c>
      <c r="CD187" s="60">
        <f ca="1">AVERAGE(OFFSET($CC$3,0,0,'Données projet'!$E$12+1,1))-AVERAGE(OFFSET($H$3,0,0,'Données projet'!$E$12+1,1))</f>
        <v>154.88061446835457</v>
      </c>
      <c r="CE187" s="60">
        <f t="shared" si="148"/>
        <v>201.47826692201693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3.8178072244541415E-2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3.8178072244541415E-2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293.44206058086951</v>
      </c>
      <c r="CZ187" s="60">
        <f t="shared" si="150"/>
        <v>182.15909509186827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>
        <f>DO187*VLOOKUP('Données projet'!$B$14,Paramètres!$A$1:$I$89,3,0)*VLOOKUP('Données projet'!$B$14,Paramètres!$A$1:$I$89,5,0)</f>
        <v>0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338.92444234934266</v>
      </c>
      <c r="DU187" s="60">
        <f t="shared" si="152"/>
        <v>208.91548891910895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2.2737367544323206E-13</v>
      </c>
      <c r="EK187" s="18">
        <f>EJ187*VLOOKUP('Données projet'!$B$15,Paramètres!$A$1:$I$89,3,0)*VLOOKUP('Données projet'!$B$15,Paramètres!$A$1:$I$89,5,0)</f>
        <v>1.8444552551954985E-13</v>
      </c>
      <c r="EL187" s="14">
        <f t="shared" si="179"/>
        <v>2.580317449479618E-12</v>
      </c>
      <c r="EM187" s="22">
        <f t="shared" si="180"/>
        <v>4.8152955147902165E-12</v>
      </c>
      <c r="EN187" s="60">
        <f t="shared" si="128"/>
        <v>293.33333333333815</v>
      </c>
      <c r="EO187" s="60">
        <f ca="1">AVERAGE(OFFSET($EN$3,0,0,'Données projet'!$E$15+1,1))-AVERAGE(OFFSET($H$3,0,0,'Données projet'!$E$15+1,1))</f>
        <v>346.10839312896536</v>
      </c>
      <c r="EP187" s="60">
        <f t="shared" si="154"/>
        <v>196.24927250256087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5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8">
        <f t="shared" si="110"/>
        <v>652.74072036845359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-3.4106051316484809E-13</v>
      </c>
      <c r="O188" s="14">
        <f>N188*VLOOKUP('Données projet'!$B$9,Paramètres!$A$1:$I$89,3,0)*VLOOKUP('Données projet'!$B$9,Paramètres!$A$1:$I$89,5,0)</f>
        <v>-3.0859155231155454E-13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327.62615088747526</v>
      </c>
      <c r="T188" s="60">
        <f t="shared" si="142"/>
        <v>180.48047802041276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-3.4106051316484809E-13</v>
      </c>
      <c r="AJ188" s="14">
        <f>AI188*VLOOKUP('Données projet'!$B$10,Paramètres!$A$1:$I$89,3,0)*VLOOKUP('Données projet'!$B$10,Paramètres!$A$1:$I$89,5,0)</f>
        <v>-2.8730937629006804E-13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295.5242128298583</v>
      </c>
      <c r="AO188" s="60">
        <f t="shared" si="144"/>
        <v>164.21740841327744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5.4092197387944907E-14</v>
      </c>
      <c r="BF188" s="14">
        <f t="shared" si="167"/>
        <v>8.7287050538073676E-13</v>
      </c>
      <c r="BG188" s="22">
        <f t="shared" si="168"/>
        <v>1.6144600406554537E-12</v>
      </c>
      <c r="BH188" s="60">
        <f t="shared" si="116"/>
        <v>293.33333333333491</v>
      </c>
      <c r="BI188" s="60">
        <f ca="1">AVERAGE(OFFSET($BH$3,0,0,'Données projet'!$E$11+1,1))-AVERAGE(OFFSET($H$3,0,0,'Données projet'!$E$11+1,1))</f>
        <v>276.19649531804959</v>
      </c>
      <c r="BJ188" s="60">
        <f t="shared" si="146"/>
        <v>253.14970964973463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7.4487616075202823E-14</v>
      </c>
      <c r="CA188" s="14">
        <f t="shared" si="170"/>
        <v>1.1580453144473142E-12</v>
      </c>
      <c r="CB188" s="22">
        <f t="shared" si="171"/>
        <v>2.1466615206600508E-12</v>
      </c>
      <c r="CC188" s="60">
        <f t="shared" si="119"/>
        <v>293.33333333333547</v>
      </c>
      <c r="CD188" s="60">
        <f ca="1">AVERAGE(OFFSET($CC$3,0,0,'Données projet'!$E$12+1,1))-AVERAGE(OFFSET($H$3,0,0,'Données projet'!$E$12+1,1))</f>
        <v>154.88061446835457</v>
      </c>
      <c r="CE188" s="60">
        <f t="shared" si="148"/>
        <v>201.47826692201693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3.7134090851316866E-2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3.7134090851316866E-2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293.44206058086951</v>
      </c>
      <c r="CZ188" s="60">
        <f t="shared" si="150"/>
        <v>182.15909509186827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>
        <f>DO188*VLOOKUP('Données projet'!$B$14,Paramètres!$A$1:$I$89,3,0)*VLOOKUP('Données projet'!$B$14,Paramètres!$A$1:$I$89,5,0)</f>
        <v>0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338.92444234934266</v>
      </c>
      <c r="DU188" s="60">
        <f t="shared" si="152"/>
        <v>208.91548891910895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2.2737367544323206E-13</v>
      </c>
      <c r="EK188" s="18">
        <f>EJ188*VLOOKUP('Données projet'!$B$15,Paramètres!$A$1:$I$89,3,0)*VLOOKUP('Données projet'!$B$15,Paramètres!$A$1:$I$89,5,0)</f>
        <v>1.8444552551954985E-13</v>
      </c>
      <c r="EL188" s="14">
        <f t="shared" si="179"/>
        <v>2.580317449479618E-12</v>
      </c>
      <c r="EM188" s="22">
        <f t="shared" si="180"/>
        <v>4.8152955147902165E-12</v>
      </c>
      <c r="EN188" s="60">
        <f t="shared" si="128"/>
        <v>293.33333333333815</v>
      </c>
      <c r="EO188" s="60">
        <f ca="1">AVERAGE(OFFSET($EN$3,0,0,'Données projet'!$E$15+1,1))-AVERAGE(OFFSET($H$3,0,0,'Données projet'!$E$15+1,1))</f>
        <v>346.10839312896536</v>
      </c>
      <c r="EP188" s="60">
        <f t="shared" si="154"/>
        <v>196.24927250256087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5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8">
        <f t="shared" si="110"/>
        <v>654.63748595725838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-3.4106051316484809E-13</v>
      </c>
      <c r="O189" s="14">
        <f>N189*VLOOKUP('Données projet'!$B$9,Paramètres!$A$1:$I$89,3,0)*VLOOKUP('Données projet'!$B$9,Paramètres!$A$1:$I$89,5,0)</f>
        <v>-3.0859155231155454E-13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327.62615088747526</v>
      </c>
      <c r="T189" s="60">
        <f t="shared" si="142"/>
        <v>180.48047802041276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-3.4106051316484809E-13</v>
      </c>
      <c r="AJ189" s="14">
        <f>AI189*VLOOKUP('Données projet'!$B$10,Paramètres!$A$1:$I$89,3,0)*VLOOKUP('Données projet'!$B$10,Paramètres!$A$1:$I$89,5,0)</f>
        <v>-2.8730937629006804E-13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295.5242128298583</v>
      </c>
      <c r="AO189" s="60">
        <f t="shared" si="144"/>
        <v>164.21740841327744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5.4092197387944907E-14</v>
      </c>
      <c r="BF189" s="14">
        <f t="shared" si="167"/>
        <v>8.7287050538073676E-13</v>
      </c>
      <c r="BG189" s="22">
        <f t="shared" si="168"/>
        <v>1.6144600406554537E-12</v>
      </c>
      <c r="BH189" s="60">
        <f t="shared" si="116"/>
        <v>293.33333333333491</v>
      </c>
      <c r="BI189" s="60">
        <f ca="1">AVERAGE(OFFSET($BH$3,0,0,'Données projet'!$E$11+1,1))-AVERAGE(OFFSET($H$3,0,0,'Données projet'!$E$11+1,1))</f>
        <v>276.19649531804959</v>
      </c>
      <c r="BJ189" s="60">
        <f t="shared" si="146"/>
        <v>253.14970964973463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7.4487616075202823E-14</v>
      </c>
      <c r="CA189" s="14">
        <f t="shared" si="170"/>
        <v>1.1580453144473142E-12</v>
      </c>
      <c r="CB189" s="22">
        <f t="shared" si="171"/>
        <v>2.1466615206600508E-12</v>
      </c>
      <c r="CC189" s="60">
        <f t="shared" si="119"/>
        <v>293.33333333333547</v>
      </c>
      <c r="CD189" s="60">
        <f ca="1">AVERAGE(OFFSET($CC$3,0,0,'Données projet'!$E$12+1,1))-AVERAGE(OFFSET($H$3,0,0,'Données projet'!$E$12+1,1))</f>
        <v>154.88061446835457</v>
      </c>
      <c r="CE189" s="60">
        <f t="shared" si="148"/>
        <v>201.47826692201693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3.611865718419064E-2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3.611865718419064E-2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293.44206058086951</v>
      </c>
      <c r="CZ189" s="60">
        <f t="shared" si="150"/>
        <v>182.15909509186827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>
        <f>DO189*VLOOKUP('Données projet'!$B$14,Paramètres!$A$1:$I$89,3,0)*VLOOKUP('Données projet'!$B$14,Paramètres!$A$1:$I$89,5,0)</f>
        <v>0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338.92444234934266</v>
      </c>
      <c r="DU189" s="60">
        <f t="shared" si="152"/>
        <v>208.91548891910895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2.2737367544323206E-13</v>
      </c>
      <c r="EK189" s="18">
        <f>EJ189*VLOOKUP('Données projet'!$B$15,Paramètres!$A$1:$I$89,3,0)*VLOOKUP('Données projet'!$B$15,Paramètres!$A$1:$I$89,5,0)</f>
        <v>1.8444552551954985E-13</v>
      </c>
      <c r="EL189" s="14">
        <f t="shared" si="179"/>
        <v>2.580317449479618E-12</v>
      </c>
      <c r="EM189" s="22">
        <f t="shared" si="180"/>
        <v>4.8152955147902165E-12</v>
      </c>
      <c r="EN189" s="60">
        <f t="shared" si="128"/>
        <v>293.33333333333815</v>
      </c>
      <c r="EO189" s="60">
        <f ca="1">AVERAGE(OFFSET($EN$3,0,0,'Données projet'!$E$15+1,1))-AVERAGE(OFFSET($H$3,0,0,'Données projet'!$E$15+1,1))</f>
        <v>346.10839312896536</v>
      </c>
      <c r="EP189" s="60">
        <f t="shared" si="154"/>
        <v>196.24927250256087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5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8">
        <f t="shared" si="110"/>
        <v>656.53403378514918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-3.4106051316484809E-13</v>
      </c>
      <c r="O190" s="14">
        <f>N190*VLOOKUP('Données projet'!$B$9,Paramètres!$A$1:$I$89,3,0)*VLOOKUP('Données projet'!$B$9,Paramètres!$A$1:$I$89,5,0)</f>
        <v>-3.0859155231155454E-13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327.62615088747526</v>
      </c>
      <c r="T190" s="60">
        <f t="shared" si="142"/>
        <v>180.48047802041276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-3.4106051316484809E-13</v>
      </c>
      <c r="AJ190" s="14">
        <f>AI190*VLOOKUP('Données projet'!$B$10,Paramètres!$A$1:$I$89,3,0)*VLOOKUP('Données projet'!$B$10,Paramètres!$A$1:$I$89,5,0)</f>
        <v>-2.8730937629006804E-13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295.5242128298583</v>
      </c>
      <c r="AO190" s="60">
        <f t="shared" si="144"/>
        <v>164.21740841327744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5.4092197387944907E-14</v>
      </c>
      <c r="BF190" s="14">
        <f t="shared" si="167"/>
        <v>8.7287050538073676E-13</v>
      </c>
      <c r="BG190" s="22">
        <f t="shared" si="168"/>
        <v>1.6144600406554537E-12</v>
      </c>
      <c r="BH190" s="60">
        <f t="shared" si="116"/>
        <v>293.33333333333491</v>
      </c>
      <c r="BI190" s="60">
        <f ca="1">AVERAGE(OFFSET($BH$3,0,0,'Données projet'!$E$11+1,1))-AVERAGE(OFFSET($H$3,0,0,'Données projet'!$E$11+1,1))</f>
        <v>276.19649531804959</v>
      </c>
      <c r="BJ190" s="60">
        <f t="shared" si="146"/>
        <v>253.14970964973463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7.4487616075202823E-14</v>
      </c>
      <c r="CA190" s="14">
        <f t="shared" si="170"/>
        <v>1.1580453144473142E-12</v>
      </c>
      <c r="CB190" s="22">
        <f t="shared" si="171"/>
        <v>2.1466615206600508E-12</v>
      </c>
      <c r="CC190" s="60">
        <f t="shared" si="119"/>
        <v>293.33333333333547</v>
      </c>
      <c r="CD190" s="60">
        <f ca="1">AVERAGE(OFFSET($CC$3,0,0,'Données projet'!$E$12+1,1))-AVERAGE(OFFSET($H$3,0,0,'Données projet'!$E$12+1,1))</f>
        <v>154.88061446835457</v>
      </c>
      <c r="CE190" s="60">
        <f t="shared" si="148"/>
        <v>201.47826692201693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3.5130990604091319E-2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3.5130990604091319E-2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293.44206058086951</v>
      </c>
      <c r="CZ190" s="60">
        <f t="shared" si="150"/>
        <v>182.15909509186827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>
        <f>DO190*VLOOKUP('Données projet'!$B$14,Paramètres!$A$1:$I$89,3,0)*VLOOKUP('Données projet'!$B$14,Paramètres!$A$1:$I$89,5,0)</f>
        <v>0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338.92444234934266</v>
      </c>
      <c r="DU190" s="60">
        <f t="shared" si="152"/>
        <v>208.91548891910895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2.2737367544323206E-13</v>
      </c>
      <c r="EK190" s="18">
        <f>EJ190*VLOOKUP('Données projet'!$B$15,Paramètres!$A$1:$I$89,3,0)*VLOOKUP('Données projet'!$B$15,Paramètres!$A$1:$I$89,5,0)</f>
        <v>1.8444552551954985E-13</v>
      </c>
      <c r="EL190" s="14">
        <f t="shared" si="179"/>
        <v>2.580317449479618E-12</v>
      </c>
      <c r="EM190" s="22">
        <f t="shared" si="180"/>
        <v>4.8152955147902165E-12</v>
      </c>
      <c r="EN190" s="60">
        <f t="shared" si="128"/>
        <v>293.33333333333815</v>
      </c>
      <c r="EO190" s="60">
        <f ca="1">AVERAGE(OFFSET($EN$3,0,0,'Données projet'!$E$15+1,1))-AVERAGE(OFFSET($H$3,0,0,'Données projet'!$E$15+1,1))</f>
        <v>346.10839312896536</v>
      </c>
      <c r="EP190" s="60">
        <f t="shared" si="154"/>
        <v>196.24927250256087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5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8">
        <f t="shared" si="110"/>
        <v>658.43036515177823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-3.4106051316484809E-13</v>
      </c>
      <c r="O191" s="14">
        <f>N191*VLOOKUP('Données projet'!$B$9,Paramètres!$A$1:$I$89,3,0)*VLOOKUP('Données projet'!$B$9,Paramètres!$A$1:$I$89,5,0)</f>
        <v>-3.0859155231155454E-13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327.62615088747526</v>
      </c>
      <c r="T191" s="60">
        <f t="shared" si="142"/>
        <v>180.48047802041276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-3.4106051316484809E-13</v>
      </c>
      <c r="AJ191" s="14">
        <f>AI191*VLOOKUP('Données projet'!$B$10,Paramètres!$A$1:$I$89,3,0)*VLOOKUP('Données projet'!$B$10,Paramètres!$A$1:$I$89,5,0)</f>
        <v>-2.8730937629006804E-13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295.5242128298583</v>
      </c>
      <c r="AO191" s="60">
        <f t="shared" si="144"/>
        <v>164.21740841327744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5.4092197387944907E-14</v>
      </c>
      <c r="BF191" s="14">
        <f t="shared" si="167"/>
        <v>8.7287050538073676E-13</v>
      </c>
      <c r="BG191" s="22">
        <f t="shared" si="168"/>
        <v>1.6144600406554537E-12</v>
      </c>
      <c r="BH191" s="60">
        <f t="shared" si="116"/>
        <v>293.33333333333491</v>
      </c>
      <c r="BI191" s="60">
        <f ca="1">AVERAGE(OFFSET($BH$3,0,0,'Données projet'!$E$11+1,1))-AVERAGE(OFFSET($H$3,0,0,'Données projet'!$E$11+1,1))</f>
        <v>276.19649531804959</v>
      </c>
      <c r="BJ191" s="60">
        <f t="shared" si="146"/>
        <v>253.14970964973463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7.4487616075202823E-14</v>
      </c>
      <c r="CA191" s="14">
        <f t="shared" si="170"/>
        <v>1.1580453144473142E-12</v>
      </c>
      <c r="CB191" s="22">
        <f t="shared" si="171"/>
        <v>2.1466615206600508E-12</v>
      </c>
      <c r="CC191" s="60">
        <f t="shared" si="119"/>
        <v>293.33333333333547</v>
      </c>
      <c r="CD191" s="60">
        <f ca="1">AVERAGE(OFFSET($CC$3,0,0,'Données projet'!$E$12+1,1))-AVERAGE(OFFSET($H$3,0,0,'Données projet'!$E$12+1,1))</f>
        <v>154.88061446835457</v>
      </c>
      <c r="CE191" s="60">
        <f t="shared" si="148"/>
        <v>201.47826692201693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3.4170331818563937E-2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3.4170331818563937E-2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293.44206058086951</v>
      </c>
      <c r="CZ191" s="60">
        <f t="shared" si="150"/>
        <v>182.15909509186827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>
        <f>DO191*VLOOKUP('Données projet'!$B$14,Paramètres!$A$1:$I$89,3,0)*VLOOKUP('Données projet'!$B$14,Paramètres!$A$1:$I$89,5,0)</f>
        <v>0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338.92444234934266</v>
      </c>
      <c r="DU191" s="60">
        <f t="shared" si="152"/>
        <v>208.91548891910895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2.2737367544323206E-13</v>
      </c>
      <c r="EK191" s="18">
        <f>EJ191*VLOOKUP('Données projet'!$B$15,Paramètres!$A$1:$I$89,3,0)*VLOOKUP('Données projet'!$B$15,Paramètres!$A$1:$I$89,5,0)</f>
        <v>1.8444552551954985E-13</v>
      </c>
      <c r="EL191" s="14">
        <f t="shared" si="179"/>
        <v>2.580317449479618E-12</v>
      </c>
      <c r="EM191" s="22">
        <f t="shared" si="180"/>
        <v>4.8152955147902165E-12</v>
      </c>
      <c r="EN191" s="60">
        <f t="shared" si="128"/>
        <v>293.33333333333815</v>
      </c>
      <c r="EO191" s="60">
        <f ca="1">AVERAGE(OFFSET($EN$3,0,0,'Données projet'!$E$15+1,1))-AVERAGE(OFFSET($H$3,0,0,'Données projet'!$E$15+1,1))</f>
        <v>346.10839312896536</v>
      </c>
      <c r="EP191" s="60">
        <f t="shared" si="154"/>
        <v>196.24927250256087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5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8">
        <f t="shared" si="110"/>
        <v>660.32648134217106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-3.4106051316484809E-13</v>
      </c>
      <c r="O192" s="14">
        <f>N192*VLOOKUP('Données projet'!$B$9,Paramètres!$A$1:$I$89,3,0)*VLOOKUP('Données projet'!$B$9,Paramètres!$A$1:$I$89,5,0)</f>
        <v>-3.0859155231155454E-13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327.62615088747526</v>
      </c>
      <c r="T192" s="60">
        <f t="shared" si="142"/>
        <v>180.48047802041276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-3.4106051316484809E-13</v>
      </c>
      <c r="AJ192" s="14">
        <f>AI192*VLOOKUP('Données projet'!$B$10,Paramètres!$A$1:$I$89,3,0)*VLOOKUP('Données projet'!$B$10,Paramètres!$A$1:$I$89,5,0)</f>
        <v>-2.8730937629006804E-13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295.5242128298583</v>
      </c>
      <c r="AO192" s="60">
        <f t="shared" si="144"/>
        <v>164.21740841327744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5.4092197387944907E-14</v>
      </c>
      <c r="BF192" s="14">
        <f t="shared" si="167"/>
        <v>8.7287050538073676E-13</v>
      </c>
      <c r="BG192" s="22">
        <f t="shared" si="168"/>
        <v>1.6144600406554537E-12</v>
      </c>
      <c r="BH192" s="60">
        <f t="shared" si="116"/>
        <v>293.33333333333491</v>
      </c>
      <c r="BI192" s="60">
        <f ca="1">AVERAGE(OFFSET($BH$3,0,0,'Données projet'!$E$11+1,1))-AVERAGE(OFFSET($H$3,0,0,'Données projet'!$E$11+1,1))</f>
        <v>276.19649531804959</v>
      </c>
      <c r="BJ192" s="60">
        <f t="shared" si="146"/>
        <v>253.14970964973463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7.4487616075202823E-14</v>
      </c>
      <c r="CA192" s="14">
        <f t="shared" si="170"/>
        <v>1.1580453144473142E-12</v>
      </c>
      <c r="CB192" s="22">
        <f t="shared" si="171"/>
        <v>2.1466615206600508E-12</v>
      </c>
      <c r="CC192" s="60">
        <f t="shared" si="119"/>
        <v>293.33333333333547</v>
      </c>
      <c r="CD192" s="60">
        <f ca="1">AVERAGE(OFFSET($CC$3,0,0,'Données projet'!$E$12+1,1))-AVERAGE(OFFSET($H$3,0,0,'Données projet'!$E$12+1,1))</f>
        <v>154.88061446835457</v>
      </c>
      <c r="CE192" s="60">
        <f t="shared" si="148"/>
        <v>201.47826692201693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3.3235942298045655E-2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3.3235942298045655E-2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293.44206058086951</v>
      </c>
      <c r="CZ192" s="60">
        <f t="shared" si="150"/>
        <v>182.15909509186827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>
        <f>DO192*VLOOKUP('Données projet'!$B$14,Paramètres!$A$1:$I$89,3,0)*VLOOKUP('Données projet'!$B$14,Paramètres!$A$1:$I$89,5,0)</f>
        <v>0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338.92444234934266</v>
      </c>
      <c r="DU192" s="60">
        <f t="shared" si="152"/>
        <v>208.91548891910895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2.2737367544323206E-13</v>
      </c>
      <c r="EK192" s="18">
        <f>EJ192*VLOOKUP('Données projet'!$B$15,Paramètres!$A$1:$I$89,3,0)*VLOOKUP('Données projet'!$B$15,Paramètres!$A$1:$I$89,5,0)</f>
        <v>1.8444552551954985E-13</v>
      </c>
      <c r="EL192" s="14">
        <f t="shared" si="179"/>
        <v>2.580317449479618E-12</v>
      </c>
      <c r="EM192" s="22">
        <f t="shared" si="180"/>
        <v>4.8152955147902165E-12</v>
      </c>
      <c r="EN192" s="60">
        <f t="shared" si="128"/>
        <v>293.33333333333815</v>
      </c>
      <c r="EO192" s="60">
        <f ca="1">AVERAGE(OFFSET($EN$3,0,0,'Données projet'!$E$15+1,1))-AVERAGE(OFFSET($H$3,0,0,'Données projet'!$E$15+1,1))</f>
        <v>346.10839312896536</v>
      </c>
      <c r="EP192" s="60">
        <f t="shared" si="154"/>
        <v>196.24927250256087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5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8">
        <f t="shared" si="110"/>
        <v>662.22238362696817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-3.4106051316484809E-13</v>
      </c>
      <c r="O193" s="14">
        <f>N193*VLOOKUP('Données projet'!$B$9,Paramètres!$A$1:$I$89,3,0)*VLOOKUP('Données projet'!$B$9,Paramètres!$A$1:$I$89,5,0)</f>
        <v>-3.0859155231155454E-13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327.62615088747526</v>
      </c>
      <c r="T193" s="60">
        <f t="shared" si="142"/>
        <v>180.48047802041276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-3.4106051316484809E-13</v>
      </c>
      <c r="AJ193" s="14">
        <f>AI193*VLOOKUP('Données projet'!$B$10,Paramètres!$A$1:$I$89,3,0)*VLOOKUP('Données projet'!$B$10,Paramètres!$A$1:$I$89,5,0)</f>
        <v>-2.8730937629006804E-13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295.5242128298583</v>
      </c>
      <c r="AO193" s="60">
        <f t="shared" si="144"/>
        <v>164.21740841327744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5.4092197387944907E-14</v>
      </c>
      <c r="BF193" s="14">
        <f t="shared" si="167"/>
        <v>8.7287050538073676E-13</v>
      </c>
      <c r="BG193" s="22">
        <f t="shared" si="168"/>
        <v>1.6144600406554537E-12</v>
      </c>
      <c r="BH193" s="60">
        <f t="shared" si="116"/>
        <v>293.33333333333491</v>
      </c>
      <c r="BI193" s="60">
        <f ca="1">AVERAGE(OFFSET($BH$3,0,0,'Données projet'!$E$11+1,1))-AVERAGE(OFFSET($H$3,0,0,'Données projet'!$E$11+1,1))</f>
        <v>276.19649531804959</v>
      </c>
      <c r="BJ193" s="60">
        <f t="shared" si="146"/>
        <v>253.14970964973463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7.4487616075202823E-14</v>
      </c>
      <c r="CA193" s="14">
        <f t="shared" si="170"/>
        <v>1.1580453144473142E-12</v>
      </c>
      <c r="CB193" s="22">
        <f t="shared" si="171"/>
        <v>2.1466615206600508E-12</v>
      </c>
      <c r="CC193" s="60">
        <f t="shared" si="119"/>
        <v>293.33333333333547</v>
      </c>
      <c r="CD193" s="60">
        <f ca="1">AVERAGE(OFFSET($CC$3,0,0,'Données projet'!$E$12+1,1))-AVERAGE(OFFSET($H$3,0,0,'Données projet'!$E$12+1,1))</f>
        <v>154.88061446835457</v>
      </c>
      <c r="CE193" s="60">
        <f t="shared" si="148"/>
        <v>201.47826692201693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3.232710370810335E-2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3.232710370810335E-2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293.44206058086951</v>
      </c>
      <c r="CZ193" s="60">
        <f t="shared" si="150"/>
        <v>182.15909509186827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>
        <f>DO193*VLOOKUP('Données projet'!$B$14,Paramètres!$A$1:$I$89,3,0)*VLOOKUP('Données projet'!$B$14,Paramètres!$A$1:$I$89,5,0)</f>
        <v>0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338.92444234934266</v>
      </c>
      <c r="DU193" s="60">
        <f t="shared" si="152"/>
        <v>208.91548891910895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2.2737367544323206E-13</v>
      </c>
      <c r="EK193" s="18">
        <f>EJ193*VLOOKUP('Données projet'!$B$15,Paramètres!$A$1:$I$89,3,0)*VLOOKUP('Données projet'!$B$15,Paramètres!$A$1:$I$89,5,0)</f>
        <v>1.8444552551954985E-13</v>
      </c>
      <c r="EL193" s="14">
        <f t="shared" si="179"/>
        <v>2.580317449479618E-12</v>
      </c>
      <c r="EM193" s="22">
        <f t="shared" si="180"/>
        <v>4.8152955147902165E-12</v>
      </c>
      <c r="EN193" s="60">
        <f t="shared" si="128"/>
        <v>293.33333333333815</v>
      </c>
      <c r="EO193" s="60">
        <f ca="1">AVERAGE(OFFSET($EN$3,0,0,'Données projet'!$E$15+1,1))-AVERAGE(OFFSET($H$3,0,0,'Données projet'!$E$15+1,1))</f>
        <v>346.10839312896536</v>
      </c>
      <c r="EP193" s="60">
        <f t="shared" si="154"/>
        <v>196.24927250256087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5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8">
        <f t="shared" si="110"/>
        <v>664.11807326266057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-3.4106051316484809E-13</v>
      </c>
      <c r="O194" s="14">
        <f>N194*VLOOKUP('Données projet'!$B$9,Paramètres!$A$1:$I$89,3,0)*VLOOKUP('Données projet'!$B$9,Paramètres!$A$1:$I$89,5,0)</f>
        <v>-3.0859155231155454E-13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327.62615088747526</v>
      </c>
      <c r="T194" s="60">
        <f t="shared" si="142"/>
        <v>180.48047802041276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-3.4106051316484809E-13</v>
      </c>
      <c r="AJ194" s="14">
        <f>AI194*VLOOKUP('Données projet'!$B$10,Paramètres!$A$1:$I$89,3,0)*VLOOKUP('Données projet'!$B$10,Paramètres!$A$1:$I$89,5,0)</f>
        <v>-2.8730937629006804E-13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295.5242128298583</v>
      </c>
      <c r="AO194" s="60">
        <f t="shared" si="144"/>
        <v>164.21740841327744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5.4092197387944907E-14</v>
      </c>
      <c r="BF194" s="14">
        <f t="shared" si="167"/>
        <v>8.7287050538073676E-13</v>
      </c>
      <c r="BG194" s="22">
        <f t="shared" si="168"/>
        <v>1.6144600406554537E-12</v>
      </c>
      <c r="BH194" s="60">
        <f t="shared" si="116"/>
        <v>293.33333333333491</v>
      </c>
      <c r="BI194" s="60">
        <f ca="1">AVERAGE(OFFSET($BH$3,0,0,'Données projet'!$E$11+1,1))-AVERAGE(OFFSET($H$3,0,0,'Données projet'!$E$11+1,1))</f>
        <v>276.19649531804959</v>
      </c>
      <c r="BJ194" s="60">
        <f t="shared" si="146"/>
        <v>253.14970964973463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7.4487616075202823E-14</v>
      </c>
      <c r="CA194" s="14">
        <f t="shared" si="170"/>
        <v>1.1580453144473142E-12</v>
      </c>
      <c r="CB194" s="22">
        <f t="shared" si="171"/>
        <v>2.1466615206600508E-12</v>
      </c>
      <c r="CC194" s="60">
        <f t="shared" si="119"/>
        <v>293.33333333333547</v>
      </c>
      <c r="CD194" s="60">
        <f ca="1">AVERAGE(OFFSET($CC$3,0,0,'Données projet'!$E$12+1,1))-AVERAGE(OFFSET($H$3,0,0,'Données projet'!$E$12+1,1))</f>
        <v>154.88061446835457</v>
      </c>
      <c r="CE194" s="60">
        <f t="shared" si="148"/>
        <v>201.47826692201693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3.1443117357196765E-2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3.1443117357196765E-2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293.44206058086951</v>
      </c>
      <c r="CZ194" s="60">
        <f t="shared" si="150"/>
        <v>182.15909509186827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>
        <f>DO194*VLOOKUP('Données projet'!$B$14,Paramètres!$A$1:$I$89,3,0)*VLOOKUP('Données projet'!$B$14,Paramètres!$A$1:$I$89,5,0)</f>
        <v>0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338.92444234934266</v>
      </c>
      <c r="DU194" s="60">
        <f t="shared" si="152"/>
        <v>208.91548891910895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2.2737367544323206E-13</v>
      </c>
      <c r="EK194" s="18">
        <f>EJ194*VLOOKUP('Données projet'!$B$15,Paramètres!$A$1:$I$89,3,0)*VLOOKUP('Données projet'!$B$15,Paramètres!$A$1:$I$89,5,0)</f>
        <v>1.8444552551954985E-13</v>
      </c>
      <c r="EL194" s="14">
        <f t="shared" si="179"/>
        <v>2.580317449479618E-12</v>
      </c>
      <c r="EM194" s="22">
        <f t="shared" si="180"/>
        <v>4.8152955147902165E-12</v>
      </c>
      <c r="EN194" s="60">
        <f t="shared" si="128"/>
        <v>293.33333333333815</v>
      </c>
      <c r="EO194" s="60">
        <f ca="1">AVERAGE(OFFSET($EN$3,0,0,'Données projet'!$E$15+1,1))-AVERAGE(OFFSET($H$3,0,0,'Données projet'!$E$15+1,1))</f>
        <v>346.10839312896536</v>
      </c>
      <c r="EP194" s="60">
        <f t="shared" si="154"/>
        <v>196.24927250256087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5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8">
        <f t="shared" si="110"/>
        <v>666.01355149182064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-3.4106051316484809E-13</v>
      </c>
      <c r="O195" s="14">
        <f>N195*VLOOKUP('Données projet'!$B$9,Paramètres!$A$1:$I$89,3,0)*VLOOKUP('Données projet'!$B$9,Paramètres!$A$1:$I$89,5,0)</f>
        <v>-3.0859155231155454E-13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327.62615088747526</v>
      </c>
      <c r="T195" s="60">
        <f t="shared" si="142"/>
        <v>180.48047802041276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-3.4106051316484809E-13</v>
      </c>
      <c r="AJ195" s="14">
        <f>AI195*VLOOKUP('Données projet'!$B$10,Paramètres!$A$1:$I$89,3,0)*VLOOKUP('Données projet'!$B$10,Paramètres!$A$1:$I$89,5,0)</f>
        <v>-2.8730937629006804E-13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295.5242128298583</v>
      </c>
      <c r="AO195" s="60">
        <f t="shared" si="144"/>
        <v>164.21740841327744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5.4092197387944907E-14</v>
      </c>
      <c r="BF195" s="14">
        <f t="shared" si="167"/>
        <v>8.7287050538073676E-13</v>
      </c>
      <c r="BG195" s="22">
        <f t="shared" si="168"/>
        <v>1.6144600406554537E-12</v>
      </c>
      <c r="BH195" s="60">
        <f t="shared" si="116"/>
        <v>293.33333333333491</v>
      </c>
      <c r="BI195" s="60">
        <f ca="1">AVERAGE(OFFSET($BH$3,0,0,'Données projet'!$E$11+1,1))-AVERAGE(OFFSET($H$3,0,0,'Données projet'!$E$11+1,1))</f>
        <v>276.19649531804959</v>
      </c>
      <c r="BJ195" s="60">
        <f t="shared" si="146"/>
        <v>253.14970964973463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7.4487616075202823E-14</v>
      </c>
      <c r="CA195" s="14">
        <f t="shared" si="170"/>
        <v>1.1580453144473142E-12</v>
      </c>
      <c r="CB195" s="22">
        <f t="shared" si="171"/>
        <v>2.1466615206600508E-12</v>
      </c>
      <c r="CC195" s="60">
        <f t="shared" si="119"/>
        <v>293.33333333333547</v>
      </c>
      <c r="CD195" s="60">
        <f ca="1">AVERAGE(OFFSET($CC$3,0,0,'Données projet'!$E$12+1,1))-AVERAGE(OFFSET($H$3,0,0,'Données projet'!$E$12+1,1))</f>
        <v>154.88061446835457</v>
      </c>
      <c r="CE195" s="60">
        <f t="shared" si="148"/>
        <v>201.47826692201693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3.0583303659542541E-2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3.0583303659542541E-2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293.44206058086951</v>
      </c>
      <c r="CZ195" s="60">
        <f t="shared" si="150"/>
        <v>182.15909509186827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>
        <f>DO195*VLOOKUP('Données projet'!$B$14,Paramètres!$A$1:$I$89,3,0)*VLOOKUP('Données projet'!$B$14,Paramètres!$A$1:$I$89,5,0)</f>
        <v>0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338.92444234934266</v>
      </c>
      <c r="DU195" s="60">
        <f t="shared" si="152"/>
        <v>208.91548891910895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2.2737367544323206E-13</v>
      </c>
      <c r="EK195" s="18">
        <f>EJ195*VLOOKUP('Données projet'!$B$15,Paramètres!$A$1:$I$89,3,0)*VLOOKUP('Données projet'!$B$15,Paramètres!$A$1:$I$89,5,0)</f>
        <v>1.8444552551954985E-13</v>
      </c>
      <c r="EL195" s="14">
        <f t="shared" si="179"/>
        <v>2.580317449479618E-12</v>
      </c>
      <c r="EM195" s="22">
        <f t="shared" si="180"/>
        <v>4.8152955147902165E-12</v>
      </c>
      <c r="EN195" s="60">
        <f t="shared" si="128"/>
        <v>293.33333333333815</v>
      </c>
      <c r="EO195" s="60">
        <f ca="1">AVERAGE(OFFSET($EN$3,0,0,'Données projet'!$E$15+1,1))-AVERAGE(OFFSET($H$3,0,0,'Données projet'!$E$15+1,1))</f>
        <v>346.10839312896536</v>
      </c>
      <c r="EP195" s="60">
        <f t="shared" si="154"/>
        <v>196.24927250256087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5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8">
        <f t="shared" ref="H196:H203" si="192">(B196+E196+F196)*44/12+(C196+D196)*0.475*44/12</f>
        <v>667.90881954332758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-3.4106051316484809E-13</v>
      </c>
      <c r="O196" s="14">
        <f>N196*VLOOKUP('Données projet'!$B$9,Paramètres!$A$1:$I$89,3,0)*VLOOKUP('Données projet'!$B$9,Paramètres!$A$1:$I$89,5,0)</f>
        <v>-3.0859155231155454E-13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327.62615088747526</v>
      </c>
      <c r="T196" s="60">
        <f t="shared" si="142"/>
        <v>180.48047802041276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-3.4106051316484809E-13</v>
      </c>
      <c r="AJ196" s="14">
        <f>AI196*VLOOKUP('Données projet'!$B$10,Paramètres!$A$1:$I$89,3,0)*VLOOKUP('Données projet'!$B$10,Paramètres!$A$1:$I$89,5,0)</f>
        <v>-2.8730937629006804E-13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295.5242128298583</v>
      </c>
      <c r="AO196" s="60">
        <f t="shared" si="144"/>
        <v>164.21740841327744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5.4092197387944907E-14</v>
      </c>
      <c r="BF196" s="14">
        <f t="shared" si="167"/>
        <v>8.7287050538073676E-13</v>
      </c>
      <c r="BG196" s="22">
        <f t="shared" si="168"/>
        <v>1.6144600406554537E-12</v>
      </c>
      <c r="BH196" s="60">
        <f t="shared" ref="BH196:BH203" si="194">BG196+(AY196+AZ196)*44/12</f>
        <v>293.33333333333491</v>
      </c>
      <c r="BI196" s="60">
        <f ca="1">AVERAGE(OFFSET($BH$3,0,0,'Données projet'!$E$11+1,1))-AVERAGE(OFFSET($H$3,0,0,'Données projet'!$E$11+1,1))</f>
        <v>276.19649531804959</v>
      </c>
      <c r="BJ196" s="60">
        <f t="shared" si="146"/>
        <v>253.14970964973463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7.4487616075202823E-14</v>
      </c>
      <c r="CA196" s="14">
        <f t="shared" si="170"/>
        <v>1.1580453144473142E-12</v>
      </c>
      <c r="CB196" s="22">
        <f t="shared" si="171"/>
        <v>2.1466615206600508E-12</v>
      </c>
      <c r="CC196" s="60">
        <f t="shared" ref="CC196:CC203" si="195">CB196+(BT196+BU196)*44/12</f>
        <v>293.33333333333547</v>
      </c>
      <c r="CD196" s="60">
        <f ca="1">AVERAGE(OFFSET($CC$3,0,0,'Données projet'!$E$12+1,1))-AVERAGE(OFFSET($H$3,0,0,'Données projet'!$E$12+1,1))</f>
        <v>154.88061446835457</v>
      </c>
      <c r="CE196" s="60">
        <f t="shared" si="148"/>
        <v>201.47826692201693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2.9747001612666309E-2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2.9747001612666309E-2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293.44206058086951</v>
      </c>
      <c r="CZ196" s="60">
        <f t="shared" si="150"/>
        <v>182.15909509186827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>
        <f>DO196*VLOOKUP('Données projet'!$B$14,Paramètres!$A$1:$I$89,3,0)*VLOOKUP('Données projet'!$B$14,Paramètres!$A$1:$I$89,5,0)</f>
        <v>0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338.92444234934266</v>
      </c>
      <c r="DU196" s="60">
        <f t="shared" si="152"/>
        <v>208.91548891910895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2.2737367544323206E-13</v>
      </c>
      <c r="EK196" s="18">
        <f>EJ196*VLOOKUP('Données projet'!$B$15,Paramètres!$A$1:$I$89,3,0)*VLOOKUP('Données projet'!$B$15,Paramètres!$A$1:$I$89,5,0)</f>
        <v>1.8444552551954985E-13</v>
      </c>
      <c r="EL196" s="14">
        <f t="shared" si="179"/>
        <v>2.580317449479618E-12</v>
      </c>
      <c r="EM196" s="22">
        <f t="shared" si="180"/>
        <v>4.8152955147902165E-12</v>
      </c>
      <c r="EN196" s="60">
        <f t="shared" ref="EN196:EN203" si="198">EM196+(EE196+EF196)*44/12</f>
        <v>293.33333333333815</v>
      </c>
      <c r="EO196" s="60">
        <f ca="1">AVERAGE(OFFSET($EN$3,0,0,'Données projet'!$E$15+1,1))-AVERAGE(OFFSET($H$3,0,0,'Données projet'!$E$15+1,1))</f>
        <v>346.10839312896536</v>
      </c>
      <c r="EP196" s="60">
        <f t="shared" si="154"/>
        <v>196.24927250256087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5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8">
        <f t="shared" si="192"/>
        <v>669.80387863258932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-3.4106051316484809E-13</v>
      </c>
      <c r="O197" s="14">
        <f>N197*VLOOKUP('Données projet'!$B$9,Paramètres!$A$1:$I$89,3,0)*VLOOKUP('Données projet'!$B$9,Paramètres!$A$1:$I$89,5,0)</f>
        <v>-3.0859155231155454E-13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327.62615088747526</v>
      </c>
      <c r="T197" s="60">
        <f t="shared" ref="T197:T203" si="204">$T$3</f>
        <v>180.48047802041276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-3.4106051316484809E-13</v>
      </c>
      <c r="AJ197" s="14">
        <f>AI197*VLOOKUP('Données projet'!$B$10,Paramètres!$A$1:$I$89,3,0)*VLOOKUP('Données projet'!$B$10,Paramètres!$A$1:$I$89,5,0)</f>
        <v>-2.8730937629006804E-13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295.5242128298583</v>
      </c>
      <c r="AO197" s="60">
        <f t="shared" ref="AO197:AO203" si="205">$AO$3</f>
        <v>164.21740841327744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5.4092197387944907E-14</v>
      </c>
      <c r="BF197" s="14">
        <f t="shared" si="167"/>
        <v>8.7287050538073676E-13</v>
      </c>
      <c r="BG197" s="22">
        <f t="shared" si="168"/>
        <v>1.6144600406554537E-12</v>
      </c>
      <c r="BH197" s="60">
        <f t="shared" si="194"/>
        <v>293.33333333333491</v>
      </c>
      <c r="BI197" s="60">
        <f ca="1">AVERAGE(OFFSET($BH$3,0,0,'Données projet'!$E$11+1,1))-AVERAGE(OFFSET($H$3,0,0,'Données projet'!$E$11+1,1))</f>
        <v>276.19649531804959</v>
      </c>
      <c r="BJ197" s="60">
        <f t="shared" ref="BJ197:BJ203" si="206">$BJ$3</f>
        <v>253.14970964973463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7.4487616075202823E-14</v>
      </c>
      <c r="CA197" s="14">
        <f t="shared" si="170"/>
        <v>1.1580453144473142E-12</v>
      </c>
      <c r="CB197" s="22">
        <f t="shared" si="171"/>
        <v>2.1466615206600508E-12</v>
      </c>
      <c r="CC197" s="60">
        <f t="shared" si="195"/>
        <v>293.33333333333547</v>
      </c>
      <c r="CD197" s="60">
        <f ca="1">AVERAGE(OFFSET($CC$3,0,0,'Données projet'!$E$12+1,1))-AVERAGE(OFFSET($H$3,0,0,'Données projet'!$E$12+1,1))</f>
        <v>154.88061446835457</v>
      </c>
      <c r="CE197" s="60">
        <f t="shared" ref="CE197:CE203" si="207">$CE$3</f>
        <v>201.47826692201693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2.893356828924112E-2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2.893356828924112E-2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293.44206058086951</v>
      </c>
      <c r="CZ197" s="60">
        <f t="shared" ref="CZ197:CZ203" si="208">$CZ$3</f>
        <v>182.15909509186827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>
        <f>DO197*VLOOKUP('Données projet'!$B$14,Paramètres!$A$1:$I$89,3,0)*VLOOKUP('Données projet'!$B$14,Paramètres!$A$1:$I$89,5,0)</f>
        <v>0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338.92444234934266</v>
      </c>
      <c r="DU197" s="60">
        <f t="shared" ref="DU197:DU203" si="209">$DU$3</f>
        <v>208.91548891910895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2.2737367544323206E-13</v>
      </c>
      <c r="EK197" s="18">
        <f>EJ197*VLOOKUP('Données projet'!$B$15,Paramètres!$A$1:$I$89,3,0)*VLOOKUP('Données projet'!$B$15,Paramètres!$A$1:$I$89,5,0)</f>
        <v>1.8444552551954985E-13</v>
      </c>
      <c r="EL197" s="14">
        <f t="shared" si="179"/>
        <v>2.580317449479618E-12</v>
      </c>
      <c r="EM197" s="22">
        <f t="shared" si="180"/>
        <v>4.8152955147902165E-12</v>
      </c>
      <c r="EN197" s="60">
        <f t="shared" si="198"/>
        <v>293.33333333333815</v>
      </c>
      <c r="EO197" s="60">
        <f ca="1">AVERAGE(OFFSET($EN$3,0,0,'Données projet'!$E$15+1,1))-AVERAGE(OFFSET($H$3,0,0,'Données projet'!$E$15+1,1))</f>
        <v>346.10839312896536</v>
      </c>
      <c r="EP197" s="60">
        <f t="shared" ref="EP197:EP203" si="210">$EP$3</f>
        <v>196.24927250256087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5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8">
        <f t="shared" si="192"/>
        <v>671.69872996175832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-3.4106051316484809E-13</v>
      </c>
      <c r="O198" s="14">
        <f>N198*VLOOKUP('Données projet'!$B$9,Paramètres!$A$1:$I$89,3,0)*VLOOKUP('Données projet'!$B$9,Paramètres!$A$1:$I$89,5,0)</f>
        <v>-3.0859155231155454E-13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327.62615088747526</v>
      </c>
      <c r="T198" s="60">
        <f t="shared" si="204"/>
        <v>180.48047802041276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-3.4106051316484809E-13</v>
      </c>
      <c r="AJ198" s="14">
        <f>AI198*VLOOKUP('Données projet'!$B$10,Paramètres!$A$1:$I$89,3,0)*VLOOKUP('Données projet'!$B$10,Paramètres!$A$1:$I$89,5,0)</f>
        <v>-2.8730937629006804E-13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295.5242128298583</v>
      </c>
      <c r="AO198" s="60">
        <f t="shared" si="205"/>
        <v>164.21740841327744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5.4092197387944907E-14</v>
      </c>
      <c r="BF198" s="14">
        <f t="shared" si="167"/>
        <v>8.7287050538073676E-13</v>
      </c>
      <c r="BG198" s="22">
        <f t="shared" si="168"/>
        <v>1.6144600406554537E-12</v>
      </c>
      <c r="BH198" s="60">
        <f t="shared" si="194"/>
        <v>293.33333333333491</v>
      </c>
      <c r="BI198" s="60">
        <f ca="1">AVERAGE(OFFSET($BH$3,0,0,'Données projet'!$E$11+1,1))-AVERAGE(OFFSET($H$3,0,0,'Données projet'!$E$11+1,1))</f>
        <v>276.19649531804959</v>
      </c>
      <c r="BJ198" s="60">
        <f t="shared" si="206"/>
        <v>253.14970964973463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7.4487616075202823E-14</v>
      </c>
      <c r="CA198" s="14">
        <f t="shared" si="170"/>
        <v>1.1580453144473142E-12</v>
      </c>
      <c r="CB198" s="22">
        <f t="shared" si="171"/>
        <v>2.1466615206600508E-12</v>
      </c>
      <c r="CC198" s="60">
        <f t="shared" si="195"/>
        <v>293.33333333333547</v>
      </c>
      <c r="CD198" s="60">
        <f ca="1">AVERAGE(OFFSET($CC$3,0,0,'Données projet'!$E$12+1,1))-AVERAGE(OFFSET($H$3,0,0,'Données projet'!$E$12+1,1))</f>
        <v>154.88061446835457</v>
      </c>
      <c r="CE198" s="60">
        <f t="shared" si="207"/>
        <v>201.47826692201693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2.8142378342821593E-2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2.8142378342821593E-2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293.44206058086951</v>
      </c>
      <c r="CZ198" s="60">
        <f t="shared" si="208"/>
        <v>182.15909509186827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>
        <f>DO198*VLOOKUP('Données projet'!$B$14,Paramètres!$A$1:$I$89,3,0)*VLOOKUP('Données projet'!$B$14,Paramètres!$A$1:$I$89,5,0)</f>
        <v>0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338.92444234934266</v>
      </c>
      <c r="DU198" s="60">
        <f t="shared" si="209"/>
        <v>208.91548891910895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2.2737367544323206E-13</v>
      </c>
      <c r="EK198" s="18">
        <f>EJ198*VLOOKUP('Données projet'!$B$15,Paramètres!$A$1:$I$89,3,0)*VLOOKUP('Données projet'!$B$15,Paramètres!$A$1:$I$89,5,0)</f>
        <v>1.8444552551954985E-13</v>
      </c>
      <c r="EL198" s="14">
        <f t="shared" si="179"/>
        <v>2.580317449479618E-12</v>
      </c>
      <c r="EM198" s="22">
        <f t="shared" si="180"/>
        <v>4.8152955147902165E-12</v>
      </c>
      <c r="EN198" s="60">
        <f t="shared" si="198"/>
        <v>293.33333333333815</v>
      </c>
      <c r="EO198" s="60">
        <f ca="1">AVERAGE(OFFSET($EN$3,0,0,'Données projet'!$E$15+1,1))-AVERAGE(OFFSET($H$3,0,0,'Données projet'!$E$15+1,1))</f>
        <v>346.10839312896536</v>
      </c>
      <c r="EP198" s="60">
        <f t="shared" si="210"/>
        <v>196.24927250256087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5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8">
        <f t="shared" si="192"/>
        <v>673.59337471994309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-3.4106051316484809E-13</v>
      </c>
      <c r="O199" s="14">
        <f>N199*VLOOKUP('Données projet'!$B$9,Paramètres!$A$1:$I$89,3,0)*VLOOKUP('Données projet'!$B$9,Paramètres!$A$1:$I$89,5,0)</f>
        <v>-3.0859155231155454E-13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327.62615088747526</v>
      </c>
      <c r="T199" s="60">
        <f t="shared" si="204"/>
        <v>180.48047802041276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-3.4106051316484809E-13</v>
      </c>
      <c r="AJ199" s="14">
        <f>AI199*VLOOKUP('Données projet'!$B$10,Paramètres!$A$1:$I$89,3,0)*VLOOKUP('Données projet'!$B$10,Paramètres!$A$1:$I$89,5,0)</f>
        <v>-2.8730937629006804E-13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295.5242128298583</v>
      </c>
      <c r="AO199" s="60">
        <f t="shared" si="205"/>
        <v>164.21740841327744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5.4092197387944907E-14</v>
      </c>
      <c r="BF199" s="14">
        <f t="shared" si="167"/>
        <v>8.7287050538073676E-13</v>
      </c>
      <c r="BG199" s="22">
        <f t="shared" si="168"/>
        <v>1.6144600406554537E-12</v>
      </c>
      <c r="BH199" s="60">
        <f t="shared" si="194"/>
        <v>293.33333333333491</v>
      </c>
      <c r="BI199" s="60">
        <f ca="1">AVERAGE(OFFSET($BH$3,0,0,'Données projet'!$E$11+1,1))-AVERAGE(OFFSET($H$3,0,0,'Données projet'!$E$11+1,1))</f>
        <v>276.19649531804959</v>
      </c>
      <c r="BJ199" s="60">
        <f t="shared" si="206"/>
        <v>253.14970964973463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7.4487616075202823E-14</v>
      </c>
      <c r="CA199" s="14">
        <f t="shared" si="170"/>
        <v>1.1580453144473142E-12</v>
      </c>
      <c r="CB199" s="22">
        <f t="shared" si="171"/>
        <v>2.1466615206600508E-12</v>
      </c>
      <c r="CC199" s="60">
        <f t="shared" si="195"/>
        <v>293.33333333333547</v>
      </c>
      <c r="CD199" s="60">
        <f ca="1">AVERAGE(OFFSET($CC$3,0,0,'Données projet'!$E$12+1,1))-AVERAGE(OFFSET($H$3,0,0,'Données projet'!$E$12+1,1))</f>
        <v>154.88061446835457</v>
      </c>
      <c r="CE199" s="60">
        <f t="shared" si="207"/>
        <v>201.47826692201693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2.7372823527093779E-2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2.7372823527093779E-2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293.44206058086951</v>
      </c>
      <c r="CZ199" s="60">
        <f t="shared" si="208"/>
        <v>182.15909509186827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>
        <f>DO199*VLOOKUP('Données projet'!$B$14,Paramètres!$A$1:$I$89,3,0)*VLOOKUP('Données projet'!$B$14,Paramètres!$A$1:$I$89,5,0)</f>
        <v>0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338.92444234934266</v>
      </c>
      <c r="DU199" s="60">
        <f t="shared" si="209"/>
        <v>208.91548891910895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2.2737367544323206E-13</v>
      </c>
      <c r="EK199" s="18">
        <f>EJ199*VLOOKUP('Données projet'!$B$15,Paramètres!$A$1:$I$89,3,0)*VLOOKUP('Données projet'!$B$15,Paramètres!$A$1:$I$89,5,0)</f>
        <v>1.8444552551954985E-13</v>
      </c>
      <c r="EL199" s="14">
        <f t="shared" si="179"/>
        <v>2.580317449479618E-12</v>
      </c>
      <c r="EM199" s="22">
        <f t="shared" si="180"/>
        <v>4.8152955147902165E-12</v>
      </c>
      <c r="EN199" s="60">
        <f t="shared" si="198"/>
        <v>293.33333333333815</v>
      </c>
      <c r="EO199" s="60">
        <f ca="1">AVERAGE(OFFSET($EN$3,0,0,'Données projet'!$E$15+1,1))-AVERAGE(OFFSET($H$3,0,0,'Données projet'!$E$15+1,1))</f>
        <v>346.10839312896536</v>
      </c>
      <c r="EP199" s="60">
        <f t="shared" si="210"/>
        <v>196.24927250256087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5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8">
        <f t="shared" si="192"/>
        <v>675.48781408341597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-3.4106051316484809E-13</v>
      </c>
      <c r="O200" s="14">
        <f>N200*VLOOKUP('Données projet'!$B$9,Paramètres!$A$1:$I$89,3,0)*VLOOKUP('Données projet'!$B$9,Paramètres!$A$1:$I$89,5,0)</f>
        <v>-3.0859155231155454E-13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327.62615088747526</v>
      </c>
      <c r="T200" s="60">
        <f t="shared" si="204"/>
        <v>180.48047802041276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-3.4106051316484809E-13</v>
      </c>
      <c r="AJ200" s="14">
        <f>AI200*VLOOKUP('Données projet'!$B$10,Paramètres!$A$1:$I$89,3,0)*VLOOKUP('Données projet'!$B$10,Paramètres!$A$1:$I$89,5,0)</f>
        <v>-2.8730937629006804E-13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295.5242128298583</v>
      </c>
      <c r="AO200" s="60">
        <f t="shared" si="205"/>
        <v>164.21740841327744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5.4092197387944907E-14</v>
      </c>
      <c r="BF200" s="14">
        <f t="shared" si="167"/>
        <v>8.7287050538073676E-13</v>
      </c>
      <c r="BG200" s="22">
        <f t="shared" si="168"/>
        <v>1.6144600406554537E-12</v>
      </c>
      <c r="BH200" s="60">
        <f t="shared" si="194"/>
        <v>293.33333333333491</v>
      </c>
      <c r="BI200" s="60">
        <f ca="1">AVERAGE(OFFSET($BH$3,0,0,'Données projet'!$E$11+1,1))-AVERAGE(OFFSET($H$3,0,0,'Données projet'!$E$11+1,1))</f>
        <v>276.19649531804959</v>
      </c>
      <c r="BJ200" s="60">
        <f t="shared" si="206"/>
        <v>253.14970964973463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7.4487616075202823E-14</v>
      </c>
      <c r="CA200" s="14">
        <f t="shared" si="170"/>
        <v>1.1580453144473142E-12</v>
      </c>
      <c r="CB200" s="22">
        <f t="shared" si="171"/>
        <v>2.1466615206600508E-12</v>
      </c>
      <c r="CC200" s="60">
        <f t="shared" si="195"/>
        <v>293.33333333333547</v>
      </c>
      <c r="CD200" s="60">
        <f ca="1">AVERAGE(OFFSET($CC$3,0,0,'Données projet'!$E$12+1,1))-AVERAGE(OFFSET($H$3,0,0,'Données projet'!$E$12+1,1))</f>
        <v>154.88061446835457</v>
      </c>
      <c r="CE200" s="60">
        <f t="shared" si="207"/>
        <v>201.47826692201693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2.6624312228271173E-2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2.6624312228271173E-2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293.44206058086951</v>
      </c>
      <c r="CZ200" s="60">
        <f t="shared" si="208"/>
        <v>182.15909509186827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>
        <f>DO200*VLOOKUP('Données projet'!$B$14,Paramètres!$A$1:$I$89,3,0)*VLOOKUP('Données projet'!$B$14,Paramètres!$A$1:$I$89,5,0)</f>
        <v>0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338.92444234934266</v>
      </c>
      <c r="DU200" s="60">
        <f t="shared" si="209"/>
        <v>208.91548891910895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2.2737367544323206E-13</v>
      </c>
      <c r="EK200" s="18">
        <f>EJ200*VLOOKUP('Données projet'!$B$15,Paramètres!$A$1:$I$89,3,0)*VLOOKUP('Données projet'!$B$15,Paramètres!$A$1:$I$89,5,0)</f>
        <v>1.8444552551954985E-13</v>
      </c>
      <c r="EL200" s="14">
        <f t="shared" si="179"/>
        <v>2.580317449479618E-12</v>
      </c>
      <c r="EM200" s="22">
        <f t="shared" si="180"/>
        <v>4.8152955147902165E-12</v>
      </c>
      <c r="EN200" s="60">
        <f t="shared" si="198"/>
        <v>293.33333333333815</v>
      </c>
      <c r="EO200" s="60">
        <f ca="1">AVERAGE(OFFSET($EN$3,0,0,'Données projet'!$E$15+1,1))-AVERAGE(OFFSET($H$3,0,0,'Données projet'!$E$15+1,1))</f>
        <v>346.10839312896536</v>
      </c>
      <c r="EP200" s="60">
        <f t="shared" si="210"/>
        <v>196.24927250256087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5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8">
        <f t="shared" si="192"/>
        <v>677.3820492158161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-3.4106051316484809E-13</v>
      </c>
      <c r="O201" s="14">
        <f>N201*VLOOKUP('Données projet'!$B$9,Paramètres!$A$1:$I$89,3,0)*VLOOKUP('Données projet'!$B$9,Paramètres!$A$1:$I$89,5,0)</f>
        <v>-3.0859155231155454E-13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327.62615088747526</v>
      </c>
      <c r="T201" s="60">
        <f t="shared" si="204"/>
        <v>180.48047802041276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-3.4106051316484809E-13</v>
      </c>
      <c r="AJ201" s="14">
        <f>AI201*VLOOKUP('Données projet'!$B$10,Paramètres!$A$1:$I$89,3,0)*VLOOKUP('Données projet'!$B$10,Paramètres!$A$1:$I$89,5,0)</f>
        <v>-2.8730937629006804E-13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295.5242128298583</v>
      </c>
      <c r="AO201" s="60">
        <f t="shared" si="205"/>
        <v>164.21740841327744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5.4092197387944907E-14</v>
      </c>
      <c r="BF201" s="14">
        <f t="shared" si="167"/>
        <v>8.7287050538073676E-13</v>
      </c>
      <c r="BG201" s="22">
        <f t="shared" si="168"/>
        <v>1.6144600406554537E-12</v>
      </c>
      <c r="BH201" s="60">
        <f t="shared" si="194"/>
        <v>293.33333333333491</v>
      </c>
      <c r="BI201" s="60">
        <f ca="1">AVERAGE(OFFSET($BH$3,0,0,'Données projet'!$E$11+1,1))-AVERAGE(OFFSET($H$3,0,0,'Données projet'!$E$11+1,1))</f>
        <v>276.19649531804959</v>
      </c>
      <c r="BJ201" s="60">
        <f t="shared" si="206"/>
        <v>253.14970964973463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7.4487616075202823E-14</v>
      </c>
      <c r="CA201" s="14">
        <f t="shared" si="170"/>
        <v>1.1580453144473142E-12</v>
      </c>
      <c r="CB201" s="22">
        <f t="shared" si="171"/>
        <v>2.1466615206600508E-12</v>
      </c>
      <c r="CC201" s="60">
        <f t="shared" si="195"/>
        <v>293.33333333333547</v>
      </c>
      <c r="CD201" s="60">
        <f ca="1">AVERAGE(OFFSET($CC$3,0,0,'Données projet'!$E$12+1,1))-AVERAGE(OFFSET($H$3,0,0,'Données projet'!$E$12+1,1))</f>
        <v>154.88061446835457</v>
      </c>
      <c r="CE201" s="60">
        <f t="shared" si="207"/>
        <v>201.47826692201693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2.5896269010277369E-2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2.5896269010277369E-2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293.44206058086951</v>
      </c>
      <c r="CZ201" s="60">
        <f t="shared" si="208"/>
        <v>182.15909509186827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>
        <f>DO201*VLOOKUP('Données projet'!$B$14,Paramètres!$A$1:$I$89,3,0)*VLOOKUP('Données projet'!$B$14,Paramètres!$A$1:$I$89,5,0)</f>
        <v>0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338.92444234934266</v>
      </c>
      <c r="DU201" s="60">
        <f t="shared" si="209"/>
        <v>208.91548891910895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2.2737367544323206E-13</v>
      </c>
      <c r="EK201" s="18">
        <f>EJ201*VLOOKUP('Données projet'!$B$15,Paramètres!$A$1:$I$89,3,0)*VLOOKUP('Données projet'!$B$15,Paramètres!$A$1:$I$89,5,0)</f>
        <v>1.8444552551954985E-13</v>
      </c>
      <c r="EL201" s="14">
        <f t="shared" si="179"/>
        <v>2.580317449479618E-12</v>
      </c>
      <c r="EM201" s="22">
        <f t="shared" si="180"/>
        <v>4.8152955147902165E-12</v>
      </c>
      <c r="EN201" s="60">
        <f t="shared" si="198"/>
        <v>293.33333333333815</v>
      </c>
      <c r="EO201" s="60">
        <f ca="1">AVERAGE(OFFSET($EN$3,0,0,'Données projet'!$E$15+1,1))-AVERAGE(OFFSET($H$3,0,0,'Données projet'!$E$15+1,1))</f>
        <v>346.10839312896536</v>
      </c>
      <c r="EP201" s="60">
        <f t="shared" si="210"/>
        <v>196.24927250256087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5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8">
        <f t="shared" si="192"/>
        <v>679.27608126834809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-3.4106051316484809E-13</v>
      </c>
      <c r="O202" s="14">
        <f>N202*VLOOKUP('Données projet'!$B$9,Paramètres!$A$1:$I$89,3,0)*VLOOKUP('Données projet'!$B$9,Paramètres!$A$1:$I$89,5,0)</f>
        <v>-3.0859155231155454E-13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327.62615088747526</v>
      </c>
      <c r="T202" s="60">
        <f t="shared" si="204"/>
        <v>180.48047802041276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-3.4106051316484809E-13</v>
      </c>
      <c r="AJ202" s="14">
        <f>AI202*VLOOKUP('Données projet'!$B$10,Paramètres!$A$1:$I$89,3,0)*VLOOKUP('Données projet'!$B$10,Paramètres!$A$1:$I$89,5,0)</f>
        <v>-2.8730937629006804E-13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295.5242128298583</v>
      </c>
      <c r="AO202" s="60">
        <f t="shared" si="205"/>
        <v>164.21740841327744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5.4092197387944907E-14</v>
      </c>
      <c r="BF202" s="14">
        <f t="shared" si="167"/>
        <v>8.7287050538073676E-13</v>
      </c>
      <c r="BG202" s="22">
        <f t="shared" si="168"/>
        <v>1.6144600406554537E-12</v>
      </c>
      <c r="BH202" s="60">
        <f t="shared" si="194"/>
        <v>293.33333333333491</v>
      </c>
      <c r="BI202" s="60">
        <f ca="1">AVERAGE(OFFSET($BH$3,0,0,'Données projet'!$E$11+1,1))-AVERAGE(OFFSET($H$3,0,0,'Données projet'!$E$11+1,1))</f>
        <v>276.19649531804959</v>
      </c>
      <c r="BJ202" s="60">
        <f t="shared" si="206"/>
        <v>253.14970964973463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7.4487616075202823E-14</v>
      </c>
      <c r="CA202" s="14">
        <f t="shared" si="170"/>
        <v>1.1580453144473142E-12</v>
      </c>
      <c r="CB202" s="22">
        <f t="shared" si="171"/>
        <v>2.1466615206600508E-12</v>
      </c>
      <c r="CC202" s="60">
        <f t="shared" si="195"/>
        <v>293.33333333333547</v>
      </c>
      <c r="CD202" s="60">
        <f ca="1">AVERAGE(OFFSET($CC$3,0,0,'Données projet'!$E$12+1,1))-AVERAGE(OFFSET($H$3,0,0,'Données projet'!$E$12+1,1))</f>
        <v>154.88061446835457</v>
      </c>
      <c r="CE202" s="60">
        <f t="shared" si="207"/>
        <v>201.47826692201693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2.5188134172365734E-2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2.5188134172365734E-2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293.44206058086951</v>
      </c>
      <c r="CZ202" s="60">
        <f t="shared" si="208"/>
        <v>182.15909509186827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>
        <f>DO202*VLOOKUP('Données projet'!$B$14,Paramètres!$A$1:$I$89,3,0)*VLOOKUP('Données projet'!$B$14,Paramètres!$A$1:$I$89,5,0)</f>
        <v>0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338.92444234934266</v>
      </c>
      <c r="DU202" s="60">
        <f t="shared" si="209"/>
        <v>208.91548891910895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2.2737367544323206E-13</v>
      </c>
      <c r="EK202" s="18">
        <f>EJ202*VLOOKUP('Données projet'!$B$15,Paramètres!$A$1:$I$89,3,0)*VLOOKUP('Données projet'!$B$15,Paramètres!$A$1:$I$89,5,0)</f>
        <v>1.8444552551954985E-13</v>
      </c>
      <c r="EL202" s="14">
        <f t="shared" si="179"/>
        <v>2.580317449479618E-12</v>
      </c>
      <c r="EM202" s="22">
        <f t="shared" si="180"/>
        <v>4.8152955147902165E-12</v>
      </c>
      <c r="EN202" s="60">
        <f t="shared" si="198"/>
        <v>293.33333333333815</v>
      </c>
      <c r="EO202" s="60">
        <f ca="1">AVERAGE(OFFSET($EN$3,0,0,'Données projet'!$E$15+1,1))-AVERAGE(OFFSET($H$3,0,0,'Données projet'!$E$15+1,1))</f>
        <v>346.10839312896536</v>
      </c>
      <c r="EP202" s="60">
        <f t="shared" si="210"/>
        <v>196.24927250256087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4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8">
        <f t="shared" si="192"/>
        <v>681.16991137997661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-3.4106051316484809E-13</v>
      </c>
      <c r="O203" s="14">
        <f>N203*VLOOKUP('Données projet'!$B$9,Paramètres!$A$1:$I$89,3,0)*VLOOKUP('Données projet'!$B$9,Paramètres!$A$1:$I$89,5,0)</f>
        <v>-3.0859155231155454E-13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327.62615088747526</v>
      </c>
      <c r="T203" s="60">
        <f t="shared" si="204"/>
        <v>180.48047802041276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-3.4106051316484809E-13</v>
      </c>
      <c r="AJ203" s="14">
        <f>AI203*VLOOKUP('Données projet'!$B$10,Paramètres!$A$1:$I$89,3,0)*VLOOKUP('Données projet'!$B$10,Paramètres!$A$1:$I$89,5,0)</f>
        <v>-2.8730937629006804E-13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295.5242128298583</v>
      </c>
      <c r="AO203" s="60">
        <f t="shared" si="205"/>
        <v>164.21740841327744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5.4092197387944907E-14</v>
      </c>
      <c r="BF203" s="14">
        <f t="shared" si="167"/>
        <v>8.7287050538073676E-13</v>
      </c>
      <c r="BG203" s="22">
        <f t="shared" si="168"/>
        <v>1.6144600406554537E-12</v>
      </c>
      <c r="BH203" s="60">
        <f t="shared" si="194"/>
        <v>293.33333333333491</v>
      </c>
      <c r="BI203" s="60">
        <f ca="1">AVERAGE(OFFSET($BH$3,0,0,'Données projet'!$E$11+1,1))-AVERAGE(OFFSET($H$3,0,0,'Données projet'!$E$11+1,1))</f>
        <v>276.19649531804959</v>
      </c>
      <c r="BJ203" s="60">
        <f t="shared" si="206"/>
        <v>253.14970964973463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7.4487616075202823E-14</v>
      </c>
      <c r="CA203" s="14">
        <f t="shared" si="170"/>
        <v>1.1580453144473142E-12</v>
      </c>
      <c r="CB203" s="22">
        <f t="shared" si="171"/>
        <v>2.1466615206600508E-12</v>
      </c>
      <c r="CC203" s="60">
        <f t="shared" si="195"/>
        <v>293.33333333333547</v>
      </c>
      <c r="CD203" s="60">
        <f ca="1">AVERAGE(OFFSET($CC$3,0,0,'Données projet'!$E$12+1,1))-AVERAGE(OFFSET($H$3,0,0,'Données projet'!$E$12+1,1))</f>
        <v>154.88061446835457</v>
      </c>
      <c r="CE203" s="60">
        <f t="shared" si="207"/>
        <v>201.47826692201693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2.4499363318835985E-2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2.4499363318835985E-2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293.44206058086951</v>
      </c>
      <c r="CZ203" s="60">
        <f t="shared" si="208"/>
        <v>182.15909509186827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>
        <f>DO203*VLOOKUP('Données projet'!$B$14,Paramètres!$A$1:$I$89,3,0)*VLOOKUP('Données projet'!$B$14,Paramètres!$A$1:$I$89,5,0)</f>
        <v>0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338.92444234934266</v>
      </c>
      <c r="DU203" s="60">
        <f t="shared" si="209"/>
        <v>208.91548891910895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2.2737367544323206E-13</v>
      </c>
      <c r="EK203" s="18">
        <f>EJ203*VLOOKUP('Données projet'!$B$15,Paramètres!$A$1:$I$89,3,0)*VLOOKUP('Données projet'!$B$15,Paramètres!$A$1:$I$89,5,0)</f>
        <v>1.8444552551954985E-13</v>
      </c>
      <c r="EL203" s="14">
        <f t="shared" si="179"/>
        <v>2.580317449479618E-12</v>
      </c>
      <c r="EM203" s="22">
        <f t="shared" si="180"/>
        <v>4.8152955147902165E-12</v>
      </c>
      <c r="EN203" s="60">
        <f t="shared" si="198"/>
        <v>293.33333333333815</v>
      </c>
      <c r="EO203" s="60">
        <f ca="1">AVERAGE(OFFSET($EN$3,0,0,'Données projet'!$E$15+1,1))-AVERAGE(OFFSET($H$3,0,0,'Données projet'!$E$15+1,1))</f>
        <v>346.10839312896536</v>
      </c>
      <c r="EP203" s="60">
        <f t="shared" si="210"/>
        <v>196.24927250256087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4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" thickBot="1" x14ac:dyDescent="0.4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1.2392705892426346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1.2392705892426346</v>
      </c>
      <c r="BA205" s="86">
        <f>EXP(LN('Données projet'!B88)/'Données projet'!A88)</f>
        <v>1.3761503972240634</v>
      </c>
      <c r="BV205" s="86">
        <f>EXP(LN('Données projet'!B114)/'Données projet'!A114)</f>
        <v>1.2709816152101407</v>
      </c>
      <c r="CQ205" s="86">
        <f>EXP(LN('Données projet'!B140)/'Données projet'!A140)</f>
        <v>1.2698531483493882</v>
      </c>
      <c r="DL205" s="86">
        <f>EXP(LN('Données projet'!B166)/'Données projet'!A166)</f>
        <v>1.2698531483493882</v>
      </c>
      <c r="EG205" s="86">
        <f>EXP(LN('Données projet'!B192)/'Données projet'!A192)</f>
        <v>1.189207115002721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5" bestFit="1" customWidth="1"/>
    <col min="2" max="2" width="27.6328125" style="5" bestFit="1" customWidth="1"/>
    <col min="3" max="3" width="11.90625" style="5" bestFit="1" customWidth="1"/>
    <col min="4" max="4" width="40" style="5" bestFit="1" customWidth="1"/>
    <col min="5" max="5" width="11.90625" style="5" bestFit="1" customWidth="1"/>
    <col min="6" max="6" width="13.6328125" style="5" bestFit="1" customWidth="1"/>
    <col min="7" max="7" width="11.453125" style="5" bestFit="1" customWidth="1"/>
    <col min="8" max="8" width="39" style="5" bestFit="1" customWidth="1"/>
    <col min="9" max="9" width="16.6328125" style="5" customWidth="1"/>
    <col min="10" max="14" width="11.453125" style="5"/>
    <col min="15" max="15" width="23.453125" style="5" bestFit="1" customWidth="1"/>
    <col min="16" max="16384" width="11.453125" style="5"/>
  </cols>
  <sheetData>
    <row r="1" spans="1:16" ht="44" thickBot="1" x14ac:dyDescent="0.4">
      <c r="A1" s="117" t="s">
        <v>0</v>
      </c>
      <c r="B1" s="118" t="s">
        <v>106</v>
      </c>
      <c r="C1" s="119" t="s">
        <v>144</v>
      </c>
      <c r="D1" s="118" t="s">
        <v>100</v>
      </c>
      <c r="E1" s="119" t="s">
        <v>145</v>
      </c>
      <c r="F1" s="119" t="s">
        <v>100</v>
      </c>
      <c r="G1" s="119" t="s">
        <v>146</v>
      </c>
      <c r="H1" s="119" t="s">
        <v>100</v>
      </c>
      <c r="I1" s="120" t="s">
        <v>147</v>
      </c>
      <c r="J1" s="97"/>
      <c r="K1" s="97"/>
      <c r="L1" s="97"/>
      <c r="M1" s="97"/>
      <c r="N1" s="97"/>
    </row>
    <row r="2" spans="1:16" x14ac:dyDescent="0.35">
      <c r="A2" s="121" t="s">
        <v>1</v>
      </c>
      <c r="B2" s="122" t="s">
        <v>53</v>
      </c>
      <c r="C2" s="123">
        <v>0.62</v>
      </c>
      <c r="D2" s="123" t="s">
        <v>161</v>
      </c>
      <c r="E2" s="123">
        <v>1.56</v>
      </c>
      <c r="F2" s="123" t="s">
        <v>274</v>
      </c>
      <c r="G2" s="124">
        <v>0.43</v>
      </c>
      <c r="H2" s="125" t="s">
        <v>278</v>
      </c>
      <c r="I2" s="126">
        <v>0.25</v>
      </c>
      <c r="J2" s="97"/>
      <c r="K2" s="97"/>
      <c r="L2" s="97"/>
      <c r="M2" s="97"/>
      <c r="N2" s="97"/>
      <c r="O2" s="314" t="s">
        <v>238</v>
      </c>
      <c r="P2" s="127">
        <v>0</v>
      </c>
    </row>
    <row r="3" spans="1:16" ht="15" thickBot="1" x14ac:dyDescent="0.4">
      <c r="A3" s="128" t="s">
        <v>2</v>
      </c>
      <c r="B3" s="129" t="s">
        <v>54</v>
      </c>
      <c r="C3" s="130">
        <v>0.64</v>
      </c>
      <c r="D3" s="130" t="s">
        <v>161</v>
      </c>
      <c r="E3" s="130">
        <v>1.56</v>
      </c>
      <c r="F3" s="131" t="s">
        <v>274</v>
      </c>
      <c r="G3" s="132">
        <v>0.43</v>
      </c>
      <c r="H3" s="130" t="s">
        <v>278</v>
      </c>
      <c r="I3" s="133">
        <v>0.25</v>
      </c>
      <c r="J3" s="97"/>
      <c r="K3" s="97"/>
      <c r="L3" s="97"/>
      <c r="M3" s="97"/>
      <c r="N3" s="97"/>
      <c r="O3" s="315"/>
      <c r="P3" s="134">
        <v>0.2</v>
      </c>
    </row>
    <row r="4" spans="1:16" ht="15" thickBot="1" x14ac:dyDescent="0.4">
      <c r="A4" s="128" t="s">
        <v>98</v>
      </c>
      <c r="B4" s="129" t="s">
        <v>99</v>
      </c>
      <c r="C4" s="130">
        <v>0.42</v>
      </c>
      <c r="D4" s="130" t="s">
        <v>161</v>
      </c>
      <c r="E4" s="130">
        <v>1.56</v>
      </c>
      <c r="F4" s="131" t="s">
        <v>274</v>
      </c>
      <c r="G4" s="132">
        <v>0.43</v>
      </c>
      <c r="H4" s="130" t="s">
        <v>278</v>
      </c>
      <c r="I4" s="133">
        <v>0.25</v>
      </c>
      <c r="J4" s="97"/>
      <c r="K4" s="97"/>
      <c r="L4" s="97"/>
      <c r="M4" s="97"/>
      <c r="N4" s="97"/>
    </row>
    <row r="5" spans="1:16" x14ac:dyDescent="0.35">
      <c r="A5" s="128" t="s">
        <v>4</v>
      </c>
      <c r="B5" s="129" t="s">
        <v>55</v>
      </c>
      <c r="C5" s="130">
        <v>0.42</v>
      </c>
      <c r="D5" s="130" t="s">
        <v>161</v>
      </c>
      <c r="E5" s="130">
        <v>1.56</v>
      </c>
      <c r="F5" s="131" t="s">
        <v>274</v>
      </c>
      <c r="G5" s="132">
        <v>0.43</v>
      </c>
      <c r="H5" s="130" t="s">
        <v>278</v>
      </c>
      <c r="I5" s="133">
        <v>0.25</v>
      </c>
      <c r="J5" s="97"/>
      <c r="K5" s="97"/>
      <c r="L5" s="97"/>
      <c r="M5" s="97"/>
      <c r="N5" s="97"/>
      <c r="O5" s="314" t="s">
        <v>237</v>
      </c>
      <c r="P5" s="127">
        <v>0</v>
      </c>
    </row>
    <row r="6" spans="1:16" x14ac:dyDescent="0.35">
      <c r="A6" s="128" t="s">
        <v>3</v>
      </c>
      <c r="B6" s="129" t="s">
        <v>97</v>
      </c>
      <c r="C6" s="130">
        <v>0.42</v>
      </c>
      <c r="D6" s="130" t="s">
        <v>161</v>
      </c>
      <c r="E6" s="130">
        <v>1.56</v>
      </c>
      <c r="F6" s="131" t="s">
        <v>274</v>
      </c>
      <c r="G6" s="132">
        <v>0.43</v>
      </c>
      <c r="H6" s="130" t="s">
        <v>278</v>
      </c>
      <c r="I6" s="133">
        <v>0.25</v>
      </c>
      <c r="J6" s="97"/>
      <c r="K6" s="97"/>
      <c r="L6" s="97"/>
      <c r="M6" s="97"/>
      <c r="N6" s="97"/>
      <c r="O6" s="316"/>
      <c r="P6" s="135">
        <v>0.05</v>
      </c>
    </row>
    <row r="7" spans="1:16" x14ac:dyDescent="0.35">
      <c r="A7" s="128" t="s">
        <v>5</v>
      </c>
      <c r="B7" s="129" t="s">
        <v>56</v>
      </c>
      <c r="C7" s="130">
        <v>0.52</v>
      </c>
      <c r="D7" s="130" t="s">
        <v>161</v>
      </c>
      <c r="E7" s="130">
        <v>1.56</v>
      </c>
      <c r="F7" s="131" t="s">
        <v>274</v>
      </c>
      <c r="G7" s="132">
        <v>0.43</v>
      </c>
      <c r="H7" s="130" t="s">
        <v>278</v>
      </c>
      <c r="I7" s="133">
        <v>0.25</v>
      </c>
      <c r="J7" s="97"/>
      <c r="K7" s="97"/>
      <c r="L7" s="97"/>
      <c r="M7" s="97"/>
      <c r="N7" s="97"/>
      <c r="O7" s="316"/>
      <c r="P7" s="135">
        <v>0.1</v>
      </c>
    </row>
    <row r="8" spans="1:16" ht="15" thickBot="1" x14ac:dyDescent="0.4">
      <c r="A8" s="128" t="s">
        <v>164</v>
      </c>
      <c r="B8" s="129" t="s">
        <v>57</v>
      </c>
      <c r="C8" s="130">
        <v>0.36</v>
      </c>
      <c r="D8" s="130" t="s">
        <v>161</v>
      </c>
      <c r="E8" s="130">
        <v>1.3</v>
      </c>
      <c r="F8" s="131" t="s">
        <v>274</v>
      </c>
      <c r="G8" s="132">
        <v>0.55000000000000004</v>
      </c>
      <c r="H8" s="130" t="s">
        <v>153</v>
      </c>
      <c r="I8" s="133">
        <v>0.43</v>
      </c>
      <c r="J8" s="97"/>
      <c r="K8" s="97"/>
      <c r="L8" s="97"/>
      <c r="M8" s="97"/>
      <c r="N8" s="97"/>
      <c r="O8" s="315"/>
      <c r="P8" s="134">
        <v>0.15</v>
      </c>
    </row>
    <row r="9" spans="1:16" ht="15" thickBot="1" x14ac:dyDescent="0.4">
      <c r="A9" s="128" t="s">
        <v>6</v>
      </c>
      <c r="B9" s="129" t="s">
        <v>58</v>
      </c>
      <c r="C9" s="130">
        <v>0.61</v>
      </c>
      <c r="D9" s="130" t="s">
        <v>161</v>
      </c>
      <c r="E9" s="130">
        <v>1.56</v>
      </c>
      <c r="F9" s="131" t="s">
        <v>274</v>
      </c>
      <c r="G9" s="132">
        <v>0.43</v>
      </c>
      <c r="H9" s="130" t="s">
        <v>278</v>
      </c>
      <c r="I9" s="133">
        <v>0.25</v>
      </c>
      <c r="J9" s="97"/>
      <c r="K9" s="97"/>
      <c r="L9" s="97"/>
      <c r="M9" s="97"/>
      <c r="N9" s="97"/>
    </row>
    <row r="10" spans="1:16" x14ac:dyDescent="0.35">
      <c r="A10" s="128" t="s">
        <v>7</v>
      </c>
      <c r="B10" s="129" t="s">
        <v>59</v>
      </c>
      <c r="C10" s="130">
        <v>0.66</v>
      </c>
      <c r="D10" s="130" t="s">
        <v>161</v>
      </c>
      <c r="E10" s="130">
        <v>1.56</v>
      </c>
      <c r="F10" s="131" t="s">
        <v>274</v>
      </c>
      <c r="G10" s="132">
        <v>0.43</v>
      </c>
      <c r="H10" s="130" t="s">
        <v>278</v>
      </c>
      <c r="I10" s="133">
        <v>0.25</v>
      </c>
      <c r="J10" s="97"/>
      <c r="K10" s="97"/>
      <c r="L10" s="97"/>
      <c r="M10" s="97"/>
      <c r="N10" s="97"/>
      <c r="O10" s="314" t="s">
        <v>236</v>
      </c>
      <c r="P10" s="127">
        <v>0</v>
      </c>
    </row>
    <row r="11" spans="1:16" ht="15" thickBot="1" x14ac:dyDescent="0.4">
      <c r="A11" s="128" t="s">
        <v>8</v>
      </c>
      <c r="B11" s="129" t="s">
        <v>60</v>
      </c>
      <c r="C11" s="130">
        <v>0.47</v>
      </c>
      <c r="D11" s="130" t="s">
        <v>161</v>
      </c>
      <c r="E11" s="130">
        <v>1.56</v>
      </c>
      <c r="F11" s="131" t="s">
        <v>274</v>
      </c>
      <c r="G11" s="132">
        <v>0.43</v>
      </c>
      <c r="H11" s="130" t="s">
        <v>278</v>
      </c>
      <c r="I11" s="133">
        <v>0.25</v>
      </c>
      <c r="J11" s="97"/>
      <c r="K11" s="97"/>
      <c r="L11" s="97"/>
      <c r="M11" s="97"/>
      <c r="N11" s="97"/>
      <c r="O11" s="315"/>
      <c r="P11" s="134">
        <v>0.1</v>
      </c>
    </row>
    <row r="12" spans="1:16" x14ac:dyDescent="0.35">
      <c r="A12" s="128" t="s">
        <v>9</v>
      </c>
      <c r="B12" s="129" t="s">
        <v>61</v>
      </c>
      <c r="C12" s="130">
        <v>0.67</v>
      </c>
      <c r="D12" s="130" t="s">
        <v>161</v>
      </c>
      <c r="E12" s="130">
        <v>1.56</v>
      </c>
      <c r="F12" s="131" t="s">
        <v>274</v>
      </c>
      <c r="G12" s="132">
        <v>0.43</v>
      </c>
      <c r="H12" s="130" t="s">
        <v>152</v>
      </c>
      <c r="I12" s="133">
        <v>0.25</v>
      </c>
      <c r="J12" s="97"/>
      <c r="K12" s="97"/>
      <c r="L12" s="97"/>
      <c r="M12" s="97"/>
      <c r="N12" s="97"/>
    </row>
    <row r="13" spans="1:16" x14ac:dyDescent="0.35">
      <c r="A13" s="128" t="s">
        <v>10</v>
      </c>
      <c r="B13" s="129" t="s">
        <v>62</v>
      </c>
      <c r="C13" s="130">
        <v>0.7</v>
      </c>
      <c r="D13" s="130" t="s">
        <v>161</v>
      </c>
      <c r="E13" s="130">
        <v>1.56</v>
      </c>
      <c r="F13" s="131" t="s">
        <v>274</v>
      </c>
      <c r="G13" s="132">
        <v>0.43</v>
      </c>
      <c r="H13" s="130" t="s">
        <v>152</v>
      </c>
      <c r="I13" s="133">
        <v>0.25</v>
      </c>
      <c r="J13" s="97"/>
      <c r="K13" s="97"/>
      <c r="L13" s="97"/>
      <c r="M13" s="97"/>
      <c r="N13" s="97"/>
    </row>
    <row r="14" spans="1:16" x14ac:dyDescent="0.35">
      <c r="A14" s="128" t="s">
        <v>11</v>
      </c>
      <c r="B14" s="129" t="s">
        <v>63</v>
      </c>
      <c r="C14" s="130">
        <v>0.54</v>
      </c>
      <c r="D14" s="130" t="s">
        <v>161</v>
      </c>
      <c r="E14" s="130">
        <v>1.56</v>
      </c>
      <c r="F14" s="131" t="s">
        <v>274</v>
      </c>
      <c r="G14" s="132">
        <v>0.43</v>
      </c>
      <c r="H14" s="130" t="s">
        <v>152</v>
      </c>
      <c r="I14" s="133">
        <v>0.25</v>
      </c>
      <c r="J14" s="97"/>
      <c r="K14" s="97"/>
      <c r="L14" s="97"/>
      <c r="M14" s="97"/>
      <c r="N14" s="97"/>
    </row>
    <row r="15" spans="1:16" x14ac:dyDescent="0.35">
      <c r="A15" s="128" t="s">
        <v>12</v>
      </c>
      <c r="B15" s="129" t="s">
        <v>64</v>
      </c>
      <c r="C15" s="130">
        <v>0.65</v>
      </c>
      <c r="D15" s="130" t="s">
        <v>161</v>
      </c>
      <c r="E15" s="130">
        <v>1.56</v>
      </c>
      <c r="F15" s="131" t="s">
        <v>274</v>
      </c>
      <c r="G15" s="132">
        <v>0.43</v>
      </c>
      <c r="H15" s="130" t="s">
        <v>152</v>
      </c>
      <c r="I15" s="133">
        <v>0.25</v>
      </c>
      <c r="J15" s="97"/>
      <c r="K15" s="97"/>
      <c r="L15" s="97"/>
      <c r="M15" s="97"/>
      <c r="N15" s="97"/>
    </row>
    <row r="16" spans="1:16" x14ac:dyDescent="0.35">
      <c r="A16" s="128" t="s">
        <v>13</v>
      </c>
      <c r="B16" s="129" t="s">
        <v>65</v>
      </c>
      <c r="C16" s="130">
        <v>0.56000000000000005</v>
      </c>
      <c r="D16" s="130" t="s">
        <v>161</v>
      </c>
      <c r="E16" s="130">
        <v>1.56</v>
      </c>
      <c r="F16" s="131" t="s">
        <v>274</v>
      </c>
      <c r="G16" s="132">
        <v>0.43</v>
      </c>
      <c r="H16" s="130" t="s">
        <v>152</v>
      </c>
      <c r="I16" s="133">
        <v>0.25</v>
      </c>
      <c r="J16" s="97"/>
      <c r="K16" s="97"/>
      <c r="L16" s="97"/>
      <c r="M16" s="97"/>
      <c r="N16" s="97"/>
    </row>
    <row r="17" spans="1:14" x14ac:dyDescent="0.35">
      <c r="A17" s="128" t="s">
        <v>14</v>
      </c>
      <c r="B17" s="129" t="s">
        <v>66</v>
      </c>
      <c r="C17" s="130">
        <v>0.57999999999999996</v>
      </c>
      <c r="D17" s="130" t="s">
        <v>161</v>
      </c>
      <c r="E17" s="130">
        <v>1.56</v>
      </c>
      <c r="F17" s="131" t="s">
        <v>274</v>
      </c>
      <c r="G17" s="132">
        <v>0.43</v>
      </c>
      <c r="H17" s="130" t="s">
        <v>152</v>
      </c>
      <c r="I17" s="133">
        <v>0.25</v>
      </c>
      <c r="J17" s="97"/>
      <c r="K17" s="97"/>
      <c r="L17" s="97"/>
      <c r="M17" s="97"/>
      <c r="N17" s="97"/>
    </row>
    <row r="18" spans="1:14" x14ac:dyDescent="0.35">
      <c r="A18" s="128" t="s">
        <v>15</v>
      </c>
      <c r="B18" s="129" t="s">
        <v>67</v>
      </c>
      <c r="C18" s="130">
        <v>0.64</v>
      </c>
      <c r="D18" s="130" t="s">
        <v>161</v>
      </c>
      <c r="E18" s="130">
        <v>1.56</v>
      </c>
      <c r="F18" s="131" t="s">
        <v>274</v>
      </c>
      <c r="G18" s="132">
        <v>0.43</v>
      </c>
      <c r="H18" s="130" t="s">
        <v>152</v>
      </c>
      <c r="I18" s="133">
        <v>0.25</v>
      </c>
      <c r="J18" s="97"/>
      <c r="K18" s="97"/>
      <c r="L18" s="97"/>
      <c r="M18" s="97"/>
      <c r="N18" s="97"/>
    </row>
    <row r="19" spans="1:14" x14ac:dyDescent="0.35">
      <c r="A19" s="128" t="s">
        <v>16</v>
      </c>
      <c r="B19" s="129" t="s">
        <v>68</v>
      </c>
      <c r="C19" s="130">
        <v>0.73</v>
      </c>
      <c r="D19" s="130" t="s">
        <v>161</v>
      </c>
      <c r="E19" s="130">
        <v>1.56</v>
      </c>
      <c r="F19" s="131" t="s">
        <v>274</v>
      </c>
      <c r="G19" s="132">
        <v>0.43</v>
      </c>
      <c r="H19" s="130" t="s">
        <v>152</v>
      </c>
      <c r="I19" s="133">
        <v>0.25</v>
      </c>
      <c r="J19" s="97"/>
      <c r="K19" s="97"/>
      <c r="L19" s="97"/>
      <c r="M19" s="97"/>
      <c r="N19" s="97"/>
    </row>
    <row r="20" spans="1:14" x14ac:dyDescent="0.35">
      <c r="A20" s="128" t="s">
        <v>52</v>
      </c>
      <c r="B20" s="129" t="s">
        <v>69</v>
      </c>
      <c r="C20" s="130">
        <v>0.69</v>
      </c>
      <c r="D20" s="130" t="s">
        <v>131</v>
      </c>
      <c r="E20" s="130">
        <v>1.56</v>
      </c>
      <c r="F20" s="131" t="s">
        <v>274</v>
      </c>
      <c r="G20" s="132">
        <v>0.43</v>
      </c>
      <c r="H20" s="130" t="s">
        <v>282</v>
      </c>
      <c r="I20" s="133">
        <v>0.25</v>
      </c>
      <c r="J20" s="97"/>
      <c r="K20" s="97"/>
      <c r="L20" s="97"/>
      <c r="M20" s="97"/>
      <c r="N20" s="97"/>
    </row>
    <row r="21" spans="1:14" x14ac:dyDescent="0.35">
      <c r="A21" s="128" t="s">
        <v>154</v>
      </c>
      <c r="B21" s="129" t="s">
        <v>155</v>
      </c>
      <c r="C21" s="130">
        <v>0.36</v>
      </c>
      <c r="D21" s="130" t="s">
        <v>161</v>
      </c>
      <c r="E21" s="130">
        <v>1.3</v>
      </c>
      <c r="F21" s="131" t="s">
        <v>274</v>
      </c>
      <c r="G21" s="132">
        <v>0.55000000000000004</v>
      </c>
      <c r="H21" s="130" t="s">
        <v>153</v>
      </c>
      <c r="I21" s="133">
        <v>0.43</v>
      </c>
      <c r="J21" s="97"/>
      <c r="K21" s="97"/>
      <c r="L21" s="97"/>
      <c r="M21" s="97"/>
      <c r="N21" s="97"/>
    </row>
    <row r="22" spans="1:14" x14ac:dyDescent="0.35">
      <c r="A22" s="128" t="s">
        <v>17</v>
      </c>
      <c r="B22" s="129" t="s">
        <v>70</v>
      </c>
      <c r="C22" s="130">
        <v>0.4</v>
      </c>
      <c r="D22" s="130" t="s">
        <v>161</v>
      </c>
      <c r="E22" s="130">
        <v>1.3</v>
      </c>
      <c r="F22" s="131" t="s">
        <v>274</v>
      </c>
      <c r="G22" s="132">
        <v>0.55000000000000004</v>
      </c>
      <c r="H22" s="130" t="s">
        <v>153</v>
      </c>
      <c r="I22" s="133">
        <v>0.43</v>
      </c>
      <c r="J22" s="97"/>
      <c r="K22" s="97"/>
      <c r="L22" s="97"/>
      <c r="M22" s="97"/>
      <c r="N22" s="97"/>
    </row>
    <row r="23" spans="1:14" x14ac:dyDescent="0.35">
      <c r="A23" s="128" t="s">
        <v>18</v>
      </c>
      <c r="B23" s="129" t="s">
        <v>71</v>
      </c>
      <c r="C23" s="130">
        <v>0.43</v>
      </c>
      <c r="D23" s="130" t="s">
        <v>161</v>
      </c>
      <c r="E23" s="130">
        <v>1.3</v>
      </c>
      <c r="F23" s="131" t="s">
        <v>274</v>
      </c>
      <c r="G23" s="132">
        <v>0.55000000000000004</v>
      </c>
      <c r="H23" s="130" t="s">
        <v>153</v>
      </c>
      <c r="I23" s="133">
        <v>0.43</v>
      </c>
      <c r="J23" s="97"/>
      <c r="K23" s="97"/>
      <c r="L23" s="97"/>
      <c r="M23" s="97"/>
      <c r="N23" s="97"/>
    </row>
    <row r="24" spans="1:14" x14ac:dyDescent="0.35">
      <c r="A24" s="128" t="s">
        <v>19</v>
      </c>
      <c r="B24" s="129" t="s">
        <v>72</v>
      </c>
      <c r="C24" s="130">
        <v>0.37</v>
      </c>
      <c r="D24" s="130" t="s">
        <v>161</v>
      </c>
      <c r="E24" s="130">
        <v>1.3</v>
      </c>
      <c r="F24" s="131" t="s">
        <v>274</v>
      </c>
      <c r="G24" s="132">
        <v>0.55000000000000004</v>
      </c>
      <c r="H24" s="130" t="s">
        <v>152</v>
      </c>
      <c r="I24" s="133">
        <v>0.43</v>
      </c>
      <c r="J24" s="97"/>
      <c r="K24" s="97"/>
      <c r="L24" s="97"/>
      <c r="M24" s="97"/>
      <c r="N24" s="97"/>
    </row>
    <row r="25" spans="1:14" x14ac:dyDescent="0.35">
      <c r="A25" s="128" t="s">
        <v>20</v>
      </c>
      <c r="B25" s="129" t="s">
        <v>73</v>
      </c>
      <c r="C25" s="130">
        <v>0.36</v>
      </c>
      <c r="D25" s="130" t="s">
        <v>161</v>
      </c>
      <c r="E25" s="130">
        <v>1.3</v>
      </c>
      <c r="F25" s="131" t="s">
        <v>274</v>
      </c>
      <c r="G25" s="132">
        <v>0.55000000000000004</v>
      </c>
      <c r="H25" s="130" t="s">
        <v>152</v>
      </c>
      <c r="I25" s="133">
        <v>0.43</v>
      </c>
      <c r="J25" s="97"/>
      <c r="K25" s="97"/>
      <c r="L25" s="97"/>
      <c r="M25" s="97"/>
      <c r="N25" s="97"/>
    </row>
    <row r="26" spans="1:14" x14ac:dyDescent="0.35">
      <c r="A26" s="128" t="s">
        <v>21</v>
      </c>
      <c r="B26" s="129" t="s">
        <v>74</v>
      </c>
      <c r="C26" s="130">
        <v>0.56000000000000005</v>
      </c>
      <c r="D26" s="130" t="s">
        <v>161</v>
      </c>
      <c r="E26" s="130">
        <v>1.56</v>
      </c>
      <c r="F26" s="131" t="s">
        <v>274</v>
      </c>
      <c r="G26" s="132">
        <v>0.53</v>
      </c>
      <c r="H26" s="130" t="s">
        <v>275</v>
      </c>
      <c r="I26" s="133">
        <v>0.25</v>
      </c>
      <c r="J26" s="97"/>
      <c r="K26" s="97"/>
      <c r="L26" s="97"/>
      <c r="M26" s="97"/>
      <c r="N26" s="97"/>
    </row>
    <row r="27" spans="1:14" x14ac:dyDescent="0.35">
      <c r="A27" s="128" t="s">
        <v>22</v>
      </c>
      <c r="B27" s="129" t="s">
        <v>75</v>
      </c>
      <c r="C27" s="130">
        <v>0.51</v>
      </c>
      <c r="D27" s="130" t="s">
        <v>161</v>
      </c>
      <c r="E27" s="130">
        <v>1.56</v>
      </c>
      <c r="F27" s="131" t="s">
        <v>274</v>
      </c>
      <c r="G27" s="132">
        <v>0.53</v>
      </c>
      <c r="H27" s="130" t="s">
        <v>275</v>
      </c>
      <c r="I27" s="133">
        <v>0.25</v>
      </c>
      <c r="J27" s="97"/>
      <c r="K27" s="97"/>
      <c r="L27" s="97"/>
      <c r="M27" s="97"/>
      <c r="N27" s="97"/>
    </row>
    <row r="28" spans="1:14" x14ac:dyDescent="0.35">
      <c r="A28" s="128" t="s">
        <v>23</v>
      </c>
      <c r="B28" s="129" t="s">
        <v>76</v>
      </c>
      <c r="C28" s="130">
        <v>0.51</v>
      </c>
      <c r="D28" s="130" t="s">
        <v>161</v>
      </c>
      <c r="E28" s="130">
        <v>1.56</v>
      </c>
      <c r="F28" s="131" t="s">
        <v>274</v>
      </c>
      <c r="G28" s="132">
        <v>0.53</v>
      </c>
      <c r="H28" s="130" t="s">
        <v>275</v>
      </c>
      <c r="I28" s="133">
        <v>0.25</v>
      </c>
      <c r="J28" s="97"/>
      <c r="K28" s="97"/>
      <c r="L28" s="97"/>
      <c r="M28" s="97"/>
      <c r="N28" s="97"/>
    </row>
    <row r="29" spans="1:14" x14ac:dyDescent="0.35">
      <c r="A29" s="128" t="s">
        <v>24</v>
      </c>
      <c r="B29" s="129" t="s">
        <v>24</v>
      </c>
      <c r="C29" s="130">
        <v>0.56000000000000005</v>
      </c>
      <c r="D29" s="130" t="s">
        <v>161</v>
      </c>
      <c r="E29" s="130">
        <v>1.56</v>
      </c>
      <c r="F29" s="131" t="s">
        <v>274</v>
      </c>
      <c r="G29" s="132">
        <v>0.53</v>
      </c>
      <c r="H29" s="130" t="s">
        <v>275</v>
      </c>
      <c r="I29" s="133">
        <v>0.25</v>
      </c>
      <c r="J29" s="97"/>
      <c r="K29" s="97"/>
      <c r="L29" s="97"/>
      <c r="M29" s="97"/>
      <c r="N29" s="97"/>
    </row>
    <row r="30" spans="1:14" x14ac:dyDescent="0.35">
      <c r="A30" s="128" t="s">
        <v>25</v>
      </c>
      <c r="B30" s="129" t="s">
        <v>77</v>
      </c>
      <c r="C30" s="130">
        <v>0.55000000000000004</v>
      </c>
      <c r="D30" s="130" t="s">
        <v>161</v>
      </c>
      <c r="E30" s="130">
        <v>1.56</v>
      </c>
      <c r="F30" s="131" t="s">
        <v>274</v>
      </c>
      <c r="G30" s="132">
        <v>0.53</v>
      </c>
      <c r="H30" s="130" t="s">
        <v>152</v>
      </c>
      <c r="I30" s="133">
        <v>0.25</v>
      </c>
      <c r="J30" s="97"/>
      <c r="K30" s="97"/>
      <c r="L30" s="97"/>
      <c r="M30" s="97"/>
      <c r="N30" s="97"/>
    </row>
    <row r="31" spans="1:14" x14ac:dyDescent="0.35">
      <c r="A31" s="128" t="s">
        <v>26</v>
      </c>
      <c r="B31" s="129" t="s">
        <v>78</v>
      </c>
      <c r="C31" s="130">
        <v>0.56000000000000005</v>
      </c>
      <c r="D31" s="130" t="s">
        <v>161</v>
      </c>
      <c r="E31" s="130">
        <v>1.56</v>
      </c>
      <c r="F31" s="131" t="s">
        <v>274</v>
      </c>
      <c r="G31" s="132">
        <v>0.43</v>
      </c>
      <c r="H31" s="130" t="s">
        <v>278</v>
      </c>
      <c r="I31" s="133">
        <v>0.25</v>
      </c>
      <c r="J31" s="97"/>
      <c r="K31" s="97"/>
      <c r="L31" s="97"/>
      <c r="M31" s="97"/>
      <c r="N31" s="97"/>
    </row>
    <row r="32" spans="1:14" x14ac:dyDescent="0.35">
      <c r="A32" s="128" t="s">
        <v>27</v>
      </c>
      <c r="B32" s="129" t="s">
        <v>79</v>
      </c>
      <c r="C32" s="130">
        <v>0.48</v>
      </c>
      <c r="D32" s="130" t="s">
        <v>161</v>
      </c>
      <c r="E32" s="130">
        <v>1.3</v>
      </c>
      <c r="F32" s="131" t="s">
        <v>274</v>
      </c>
      <c r="G32" s="132">
        <v>0.6</v>
      </c>
      <c r="H32" s="130" t="s">
        <v>281</v>
      </c>
      <c r="I32" s="133">
        <v>0.43</v>
      </c>
      <c r="J32" s="97"/>
      <c r="K32" s="97"/>
      <c r="L32" s="97"/>
      <c r="M32" s="97"/>
      <c r="N32" s="97"/>
    </row>
    <row r="33" spans="1:14" x14ac:dyDescent="0.35">
      <c r="A33" s="128" t="s">
        <v>28</v>
      </c>
      <c r="B33" s="129" t="s">
        <v>80</v>
      </c>
      <c r="C33" s="130">
        <v>0.42</v>
      </c>
      <c r="D33" s="130" t="s">
        <v>161</v>
      </c>
      <c r="E33" s="130">
        <v>1.3</v>
      </c>
      <c r="F33" s="131" t="s">
        <v>274</v>
      </c>
      <c r="G33" s="132">
        <v>0.6</v>
      </c>
      <c r="H33" s="130" t="s">
        <v>281</v>
      </c>
      <c r="I33" s="133">
        <v>0.43</v>
      </c>
      <c r="J33" s="97"/>
      <c r="K33" s="97"/>
      <c r="L33" s="97"/>
      <c r="M33" s="97"/>
      <c r="N33" s="97"/>
    </row>
    <row r="34" spans="1:14" x14ac:dyDescent="0.35">
      <c r="A34" s="128" t="s">
        <v>81</v>
      </c>
      <c r="B34" s="129" t="s">
        <v>163</v>
      </c>
      <c r="C34" s="130">
        <v>0.42</v>
      </c>
      <c r="D34" s="130" t="s">
        <v>103</v>
      </c>
      <c r="E34" s="130">
        <v>1.3</v>
      </c>
      <c r="F34" s="131" t="s">
        <v>274</v>
      </c>
      <c r="G34" s="132">
        <v>0.6</v>
      </c>
      <c r="H34" s="129" t="s">
        <v>280</v>
      </c>
      <c r="I34" s="133">
        <v>0.43</v>
      </c>
      <c r="J34" s="97"/>
      <c r="K34" s="97"/>
      <c r="L34" s="97"/>
      <c r="M34" s="97"/>
      <c r="N34" s="97"/>
    </row>
    <row r="35" spans="1:14" x14ac:dyDescent="0.35">
      <c r="A35" s="128" t="s">
        <v>29</v>
      </c>
      <c r="B35" s="129" t="s">
        <v>82</v>
      </c>
      <c r="C35" s="130">
        <v>0.5</v>
      </c>
      <c r="D35" s="130" t="s">
        <v>161</v>
      </c>
      <c r="E35" s="130">
        <v>1.56</v>
      </c>
      <c r="F35" s="131" t="s">
        <v>274</v>
      </c>
      <c r="G35" s="132">
        <v>0.43</v>
      </c>
      <c r="H35" s="130" t="s">
        <v>278</v>
      </c>
      <c r="I35" s="133">
        <v>0.25</v>
      </c>
      <c r="J35" s="97"/>
      <c r="K35" s="97"/>
      <c r="L35" s="97"/>
      <c r="M35" s="97"/>
      <c r="N35" s="97"/>
    </row>
    <row r="36" spans="1:14" x14ac:dyDescent="0.35">
      <c r="A36" s="128" t="s">
        <v>102</v>
      </c>
      <c r="B36" s="129" t="s">
        <v>101</v>
      </c>
      <c r="C36" s="130">
        <v>0.55000000000000004</v>
      </c>
      <c r="D36" s="130" t="s">
        <v>161</v>
      </c>
      <c r="E36" s="130">
        <v>1.56</v>
      </c>
      <c r="F36" s="131" t="s">
        <v>274</v>
      </c>
      <c r="G36" s="132">
        <v>0.53</v>
      </c>
      <c r="H36" s="130" t="s">
        <v>275</v>
      </c>
      <c r="I36" s="133">
        <v>0.25</v>
      </c>
      <c r="J36" s="97"/>
      <c r="K36" s="97"/>
      <c r="L36" s="97"/>
      <c r="M36" s="97"/>
      <c r="N36" s="97"/>
    </row>
    <row r="37" spans="1:14" x14ac:dyDescent="0.35">
      <c r="A37" s="128" t="s">
        <v>30</v>
      </c>
      <c r="B37" s="129" t="s">
        <v>104</v>
      </c>
      <c r="C37" s="130">
        <v>0.52</v>
      </c>
      <c r="D37" s="130" t="s">
        <v>161</v>
      </c>
      <c r="E37" s="130">
        <v>1.56</v>
      </c>
      <c r="F37" s="131" t="s">
        <v>274</v>
      </c>
      <c r="G37" s="132">
        <v>0.53</v>
      </c>
      <c r="H37" s="130" t="s">
        <v>275</v>
      </c>
      <c r="I37" s="133">
        <v>0.25</v>
      </c>
      <c r="J37" s="97"/>
      <c r="K37" s="97"/>
      <c r="L37" s="97"/>
      <c r="M37" s="97"/>
      <c r="N37" s="97"/>
    </row>
    <row r="38" spans="1:14" x14ac:dyDescent="0.35">
      <c r="A38" s="128" t="s">
        <v>31</v>
      </c>
      <c r="B38" s="129" t="s">
        <v>105</v>
      </c>
      <c r="C38" s="130">
        <v>0.52</v>
      </c>
      <c r="D38" s="130" t="s">
        <v>161</v>
      </c>
      <c r="E38" s="130">
        <v>1.56</v>
      </c>
      <c r="F38" s="131" t="s">
        <v>274</v>
      </c>
      <c r="G38" s="132">
        <v>0.43</v>
      </c>
      <c r="H38" s="130" t="s">
        <v>278</v>
      </c>
      <c r="I38" s="133">
        <v>0.25</v>
      </c>
      <c r="J38" s="97"/>
      <c r="K38" s="97"/>
      <c r="L38" s="97"/>
      <c r="M38" s="97"/>
      <c r="N38" s="97"/>
    </row>
    <row r="39" spans="1:14" x14ac:dyDescent="0.35">
      <c r="A39" s="128" t="s">
        <v>107</v>
      </c>
      <c r="B39" s="129" t="s">
        <v>132</v>
      </c>
      <c r="C39" s="130">
        <v>0.313</v>
      </c>
      <c r="D39" s="130" t="s">
        <v>130</v>
      </c>
      <c r="E39" s="130">
        <v>1.56</v>
      </c>
      <c r="F39" s="131" t="s">
        <v>274</v>
      </c>
      <c r="G39" s="132">
        <v>0.6</v>
      </c>
      <c r="H39" s="130" t="s">
        <v>283</v>
      </c>
      <c r="I39" s="133">
        <v>1.03</v>
      </c>
      <c r="J39" s="97"/>
      <c r="K39" s="97"/>
      <c r="L39" s="97"/>
      <c r="M39" s="97"/>
      <c r="N39" s="97"/>
    </row>
    <row r="40" spans="1:14" x14ac:dyDescent="0.35">
      <c r="A40" s="128" t="s">
        <v>108</v>
      </c>
      <c r="B40" s="129" t="s">
        <v>132</v>
      </c>
      <c r="C40" s="130">
        <v>0.35199999999999998</v>
      </c>
      <c r="D40" s="130" t="s">
        <v>130</v>
      </c>
      <c r="E40" s="130">
        <v>1.56</v>
      </c>
      <c r="F40" s="131" t="s">
        <v>274</v>
      </c>
      <c r="G40" s="132">
        <v>0.6</v>
      </c>
      <c r="H40" s="130" t="s">
        <v>283</v>
      </c>
      <c r="I40" s="133">
        <v>1.03</v>
      </c>
      <c r="J40" s="97"/>
      <c r="K40" s="97"/>
      <c r="L40" s="97"/>
      <c r="M40" s="97"/>
      <c r="N40" s="97"/>
    </row>
    <row r="41" spans="1:14" x14ac:dyDescent="0.35">
      <c r="A41" s="128" t="s">
        <v>121</v>
      </c>
      <c r="B41" s="129" t="s">
        <v>132</v>
      </c>
      <c r="C41" s="130">
        <v>0.32200000000000001</v>
      </c>
      <c r="D41" s="130" t="s">
        <v>130</v>
      </c>
      <c r="E41" s="130">
        <v>1.56</v>
      </c>
      <c r="F41" s="131" t="s">
        <v>274</v>
      </c>
      <c r="G41" s="132">
        <v>0.6</v>
      </c>
      <c r="H41" s="130" t="s">
        <v>283</v>
      </c>
      <c r="I41" s="133">
        <v>1.03</v>
      </c>
      <c r="J41" s="97"/>
      <c r="K41" s="97"/>
      <c r="L41" s="97"/>
      <c r="M41" s="97"/>
      <c r="N41" s="97"/>
    </row>
    <row r="42" spans="1:14" x14ac:dyDescent="0.35">
      <c r="A42" s="128" t="s">
        <v>122</v>
      </c>
      <c r="B42" s="129" t="s">
        <v>132</v>
      </c>
      <c r="C42" s="130">
        <v>0.311</v>
      </c>
      <c r="D42" s="130" t="s">
        <v>130</v>
      </c>
      <c r="E42" s="130">
        <v>1.56</v>
      </c>
      <c r="F42" s="131" t="s">
        <v>274</v>
      </c>
      <c r="G42" s="132">
        <v>0.6</v>
      </c>
      <c r="H42" s="130" t="s">
        <v>283</v>
      </c>
      <c r="I42" s="133">
        <v>1.03</v>
      </c>
      <c r="J42" s="97"/>
      <c r="K42" s="97"/>
      <c r="L42" s="97"/>
      <c r="M42" s="97"/>
      <c r="N42" s="97"/>
    </row>
    <row r="43" spans="1:14" x14ac:dyDescent="0.35">
      <c r="A43" s="128" t="s">
        <v>109</v>
      </c>
      <c r="B43" s="129" t="s">
        <v>132</v>
      </c>
      <c r="C43" s="130">
        <v>0.33900000000000002</v>
      </c>
      <c r="D43" s="130" t="s">
        <v>130</v>
      </c>
      <c r="E43" s="130">
        <v>1.56</v>
      </c>
      <c r="F43" s="131" t="s">
        <v>274</v>
      </c>
      <c r="G43" s="132">
        <v>0.6</v>
      </c>
      <c r="H43" s="130" t="s">
        <v>283</v>
      </c>
      <c r="I43" s="133">
        <v>1.03</v>
      </c>
      <c r="J43" s="97"/>
      <c r="K43" s="97"/>
      <c r="L43" s="97"/>
      <c r="M43" s="97"/>
      <c r="N43" s="97"/>
    </row>
    <row r="44" spans="1:14" x14ac:dyDescent="0.35">
      <c r="A44" s="128" t="s">
        <v>123</v>
      </c>
      <c r="B44" s="129" t="s">
        <v>132</v>
      </c>
      <c r="C44" s="130">
        <v>0.33600000000000002</v>
      </c>
      <c r="D44" s="130" t="s">
        <v>130</v>
      </c>
      <c r="E44" s="130">
        <v>1.56</v>
      </c>
      <c r="F44" s="131" t="s">
        <v>274</v>
      </c>
      <c r="G44" s="132">
        <v>0.6</v>
      </c>
      <c r="H44" s="130" t="s">
        <v>283</v>
      </c>
      <c r="I44" s="133">
        <v>1.03</v>
      </c>
      <c r="J44" s="97"/>
      <c r="K44" s="97"/>
      <c r="L44" s="97"/>
      <c r="M44" s="97"/>
      <c r="N44" s="97"/>
    </row>
    <row r="45" spans="1:14" x14ac:dyDescent="0.35">
      <c r="A45" s="128" t="s">
        <v>110</v>
      </c>
      <c r="B45" s="129" t="s">
        <v>132</v>
      </c>
      <c r="C45" s="130">
        <v>0.32900000000000001</v>
      </c>
      <c r="D45" s="130" t="s">
        <v>130</v>
      </c>
      <c r="E45" s="130">
        <v>1.56</v>
      </c>
      <c r="F45" s="131" t="s">
        <v>274</v>
      </c>
      <c r="G45" s="132">
        <v>0.6</v>
      </c>
      <c r="H45" s="130" t="s">
        <v>283</v>
      </c>
      <c r="I45" s="133">
        <v>1.03</v>
      </c>
      <c r="J45" s="97"/>
      <c r="K45" s="97"/>
      <c r="L45" s="97"/>
      <c r="M45" s="97"/>
      <c r="N45" s="97"/>
    </row>
    <row r="46" spans="1:14" x14ac:dyDescent="0.35">
      <c r="A46" s="128" t="s">
        <v>124</v>
      </c>
      <c r="B46" s="129" t="s">
        <v>132</v>
      </c>
      <c r="C46" s="130">
        <v>0.34300000000000003</v>
      </c>
      <c r="D46" s="130" t="s">
        <v>130</v>
      </c>
      <c r="E46" s="130">
        <v>1.56</v>
      </c>
      <c r="F46" s="131" t="s">
        <v>274</v>
      </c>
      <c r="G46" s="132">
        <v>0.6</v>
      </c>
      <c r="H46" s="130" t="s">
        <v>283</v>
      </c>
      <c r="I46" s="133">
        <v>1.03</v>
      </c>
      <c r="J46" s="97"/>
      <c r="K46" s="97"/>
      <c r="L46" s="97"/>
      <c r="M46" s="97"/>
      <c r="N46" s="97"/>
    </row>
    <row r="47" spans="1:14" x14ac:dyDescent="0.35">
      <c r="A47" s="128" t="s">
        <v>125</v>
      </c>
      <c r="B47" s="129" t="s">
        <v>132</v>
      </c>
      <c r="C47" s="130">
        <v>0.32500000000000001</v>
      </c>
      <c r="D47" s="130" t="s">
        <v>130</v>
      </c>
      <c r="E47" s="130">
        <v>1.56</v>
      </c>
      <c r="F47" s="131" t="s">
        <v>274</v>
      </c>
      <c r="G47" s="132">
        <v>0.6</v>
      </c>
      <c r="H47" s="130" t="s">
        <v>283</v>
      </c>
      <c r="I47" s="133">
        <v>1.03</v>
      </c>
      <c r="J47" s="97"/>
      <c r="K47" s="97"/>
      <c r="L47" s="97"/>
      <c r="M47" s="97"/>
      <c r="N47" s="97"/>
    </row>
    <row r="48" spans="1:14" x14ac:dyDescent="0.35">
      <c r="A48" s="128" t="s">
        <v>126</v>
      </c>
      <c r="B48" s="129" t="s">
        <v>132</v>
      </c>
      <c r="C48" s="130">
        <v>0.32</v>
      </c>
      <c r="D48" s="130" t="s">
        <v>130</v>
      </c>
      <c r="E48" s="130">
        <v>1.56</v>
      </c>
      <c r="F48" s="131" t="s">
        <v>274</v>
      </c>
      <c r="G48" s="132">
        <v>0.6</v>
      </c>
      <c r="H48" s="130" t="s">
        <v>283</v>
      </c>
      <c r="I48" s="133">
        <v>1.03</v>
      </c>
      <c r="J48" s="97"/>
      <c r="K48" s="97"/>
      <c r="L48" s="97"/>
      <c r="M48" s="97"/>
      <c r="N48" s="97"/>
    </row>
    <row r="49" spans="1:14" x14ac:dyDescent="0.35">
      <c r="A49" s="128" t="s">
        <v>111</v>
      </c>
      <c r="B49" s="129" t="s">
        <v>132</v>
      </c>
      <c r="C49" s="130">
        <v>0.28199999999999997</v>
      </c>
      <c r="D49" s="130" t="s">
        <v>130</v>
      </c>
      <c r="E49" s="130">
        <v>1.56</v>
      </c>
      <c r="F49" s="131" t="s">
        <v>274</v>
      </c>
      <c r="G49" s="132">
        <v>0.6</v>
      </c>
      <c r="H49" s="130" t="s">
        <v>283</v>
      </c>
      <c r="I49" s="133">
        <v>1.03</v>
      </c>
      <c r="J49" s="97"/>
      <c r="K49" s="97"/>
      <c r="L49" s="97"/>
      <c r="M49" s="97"/>
      <c r="N49" s="97"/>
    </row>
    <row r="50" spans="1:14" x14ac:dyDescent="0.35">
      <c r="A50" s="128" t="s">
        <v>127</v>
      </c>
      <c r="B50" s="129" t="s">
        <v>132</v>
      </c>
      <c r="C50" s="130">
        <v>0.32800000000000001</v>
      </c>
      <c r="D50" s="130" t="s">
        <v>130</v>
      </c>
      <c r="E50" s="130">
        <v>1.56</v>
      </c>
      <c r="F50" s="131" t="s">
        <v>274</v>
      </c>
      <c r="G50" s="132">
        <v>0.6</v>
      </c>
      <c r="H50" s="130" t="s">
        <v>283</v>
      </c>
      <c r="I50" s="133">
        <v>1.03</v>
      </c>
      <c r="J50" s="97"/>
      <c r="K50" s="97"/>
      <c r="L50" s="97"/>
      <c r="M50" s="97"/>
      <c r="N50" s="97"/>
    </row>
    <row r="51" spans="1:14" x14ac:dyDescent="0.35">
      <c r="A51" s="128" t="s">
        <v>112</v>
      </c>
      <c r="B51" s="129" t="s">
        <v>132</v>
      </c>
      <c r="C51" s="130">
        <v>0.32600000000000001</v>
      </c>
      <c r="D51" s="130" t="s">
        <v>130</v>
      </c>
      <c r="E51" s="130">
        <v>1.56</v>
      </c>
      <c r="F51" s="131" t="s">
        <v>274</v>
      </c>
      <c r="G51" s="132">
        <v>0.6</v>
      </c>
      <c r="H51" s="130" t="s">
        <v>283</v>
      </c>
      <c r="I51" s="133">
        <v>1.03</v>
      </c>
      <c r="J51" s="97"/>
      <c r="K51" s="97"/>
      <c r="L51" s="97"/>
      <c r="M51" s="97"/>
      <c r="N51" s="97"/>
    </row>
    <row r="52" spans="1:14" x14ac:dyDescent="0.35">
      <c r="A52" s="128" t="s">
        <v>113</v>
      </c>
      <c r="B52" s="129" t="s">
        <v>132</v>
      </c>
      <c r="C52" s="130">
        <v>0.35899999999999999</v>
      </c>
      <c r="D52" s="130" t="s">
        <v>130</v>
      </c>
      <c r="E52" s="130">
        <v>1.56</v>
      </c>
      <c r="F52" s="131" t="s">
        <v>274</v>
      </c>
      <c r="G52" s="132">
        <v>0.6</v>
      </c>
      <c r="H52" s="130" t="s">
        <v>283</v>
      </c>
      <c r="I52" s="133">
        <v>1.03</v>
      </c>
      <c r="J52" s="97"/>
      <c r="K52" s="97"/>
      <c r="L52" s="97"/>
      <c r="M52" s="97"/>
      <c r="N52" s="97"/>
    </row>
    <row r="53" spans="1:14" x14ac:dyDescent="0.35">
      <c r="A53" s="128" t="s">
        <v>114</v>
      </c>
      <c r="B53" s="129" t="s">
        <v>132</v>
      </c>
      <c r="C53" s="130">
        <v>0.34599999999999997</v>
      </c>
      <c r="D53" s="130" t="s">
        <v>130</v>
      </c>
      <c r="E53" s="130">
        <v>1.56</v>
      </c>
      <c r="F53" s="131" t="s">
        <v>274</v>
      </c>
      <c r="G53" s="132">
        <v>0.6</v>
      </c>
      <c r="H53" s="130" t="s">
        <v>283</v>
      </c>
      <c r="I53" s="133">
        <v>1.03</v>
      </c>
      <c r="J53" s="97"/>
      <c r="K53" s="97"/>
      <c r="L53" s="97"/>
      <c r="M53" s="97"/>
      <c r="N53" s="97"/>
    </row>
    <row r="54" spans="1:14" x14ac:dyDescent="0.35">
      <c r="A54" s="128" t="s">
        <v>115</v>
      </c>
      <c r="B54" s="129" t="s">
        <v>132</v>
      </c>
      <c r="C54" s="130">
        <v>0.32600000000000001</v>
      </c>
      <c r="D54" s="130" t="s">
        <v>130</v>
      </c>
      <c r="E54" s="130">
        <v>1.56</v>
      </c>
      <c r="F54" s="131" t="s">
        <v>274</v>
      </c>
      <c r="G54" s="132">
        <v>0.6</v>
      </c>
      <c r="H54" s="130" t="s">
        <v>283</v>
      </c>
      <c r="I54" s="133">
        <v>1.03</v>
      </c>
      <c r="J54" s="97"/>
      <c r="K54" s="97"/>
      <c r="L54" s="97"/>
      <c r="M54" s="97"/>
      <c r="N54" s="97"/>
    </row>
    <row r="55" spans="1:14" x14ac:dyDescent="0.35">
      <c r="A55" s="128" t="s">
        <v>116</v>
      </c>
      <c r="B55" s="129" t="s">
        <v>132</v>
      </c>
      <c r="C55" s="130">
        <v>0.30499999999999999</v>
      </c>
      <c r="D55" s="130" t="s">
        <v>130</v>
      </c>
      <c r="E55" s="130">
        <v>1.56</v>
      </c>
      <c r="F55" s="131" t="s">
        <v>274</v>
      </c>
      <c r="G55" s="132">
        <v>0.6</v>
      </c>
      <c r="H55" s="130" t="s">
        <v>283</v>
      </c>
      <c r="I55" s="133">
        <v>1.03</v>
      </c>
      <c r="J55" s="97"/>
      <c r="K55" s="97"/>
      <c r="L55" s="97"/>
      <c r="M55" s="97"/>
      <c r="N55" s="97"/>
    </row>
    <row r="56" spans="1:14" x14ac:dyDescent="0.35">
      <c r="A56" s="128" t="s">
        <v>128</v>
      </c>
      <c r="B56" s="129" t="s">
        <v>132</v>
      </c>
      <c r="C56" s="130">
        <v>0.32300000000000001</v>
      </c>
      <c r="D56" s="130" t="s">
        <v>130</v>
      </c>
      <c r="E56" s="130">
        <v>1.56</v>
      </c>
      <c r="F56" s="131" t="s">
        <v>274</v>
      </c>
      <c r="G56" s="132">
        <v>0.6</v>
      </c>
      <c r="H56" s="130" t="s">
        <v>283</v>
      </c>
      <c r="I56" s="133">
        <v>1.03</v>
      </c>
      <c r="J56" s="97"/>
      <c r="K56" s="97"/>
      <c r="L56" s="97"/>
      <c r="M56" s="97"/>
      <c r="N56" s="97"/>
    </row>
    <row r="57" spans="1:14" x14ac:dyDescent="0.35">
      <c r="A57" s="128" t="s">
        <v>129</v>
      </c>
      <c r="B57" s="129" t="s">
        <v>132</v>
      </c>
      <c r="C57" s="130">
        <v>0.36699999999999999</v>
      </c>
      <c r="D57" s="130" t="s">
        <v>130</v>
      </c>
      <c r="E57" s="130">
        <v>1.56</v>
      </c>
      <c r="F57" s="131" t="s">
        <v>274</v>
      </c>
      <c r="G57" s="132">
        <v>0.6</v>
      </c>
      <c r="H57" s="130" t="s">
        <v>283</v>
      </c>
      <c r="I57" s="133">
        <v>1.03</v>
      </c>
      <c r="J57" s="97"/>
      <c r="K57" s="97"/>
      <c r="L57" s="97"/>
      <c r="M57" s="97"/>
      <c r="N57" s="97"/>
    </row>
    <row r="58" spans="1:14" x14ac:dyDescent="0.35">
      <c r="A58" s="128" t="s">
        <v>117</v>
      </c>
      <c r="B58" s="129" t="s">
        <v>132</v>
      </c>
      <c r="C58" s="130">
        <v>0.36</v>
      </c>
      <c r="D58" s="130" t="s">
        <v>130</v>
      </c>
      <c r="E58" s="130">
        <v>1.56</v>
      </c>
      <c r="F58" s="131" t="s">
        <v>274</v>
      </c>
      <c r="G58" s="132">
        <v>0.6</v>
      </c>
      <c r="H58" s="130" t="s">
        <v>283</v>
      </c>
      <c r="I58" s="133">
        <v>1.03</v>
      </c>
      <c r="J58" s="97"/>
      <c r="K58" s="97"/>
      <c r="L58" s="97"/>
      <c r="M58" s="97"/>
      <c r="N58" s="97"/>
    </row>
    <row r="59" spans="1:14" x14ac:dyDescent="0.35">
      <c r="A59" s="128" t="s">
        <v>118</v>
      </c>
      <c r="B59" s="129" t="s">
        <v>132</v>
      </c>
      <c r="C59" s="130">
        <v>0.36799999999999999</v>
      </c>
      <c r="D59" s="130" t="s">
        <v>130</v>
      </c>
      <c r="E59" s="130">
        <v>1.56</v>
      </c>
      <c r="F59" s="131" t="s">
        <v>274</v>
      </c>
      <c r="G59" s="132">
        <v>0.6</v>
      </c>
      <c r="H59" s="130" t="s">
        <v>283</v>
      </c>
      <c r="I59" s="133">
        <v>1.03</v>
      </c>
      <c r="J59" s="97"/>
      <c r="K59" s="97"/>
      <c r="L59" s="97"/>
      <c r="M59" s="97"/>
      <c r="N59" s="97"/>
    </row>
    <row r="60" spans="1:14" x14ac:dyDescent="0.35">
      <c r="A60" s="128" t="s">
        <v>119</v>
      </c>
      <c r="B60" s="129" t="s">
        <v>132</v>
      </c>
      <c r="C60" s="130">
        <v>0.30599999999999999</v>
      </c>
      <c r="D60" s="130" t="s">
        <v>130</v>
      </c>
      <c r="E60" s="130">
        <v>1.56</v>
      </c>
      <c r="F60" s="131" t="s">
        <v>274</v>
      </c>
      <c r="G60" s="132">
        <v>0.6</v>
      </c>
      <c r="H60" s="130" t="s">
        <v>283</v>
      </c>
      <c r="I60" s="133">
        <v>1.03</v>
      </c>
      <c r="J60" s="97"/>
      <c r="K60" s="97"/>
      <c r="L60" s="97"/>
      <c r="M60" s="97"/>
      <c r="N60" s="97"/>
    </row>
    <row r="61" spans="1:14" x14ac:dyDescent="0.35">
      <c r="A61" s="128" t="s">
        <v>120</v>
      </c>
      <c r="B61" s="129" t="s">
        <v>132</v>
      </c>
      <c r="C61" s="130">
        <v>0.313</v>
      </c>
      <c r="D61" s="130" t="s">
        <v>130</v>
      </c>
      <c r="E61" s="130">
        <v>1.56</v>
      </c>
      <c r="F61" s="131" t="s">
        <v>274</v>
      </c>
      <c r="G61" s="132">
        <v>0.6</v>
      </c>
      <c r="H61" s="130" t="s">
        <v>283</v>
      </c>
      <c r="I61" s="133">
        <v>1.03</v>
      </c>
      <c r="J61" s="97"/>
      <c r="K61" s="97"/>
      <c r="L61" s="97"/>
      <c r="M61" s="97"/>
      <c r="N61" s="97"/>
    </row>
    <row r="62" spans="1:14" x14ac:dyDescent="0.35">
      <c r="A62" s="128" t="s">
        <v>32</v>
      </c>
      <c r="B62" s="129" t="s">
        <v>133</v>
      </c>
      <c r="C62" s="130">
        <v>0.37</v>
      </c>
      <c r="D62" s="130" t="s">
        <v>161</v>
      </c>
      <c r="E62" s="130">
        <v>1.56</v>
      </c>
      <c r="F62" s="131" t="s">
        <v>274</v>
      </c>
      <c r="G62" s="132">
        <v>0.6</v>
      </c>
      <c r="H62" s="130" t="s">
        <v>283</v>
      </c>
      <c r="I62" s="133">
        <v>1.03</v>
      </c>
      <c r="J62" s="97"/>
      <c r="K62" s="97"/>
      <c r="L62" s="97"/>
      <c r="M62" s="97"/>
      <c r="N62" s="97"/>
    </row>
    <row r="63" spans="1:14" x14ac:dyDescent="0.35">
      <c r="A63" s="128" t="s">
        <v>90</v>
      </c>
      <c r="B63" s="129" t="s">
        <v>83</v>
      </c>
      <c r="C63" s="130">
        <v>0.45</v>
      </c>
      <c r="D63" s="130" t="s">
        <v>161</v>
      </c>
      <c r="E63" s="130">
        <v>1.3</v>
      </c>
      <c r="F63" s="131" t="s">
        <v>274</v>
      </c>
      <c r="G63" s="132">
        <v>0.45</v>
      </c>
      <c r="H63" s="130" t="s">
        <v>276</v>
      </c>
      <c r="I63" s="133">
        <v>0.43</v>
      </c>
      <c r="J63" s="97"/>
      <c r="K63" s="97"/>
      <c r="L63" s="97"/>
      <c r="M63" s="97"/>
      <c r="N63" s="97"/>
    </row>
    <row r="64" spans="1:14" x14ac:dyDescent="0.35">
      <c r="A64" s="128" t="s">
        <v>33</v>
      </c>
      <c r="B64" s="129" t="s">
        <v>134</v>
      </c>
      <c r="C64" s="130">
        <v>0.39</v>
      </c>
      <c r="D64" s="130" t="s">
        <v>161</v>
      </c>
      <c r="E64" s="130">
        <v>1.3</v>
      </c>
      <c r="F64" s="131" t="s">
        <v>274</v>
      </c>
      <c r="G64" s="132">
        <v>0.45</v>
      </c>
      <c r="H64" s="130" t="s">
        <v>276</v>
      </c>
      <c r="I64" s="133">
        <v>0.43</v>
      </c>
      <c r="J64" s="97"/>
      <c r="K64" s="97"/>
      <c r="L64" s="97"/>
      <c r="M64" s="97"/>
      <c r="N64" s="97"/>
    </row>
    <row r="65" spans="1:14" x14ac:dyDescent="0.35">
      <c r="A65" s="128" t="s">
        <v>34</v>
      </c>
      <c r="B65" s="129" t="s">
        <v>135</v>
      </c>
      <c r="C65" s="130">
        <v>0.44</v>
      </c>
      <c r="D65" s="130" t="s">
        <v>161</v>
      </c>
      <c r="E65" s="130">
        <v>1.3</v>
      </c>
      <c r="F65" s="131" t="s">
        <v>274</v>
      </c>
      <c r="G65" s="132">
        <v>0.45</v>
      </c>
      <c r="H65" s="130" t="s">
        <v>276</v>
      </c>
      <c r="I65" s="133">
        <v>0.43</v>
      </c>
      <c r="J65" s="97"/>
      <c r="K65" s="97"/>
      <c r="L65" s="97"/>
      <c r="M65" s="97"/>
      <c r="N65" s="97"/>
    </row>
    <row r="66" spans="1:14" x14ac:dyDescent="0.35">
      <c r="A66" s="128" t="s">
        <v>35</v>
      </c>
      <c r="B66" s="129" t="s">
        <v>84</v>
      </c>
      <c r="C66" s="130">
        <v>0.46</v>
      </c>
      <c r="D66" s="130" t="s">
        <v>161</v>
      </c>
      <c r="E66" s="130">
        <v>1.3</v>
      </c>
      <c r="F66" s="131" t="s">
        <v>274</v>
      </c>
      <c r="G66" s="132">
        <v>0.45</v>
      </c>
      <c r="H66" s="130" t="s">
        <v>276</v>
      </c>
      <c r="I66" s="133">
        <v>0.43</v>
      </c>
      <c r="J66" s="97"/>
      <c r="K66" s="97"/>
      <c r="L66" s="97"/>
      <c r="M66" s="97"/>
      <c r="N66" s="97"/>
    </row>
    <row r="67" spans="1:14" x14ac:dyDescent="0.35">
      <c r="A67" s="128" t="s">
        <v>36</v>
      </c>
      <c r="B67" s="129" t="s">
        <v>85</v>
      </c>
      <c r="C67" s="130">
        <v>0.46</v>
      </c>
      <c r="D67" s="130" t="s">
        <v>161</v>
      </c>
      <c r="E67" s="130">
        <v>1.3</v>
      </c>
      <c r="F67" s="131" t="s">
        <v>274</v>
      </c>
      <c r="G67" s="132">
        <v>0.45</v>
      </c>
      <c r="H67" s="130" t="s">
        <v>152</v>
      </c>
      <c r="I67" s="133">
        <v>0.59</v>
      </c>
      <c r="J67" s="97"/>
      <c r="K67" s="97"/>
      <c r="L67" s="97"/>
      <c r="M67" s="97"/>
      <c r="N67" s="97"/>
    </row>
    <row r="68" spans="1:14" x14ac:dyDescent="0.35">
      <c r="A68" s="128" t="s">
        <v>37</v>
      </c>
      <c r="B68" s="129" t="s">
        <v>136</v>
      </c>
      <c r="C68" s="130">
        <v>0.44</v>
      </c>
      <c r="D68" s="130" t="s">
        <v>161</v>
      </c>
      <c r="E68" s="130">
        <v>1.3</v>
      </c>
      <c r="F68" s="131" t="s">
        <v>274</v>
      </c>
      <c r="G68" s="132">
        <v>0.45</v>
      </c>
      <c r="H68" s="130" t="s">
        <v>276</v>
      </c>
      <c r="I68" s="133">
        <v>0.43</v>
      </c>
      <c r="J68" s="97"/>
      <c r="K68" s="97"/>
      <c r="L68" s="97"/>
      <c r="M68" s="97"/>
      <c r="N68" s="97"/>
    </row>
    <row r="69" spans="1:14" x14ac:dyDescent="0.35">
      <c r="A69" s="128" t="s">
        <v>38</v>
      </c>
      <c r="B69" s="129" t="s">
        <v>86</v>
      </c>
      <c r="C69" s="130">
        <v>0.46</v>
      </c>
      <c r="D69" s="130" t="s">
        <v>161</v>
      </c>
      <c r="E69" s="130">
        <v>1.3</v>
      </c>
      <c r="F69" s="131" t="s">
        <v>274</v>
      </c>
      <c r="G69" s="132">
        <v>0.45</v>
      </c>
      <c r="H69" s="130" t="s">
        <v>276</v>
      </c>
      <c r="I69" s="133">
        <v>0.43</v>
      </c>
      <c r="J69" s="97"/>
      <c r="K69" s="97"/>
      <c r="L69" s="97"/>
      <c r="M69" s="97"/>
      <c r="N69" s="97"/>
    </row>
    <row r="70" spans="1:14" x14ac:dyDescent="0.35">
      <c r="A70" s="128" t="s">
        <v>39</v>
      </c>
      <c r="B70" s="129" t="s">
        <v>137</v>
      </c>
      <c r="C70" s="130">
        <v>0.48</v>
      </c>
      <c r="D70" s="130" t="s">
        <v>161</v>
      </c>
      <c r="E70" s="130">
        <v>2.4</v>
      </c>
      <c r="F70" s="130" t="s">
        <v>284</v>
      </c>
      <c r="G70" s="132">
        <v>0.45</v>
      </c>
      <c r="H70" s="130" t="s">
        <v>276</v>
      </c>
      <c r="I70" s="133">
        <v>0.43</v>
      </c>
      <c r="J70" s="97"/>
      <c r="K70" s="97"/>
      <c r="L70" s="97"/>
      <c r="M70" s="97"/>
      <c r="N70" s="97"/>
    </row>
    <row r="71" spans="1:14" x14ac:dyDescent="0.35">
      <c r="A71" s="128" t="s">
        <v>40</v>
      </c>
      <c r="B71" s="129" t="s">
        <v>87</v>
      </c>
      <c r="C71" s="130">
        <v>0.46</v>
      </c>
      <c r="D71" s="130" t="s">
        <v>150</v>
      </c>
      <c r="E71" s="130">
        <v>1.3</v>
      </c>
      <c r="F71" s="131" t="s">
        <v>274</v>
      </c>
      <c r="G71" s="132">
        <v>0.45</v>
      </c>
      <c r="H71" s="130" t="s">
        <v>276</v>
      </c>
      <c r="I71" s="133">
        <v>0.43</v>
      </c>
      <c r="J71" s="97"/>
      <c r="K71" s="97"/>
      <c r="L71" s="97"/>
      <c r="M71" s="97"/>
      <c r="N71" s="97"/>
    </row>
    <row r="72" spans="1:14" x14ac:dyDescent="0.35">
      <c r="A72" s="128" t="s">
        <v>41</v>
      </c>
      <c r="B72" s="129" t="s">
        <v>88</v>
      </c>
      <c r="C72" s="130">
        <v>0.44</v>
      </c>
      <c r="D72" s="130" t="s">
        <v>161</v>
      </c>
      <c r="E72" s="130">
        <v>1.3</v>
      </c>
      <c r="F72" s="131" t="s">
        <v>274</v>
      </c>
      <c r="G72" s="132">
        <v>0.45</v>
      </c>
      <c r="H72" s="130" t="s">
        <v>276</v>
      </c>
      <c r="I72" s="133">
        <v>0.43</v>
      </c>
      <c r="J72" s="97"/>
      <c r="K72" s="97"/>
      <c r="L72" s="97"/>
      <c r="M72" s="97"/>
      <c r="N72" s="97"/>
    </row>
    <row r="73" spans="1:14" x14ac:dyDescent="0.35">
      <c r="A73" s="128" t="s">
        <v>138</v>
      </c>
      <c r="B73" s="129" t="s">
        <v>140</v>
      </c>
      <c r="C73" s="130">
        <v>0.46</v>
      </c>
      <c r="D73" s="130" t="s">
        <v>151</v>
      </c>
      <c r="E73" s="130">
        <v>1.3</v>
      </c>
      <c r="F73" s="131" t="s">
        <v>274</v>
      </c>
      <c r="G73" s="132">
        <v>0.45</v>
      </c>
      <c r="H73" s="130" t="s">
        <v>276</v>
      </c>
      <c r="I73" s="133">
        <v>0.43</v>
      </c>
      <c r="J73" s="97"/>
      <c r="K73" s="97"/>
      <c r="L73" s="97"/>
      <c r="M73" s="97"/>
      <c r="N73" s="97"/>
    </row>
    <row r="74" spans="1:14" x14ac:dyDescent="0.35">
      <c r="A74" s="128" t="s">
        <v>42</v>
      </c>
      <c r="B74" s="129" t="s">
        <v>139</v>
      </c>
      <c r="C74" s="130">
        <v>0.34</v>
      </c>
      <c r="D74" s="130" t="s">
        <v>161</v>
      </c>
      <c r="E74" s="130">
        <v>1.3</v>
      </c>
      <c r="F74" s="131" t="s">
        <v>274</v>
      </c>
      <c r="G74" s="132">
        <v>0.45</v>
      </c>
      <c r="H74" s="130" t="s">
        <v>276</v>
      </c>
      <c r="I74" s="133">
        <v>0.43</v>
      </c>
      <c r="J74" s="97"/>
      <c r="K74" s="97"/>
      <c r="L74" s="97"/>
      <c r="M74" s="97"/>
      <c r="N74" s="97"/>
    </row>
    <row r="75" spans="1:14" x14ac:dyDescent="0.35">
      <c r="A75" s="128" t="s">
        <v>43</v>
      </c>
      <c r="B75" s="129" t="s">
        <v>162</v>
      </c>
      <c r="C75" s="130">
        <v>0.5</v>
      </c>
      <c r="D75" s="130" t="s">
        <v>161</v>
      </c>
      <c r="E75" s="130">
        <v>1.56</v>
      </c>
      <c r="F75" s="131" t="s">
        <v>274</v>
      </c>
      <c r="G75" s="132">
        <v>0.53</v>
      </c>
      <c r="H75" s="130" t="s">
        <v>275</v>
      </c>
      <c r="I75" s="133">
        <v>0.25</v>
      </c>
      <c r="J75" s="97"/>
      <c r="K75" s="97"/>
      <c r="L75" s="97"/>
      <c r="M75" s="97"/>
      <c r="N75" s="97"/>
    </row>
    <row r="76" spans="1:14" x14ac:dyDescent="0.35">
      <c r="A76" s="128" t="s">
        <v>44</v>
      </c>
      <c r="B76" s="129" t="s">
        <v>89</v>
      </c>
      <c r="C76" s="130">
        <v>0.57999999999999996</v>
      </c>
      <c r="D76" s="130" t="s">
        <v>161</v>
      </c>
      <c r="E76" s="130">
        <v>1.56</v>
      </c>
      <c r="F76" s="131" t="s">
        <v>274</v>
      </c>
      <c r="G76" s="132">
        <v>0.3</v>
      </c>
      <c r="H76" s="130" t="s">
        <v>277</v>
      </c>
      <c r="I76" s="133">
        <v>0.25</v>
      </c>
      <c r="J76" s="97"/>
      <c r="K76" s="97"/>
      <c r="L76" s="97"/>
      <c r="M76" s="97"/>
      <c r="N76" s="97"/>
    </row>
    <row r="77" spans="1:14" x14ac:dyDescent="0.35">
      <c r="A77" s="128" t="s">
        <v>47</v>
      </c>
      <c r="B77" s="129" t="s">
        <v>141</v>
      </c>
      <c r="C77" s="130">
        <v>0.37</v>
      </c>
      <c r="D77" s="130" t="s">
        <v>161</v>
      </c>
      <c r="E77" s="130">
        <v>1.3</v>
      </c>
      <c r="F77" s="131" t="s">
        <v>274</v>
      </c>
      <c r="G77" s="132">
        <v>0.55000000000000004</v>
      </c>
      <c r="H77" s="130" t="s">
        <v>152</v>
      </c>
      <c r="I77" s="133">
        <v>0.43</v>
      </c>
      <c r="J77" s="97"/>
      <c r="K77" s="97"/>
      <c r="L77" s="97"/>
      <c r="M77" s="97"/>
      <c r="N77" s="97"/>
    </row>
    <row r="78" spans="1:14" x14ac:dyDescent="0.35">
      <c r="A78" s="128" t="s">
        <v>45</v>
      </c>
      <c r="B78" s="129" t="s">
        <v>96</v>
      </c>
      <c r="C78" s="130">
        <v>0.37</v>
      </c>
      <c r="D78" s="130" t="s">
        <v>161</v>
      </c>
      <c r="E78" s="130">
        <v>1.3</v>
      </c>
      <c r="F78" s="131" t="s">
        <v>274</v>
      </c>
      <c r="G78" s="132">
        <v>0.55000000000000004</v>
      </c>
      <c r="H78" s="130" t="s">
        <v>152</v>
      </c>
      <c r="I78" s="133">
        <v>0.43</v>
      </c>
      <c r="J78" s="97"/>
      <c r="K78" s="97"/>
      <c r="L78" s="97"/>
      <c r="M78" s="97"/>
      <c r="N78" s="97"/>
    </row>
    <row r="79" spans="1:14" x14ac:dyDescent="0.35">
      <c r="A79" s="128" t="s">
        <v>46</v>
      </c>
      <c r="B79" s="129" t="s">
        <v>95</v>
      </c>
      <c r="C79" s="130">
        <v>0.38</v>
      </c>
      <c r="D79" s="130" t="s">
        <v>161</v>
      </c>
      <c r="E79" s="130">
        <v>1.3</v>
      </c>
      <c r="F79" s="131" t="s">
        <v>274</v>
      </c>
      <c r="G79" s="132">
        <v>0.55000000000000004</v>
      </c>
      <c r="H79" s="130" t="s">
        <v>153</v>
      </c>
      <c r="I79" s="133">
        <v>0.43</v>
      </c>
      <c r="J79" s="97"/>
      <c r="K79" s="97"/>
      <c r="L79" s="97"/>
      <c r="M79" s="97"/>
      <c r="N79" s="97"/>
    </row>
    <row r="80" spans="1:14" x14ac:dyDescent="0.35">
      <c r="A80" s="128" t="s">
        <v>48</v>
      </c>
      <c r="B80" s="129" t="s">
        <v>94</v>
      </c>
      <c r="C80" s="130">
        <v>0.36</v>
      </c>
      <c r="D80" s="130" t="s">
        <v>161</v>
      </c>
      <c r="E80" s="130">
        <v>1.3</v>
      </c>
      <c r="F80" s="131" t="s">
        <v>274</v>
      </c>
      <c r="G80" s="132">
        <v>0.55000000000000004</v>
      </c>
      <c r="H80" s="130" t="s">
        <v>153</v>
      </c>
      <c r="I80" s="133">
        <v>0.43</v>
      </c>
      <c r="J80" s="97"/>
      <c r="K80" s="97"/>
      <c r="L80" s="97"/>
      <c r="M80" s="97"/>
      <c r="N80" s="97"/>
    </row>
    <row r="81" spans="1:14" x14ac:dyDescent="0.35">
      <c r="A81" s="128" t="s">
        <v>49</v>
      </c>
      <c r="B81" s="129" t="s">
        <v>142</v>
      </c>
      <c r="C81" s="130">
        <v>0.37</v>
      </c>
      <c r="D81" s="130" t="s">
        <v>161</v>
      </c>
      <c r="E81" s="130">
        <v>1.56</v>
      </c>
      <c r="F81" s="131" t="s">
        <v>274</v>
      </c>
      <c r="G81" s="132">
        <v>0.43</v>
      </c>
      <c r="H81" s="130" t="s">
        <v>278</v>
      </c>
      <c r="I81" s="133">
        <v>0.25</v>
      </c>
      <c r="J81" s="97"/>
      <c r="K81" s="97"/>
      <c r="L81" s="97"/>
      <c r="M81" s="97"/>
      <c r="N81" s="97"/>
    </row>
    <row r="82" spans="1:14" x14ac:dyDescent="0.35">
      <c r="A82" s="128" t="s">
        <v>158</v>
      </c>
      <c r="B82" s="129" t="s">
        <v>159</v>
      </c>
      <c r="C82" s="130">
        <v>0.35</v>
      </c>
      <c r="D82" s="130" t="s">
        <v>160</v>
      </c>
      <c r="E82" s="130">
        <v>1.3</v>
      </c>
      <c r="F82" s="131" t="s">
        <v>274</v>
      </c>
      <c r="G82" s="132">
        <v>0.55000000000000004</v>
      </c>
      <c r="H82" s="130" t="s">
        <v>153</v>
      </c>
      <c r="I82" s="133">
        <v>0.43</v>
      </c>
      <c r="J82" s="97"/>
      <c r="K82" s="97"/>
      <c r="L82" s="97"/>
      <c r="M82" s="97"/>
      <c r="N82" s="97"/>
    </row>
    <row r="83" spans="1:14" x14ac:dyDescent="0.35">
      <c r="A83" s="128" t="s">
        <v>156</v>
      </c>
      <c r="B83" s="129" t="s">
        <v>157</v>
      </c>
      <c r="C83" s="130">
        <v>0.34</v>
      </c>
      <c r="D83" s="130" t="s">
        <v>161</v>
      </c>
      <c r="E83" s="130">
        <v>1.3</v>
      </c>
      <c r="F83" s="131" t="s">
        <v>274</v>
      </c>
      <c r="G83" s="132">
        <v>0.55000000000000004</v>
      </c>
      <c r="H83" s="130" t="s">
        <v>153</v>
      </c>
      <c r="I83" s="133">
        <v>0.43</v>
      </c>
      <c r="J83" s="97"/>
      <c r="K83" s="97"/>
      <c r="L83" s="97"/>
      <c r="M83" s="97"/>
      <c r="N83" s="97"/>
    </row>
    <row r="84" spans="1:14" x14ac:dyDescent="0.35">
      <c r="A84" s="128" t="s">
        <v>92</v>
      </c>
      <c r="B84" s="129" t="s">
        <v>93</v>
      </c>
      <c r="C84" s="130">
        <v>0.31</v>
      </c>
      <c r="D84" s="130" t="s">
        <v>161</v>
      </c>
      <c r="E84" s="130">
        <v>1.3</v>
      </c>
      <c r="F84" s="131" t="s">
        <v>274</v>
      </c>
      <c r="G84" s="132">
        <v>0.55000000000000004</v>
      </c>
      <c r="H84" s="130" t="s">
        <v>153</v>
      </c>
      <c r="I84" s="133">
        <v>0.43</v>
      </c>
      <c r="J84" s="97"/>
      <c r="K84" s="97"/>
      <c r="L84" s="97"/>
      <c r="M84" s="97"/>
      <c r="N84" s="97"/>
    </row>
    <row r="85" spans="1:14" x14ac:dyDescent="0.35">
      <c r="A85" s="128" t="s">
        <v>50</v>
      </c>
      <c r="B85" s="129" t="s">
        <v>143</v>
      </c>
      <c r="C85" s="130">
        <v>0.43</v>
      </c>
      <c r="D85" s="130" t="s">
        <v>161</v>
      </c>
      <c r="E85" s="130">
        <v>1.56</v>
      </c>
      <c r="F85" s="131" t="s">
        <v>274</v>
      </c>
      <c r="G85" s="132">
        <v>0.53</v>
      </c>
      <c r="H85" s="130" t="s">
        <v>275</v>
      </c>
      <c r="I85" s="133">
        <v>0.25</v>
      </c>
      <c r="J85" s="97"/>
      <c r="K85" s="97"/>
      <c r="L85" s="97"/>
      <c r="M85" s="97"/>
      <c r="N85" s="97"/>
    </row>
    <row r="86" spans="1:14" x14ac:dyDescent="0.35">
      <c r="A86" s="128" t="s">
        <v>51</v>
      </c>
      <c r="B86" s="129" t="s">
        <v>91</v>
      </c>
      <c r="C86" s="130">
        <v>0.38</v>
      </c>
      <c r="D86" s="130" t="s">
        <v>161</v>
      </c>
      <c r="E86" s="130">
        <v>1.56</v>
      </c>
      <c r="F86" s="131" t="s">
        <v>274</v>
      </c>
      <c r="G86" s="132">
        <v>0.6</v>
      </c>
      <c r="H86" s="130" t="s">
        <v>279</v>
      </c>
      <c r="I86" s="133">
        <v>0.25</v>
      </c>
      <c r="J86" s="97"/>
      <c r="K86" s="97"/>
      <c r="L86" s="97"/>
      <c r="M86" s="97"/>
      <c r="N86" s="97"/>
    </row>
    <row r="87" spans="1:14" x14ac:dyDescent="0.35">
      <c r="A87" s="282" t="s">
        <v>321</v>
      </c>
      <c r="B87" s="283" t="s">
        <v>322</v>
      </c>
      <c r="C87" s="284">
        <v>0.41</v>
      </c>
      <c r="D87" s="284" t="s">
        <v>323</v>
      </c>
      <c r="E87" s="284">
        <v>1.56</v>
      </c>
      <c r="F87" s="285" t="s">
        <v>274</v>
      </c>
      <c r="G87" s="286">
        <v>0.43</v>
      </c>
      <c r="H87" s="284" t="s">
        <v>278</v>
      </c>
      <c r="I87" s="287">
        <v>0.25</v>
      </c>
      <c r="J87" s="97"/>
      <c r="K87" s="97"/>
      <c r="L87" s="97"/>
      <c r="M87" s="97"/>
      <c r="N87" s="97"/>
    </row>
    <row r="88" spans="1:14" x14ac:dyDescent="0.35">
      <c r="A88" s="128" t="s">
        <v>148</v>
      </c>
      <c r="B88" s="136"/>
      <c r="C88" s="130">
        <v>0.42</v>
      </c>
      <c r="D88" s="130" t="s">
        <v>161</v>
      </c>
      <c r="E88" s="130">
        <v>1.3</v>
      </c>
      <c r="F88" s="131" t="s">
        <v>274</v>
      </c>
      <c r="G88" s="137"/>
      <c r="H88" s="136"/>
      <c r="I88" s="138"/>
    </row>
    <row r="89" spans="1:14" ht="15" thickBot="1" x14ac:dyDescent="0.4">
      <c r="A89" s="139" t="s">
        <v>149</v>
      </c>
      <c r="B89" s="140"/>
      <c r="C89" s="141">
        <v>0.56999999999999995</v>
      </c>
      <c r="D89" s="142" t="s">
        <v>161</v>
      </c>
      <c r="E89" s="141">
        <v>1.56</v>
      </c>
      <c r="F89" s="141" t="s">
        <v>274</v>
      </c>
      <c r="G89" s="140"/>
      <c r="H89" s="140"/>
      <c r="I89" s="143"/>
    </row>
    <row r="93" spans="1:14" x14ac:dyDescent="0.35">
      <c r="A93" s="128" t="s">
        <v>208</v>
      </c>
    </row>
    <row r="94" spans="1:14" x14ac:dyDescent="0.35">
      <c r="A94" s="128" t="s">
        <v>209</v>
      </c>
    </row>
    <row r="95" spans="1:14" x14ac:dyDescent="0.35">
      <c r="A95" s="128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115" zoomScaleNormal="115" workbookViewId="0">
      <selection activeCell="C18" sqref="C18"/>
    </sheetView>
  </sheetViews>
  <sheetFormatPr baseColWidth="10" defaultColWidth="11.453125" defaultRowHeight="14.5" x14ac:dyDescent="0.35"/>
  <cols>
    <col min="1" max="1" width="22.9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3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5" thickBot="1" x14ac:dyDescent="0.65">
      <c r="A2" s="305" t="s">
        <v>271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5">
      <c r="A3" s="25"/>
      <c r="B3" s="25"/>
      <c r="C3" s="25"/>
      <c r="D3" s="25"/>
      <c r="E3" s="25"/>
      <c r="F3" s="25"/>
      <c r="G3" s="25"/>
      <c r="H3" s="25"/>
      <c r="I3" s="227"/>
      <c r="J3" s="227"/>
      <c r="K3" s="227"/>
      <c r="L3" s="227"/>
      <c r="M3" s="227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4">
      <c r="A4" s="25"/>
      <c r="B4" s="25"/>
      <c r="C4" s="25"/>
      <c r="D4" s="25"/>
      <c r="E4" s="25"/>
      <c r="F4" s="25"/>
      <c r="G4" s="25"/>
      <c r="H4" s="25"/>
      <c r="I4" s="227"/>
      <c r="J4" s="227"/>
      <c r="K4" s="227"/>
      <c r="L4" s="227"/>
      <c r="M4" s="227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8.5" thickBot="1" x14ac:dyDescent="0.4">
      <c r="A5" s="144" t="s">
        <v>207</v>
      </c>
      <c r="B5" s="145" t="s">
        <v>250</v>
      </c>
      <c r="C5" s="146" t="str">
        <f>Calculateur!S2</f>
        <v>ΔStock moyen de long terme (tCO₂/ha)</v>
      </c>
      <c r="D5" s="146" t="str">
        <f>Calculateur!T2</f>
        <v>Δstock CO₂ 30 ans (tCO₂/ha)</v>
      </c>
      <c r="E5" s="146" t="s">
        <v>228</v>
      </c>
      <c r="F5" s="146" t="s">
        <v>239</v>
      </c>
      <c r="G5" s="146" t="s">
        <v>240</v>
      </c>
      <c r="H5" s="147" t="s">
        <v>241</v>
      </c>
      <c r="I5" s="148" t="s">
        <v>242</v>
      </c>
      <c r="J5" s="149" t="s">
        <v>243</v>
      </c>
      <c r="K5" s="150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5">
      <c r="A6" s="151" t="str">
        <f>IF('Données projet'!$B$9="","",'Données projet'!$B$9)</f>
        <v>Chêne sessile</v>
      </c>
      <c r="B6" s="152">
        <f>'Données projet'!D9</f>
        <v>1.7362500000000001</v>
      </c>
      <c r="C6" s="153">
        <f ca="1">IF(OR('Données projet'!B9="",'Données projet'!C9="",'Données projet'!C9=0%),0,Calculateur!S3)</f>
        <v>327.62615088747526</v>
      </c>
      <c r="D6" s="153">
        <f>IF(OR('Données projet'!B9="",'Données projet'!C9="",'Données projet'!C9=0%),0,Calculateur!T3)</f>
        <v>180.48047802041276</v>
      </c>
      <c r="E6" s="153">
        <f ca="1">MIN(C6,D6)</f>
        <v>180.48047802041276</v>
      </c>
      <c r="F6" s="153">
        <f ca="1">E6*B6</f>
        <v>313.3592299629417</v>
      </c>
      <c r="G6" s="153">
        <f ca="1">F6*(100%-'Données projet'!$C$24)*(100%-'Données projet'!$C$25)*(100%-'Données projet'!$C$26)*(100%-'Données projet'!$C$27)</f>
        <v>282.02330696664751</v>
      </c>
      <c r="H6" s="154">
        <f>IF(OR('Données projet'!B9="",'Données projet'!C9="",'Données projet'!C9=0%),0,AVERAGE(Calculateur!$AC$3:$AC$33)*B6)</f>
        <v>0</v>
      </c>
      <c r="I6" s="155">
        <f>H6*(100%-'Données projet'!$C$24)*(100%-'Données projet'!$C$25)*(100%-'Données projet'!$C$26)*(100%-'Données projet'!$C$27)</f>
        <v>0</v>
      </c>
      <c r="J6" s="156">
        <f>IF(OR('Données projet'!B9="",'Données projet'!C9="",'Données projet'!C9=0%),0,SUM(Calculateur!$V$3:$V$33)*VLOOKUP('Données projet'!$B$9,Paramètres!$A$1:$I$89,9,0)*B6)</f>
        <v>14.758125</v>
      </c>
      <c r="K6" s="157">
        <f>J6*(100%-'Données projet'!$C$24)*(100%-'Données projet'!$C$25)*(100%-'Données projet'!$C$26)*(100%-'Données projet'!$C$27)</f>
        <v>13.2823125</v>
      </c>
      <c r="L6" s="158">
        <f ca="1">G6+I6+K6</f>
        <v>295.3056194666475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5">
      <c r="A7" s="159" t="str">
        <f>IF('Données projet'!$B$10="","",'Données projet'!$B$10)</f>
        <v>Chêne pédonculé</v>
      </c>
      <c r="B7" s="160">
        <f>'Données projet'!D10</f>
        <v>0.57874999999999999</v>
      </c>
      <c r="C7" s="153">
        <f ca="1">IF(OR('Données projet'!B10="",'Données projet'!C10="",'Données projet'!C10=0%),0,Calculateur!AN3)</f>
        <v>295.5242128298583</v>
      </c>
      <c r="D7" s="153">
        <f>IF(OR('Données projet'!B10="",'Données projet'!C10="",'Données projet'!C10=0%),0,Calculateur!AO3)</f>
        <v>164.21740841327744</v>
      </c>
      <c r="E7" s="153">
        <f t="shared" ref="E7:E15" ca="1" si="0">MIN(C7,D7)</f>
        <v>164.21740841327744</v>
      </c>
      <c r="F7" s="153">
        <f t="shared" ref="F7:F15" ca="1" si="1">E7*B7</f>
        <v>95.040825119184319</v>
      </c>
      <c r="G7" s="153">
        <f ca="1">F7*(100%-'Données projet'!$C$24)*(100%-'Données projet'!$C$25)*(100%-'Données projet'!$C$26)*(100%-'Données projet'!$C$27)</f>
        <v>85.536742607265893</v>
      </c>
      <c r="H7" s="161">
        <f>IF(OR('Données projet'!B10="",'Données projet'!C10="",'Données projet'!C10=0%),0,AVERAGE(Calculateur!$AX$3:$AX$33)*B7)</f>
        <v>0</v>
      </c>
      <c r="I7" s="155">
        <f>H7*(100%-'Données projet'!$C$24)*(100%-'Données projet'!$C$25)*(100%-'Données projet'!$C$26)*(100%-'Données projet'!$C$27)</f>
        <v>0</v>
      </c>
      <c r="J7" s="156">
        <f>IF(OR('Données projet'!B10="",'Données projet'!C10="",'Données projet'!C10=0%),0,SUM(Calculateur!$AQ$3:$AQ$33)*VLOOKUP('Données projet'!$B$10,Paramètres!$A$1:$I$89,9,0)*B7)</f>
        <v>4.9193749999999996</v>
      </c>
      <c r="K7" s="157">
        <f>J7*(100%-'Données projet'!$C$24)*(100%-'Données projet'!$C$25)*(100%-'Données projet'!$C$26)*(100%-'Données projet'!$C$27)</f>
        <v>4.4274374999999999</v>
      </c>
      <c r="L7" s="158">
        <f t="shared" ref="L7:L15" ca="1" si="2">G7+I7+K7</f>
        <v>89.964180107265889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5">
      <c r="A8" s="159" t="str">
        <f>IF('Données projet'!$B$11="","",'Données projet'!$B$11)</f>
        <v>Charme</v>
      </c>
      <c r="B8" s="160">
        <f>'Données projet'!D11</f>
        <v>0.73153999999999997</v>
      </c>
      <c r="C8" s="153">
        <f ca="1">IF(OR('Données projet'!B11="",'Données projet'!C11="",'Données projet'!C11=0%),0,Calculateur!BI3)</f>
        <v>276.19649531804959</v>
      </c>
      <c r="D8" s="153">
        <f>IF(OR('Données projet'!B11="",'Données projet'!C11="",'Données projet'!C11=0%),0,Calculateur!BJ3)</f>
        <v>253.14970964973463</v>
      </c>
      <c r="E8" s="153">
        <f t="shared" ca="1" si="0"/>
        <v>253.14970964973463</v>
      </c>
      <c r="F8" s="153">
        <f t="shared" ca="1" si="1"/>
        <v>185.18913859716687</v>
      </c>
      <c r="G8" s="153">
        <f ca="1">F8*(100%-'Données projet'!$C$24)*(100%-'Données projet'!$C$25)*(100%-'Données projet'!$C$26)*(100%-'Données projet'!$C$27)</f>
        <v>166.67022473745018</v>
      </c>
      <c r="H8" s="161">
        <f>IF(OR('Données projet'!B11="",'Données projet'!C11="",'Données projet'!C11=0%),0,AVERAGE(Calculateur!$BS$3:$BS$33)*B8)</f>
        <v>0</v>
      </c>
      <c r="I8" s="155">
        <f>H8*(100%-'Données projet'!$C$24)*(100%-'Données projet'!$C$25)*(100%-'Données projet'!$C$26)*(100%-'Données projet'!$C$27)</f>
        <v>0</v>
      </c>
      <c r="J8" s="156">
        <f>IF(OR('Données projet'!B11="",'Données projet'!C11="",'Données projet'!C11=0%),0,SUM(Calculateur!$BL$3:$BL$33)*VLOOKUP('Données projet'!$B$11,Paramètres!$A$1:$I$89,9,0)*B8)</f>
        <v>11.488929487179487</v>
      </c>
      <c r="K8" s="157">
        <f>J8*(100%-'Données projet'!$C$24)*(100%-'Données projet'!$C$25)*(100%-'Données projet'!$C$26)*(100%-'Données projet'!$C$27)</f>
        <v>10.340036538461538</v>
      </c>
      <c r="L8" s="158">
        <f t="shared" ca="1" si="2"/>
        <v>177.01026127591172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5">
      <c r="A9" s="159" t="str">
        <f>IF('Données projet'!$B$12="","",'Données projet'!$B$12)</f>
        <v>Aulne à feuilles en cœur</v>
      </c>
      <c r="B9" s="160">
        <f>'Données projet'!D12</f>
        <v>0.91210999999999998</v>
      </c>
      <c r="C9" s="153">
        <f ca="1">IF(OR('Données projet'!B12="",'Données projet'!C12="",'Données projet'!C12=0%),0,Calculateur!CD3)</f>
        <v>154.88061446835457</v>
      </c>
      <c r="D9" s="153">
        <f>IF(OR('Données projet'!B12="",'Données projet'!C12="",'Données projet'!C12=0%),0,Calculateur!CE3)</f>
        <v>201.47826692201693</v>
      </c>
      <c r="E9" s="153">
        <f t="shared" ca="1" si="0"/>
        <v>154.88061446835457</v>
      </c>
      <c r="F9" s="153">
        <f t="shared" ca="1" si="1"/>
        <v>141.26815726273088</v>
      </c>
      <c r="G9" s="153">
        <f ca="1">F9*(100%-'Données projet'!$C$24)*(100%-'Données projet'!$C$25)*(100%-'Données projet'!$C$26)*(100%-'Données projet'!$C$27)</f>
        <v>127.1413415364578</v>
      </c>
      <c r="H9" s="161">
        <f>IF(OR('Données projet'!B12="",'Données projet'!C12="",'Données projet'!C12=0%),0,AVERAGE(Calculateur!$CN$3:$CN$33)*B9)</f>
        <v>8.0323808500020022E-2</v>
      </c>
      <c r="I9" s="155">
        <f>H9*(100%-'Données projet'!$C$24)*(100%-'Données projet'!$C$25)*(100%-'Données projet'!$C$26)*(100%-'Données projet'!$C$27)</f>
        <v>7.2291427650018017E-2</v>
      </c>
      <c r="J9" s="156">
        <f>IF(OR('Données projet'!B12="",'Données projet'!C12="",'Données projet'!C12=0%),0,SUM(Calculateur!$CG$3:$CG$33)*VLOOKUP('Données projet'!$B$12,Paramètres!$A$1:$I$89,9,0)*B9)</f>
        <v>13.4536225</v>
      </c>
      <c r="K9" s="157">
        <f>J9*(100%-'Données projet'!$C$24)*(100%-'Données projet'!$C$25)*(100%-'Données projet'!$C$26)*(100%-'Données projet'!$C$27)</f>
        <v>12.108260250000001</v>
      </c>
      <c r="L9" s="158">
        <f t="shared" ca="1" si="2"/>
        <v>139.32189321410783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5">
      <c r="A10" s="159" t="str">
        <f>IF('Données projet'!$B$13="","",'Données projet'!$B$13)</f>
        <v>Alisier torminal</v>
      </c>
      <c r="B10" s="160">
        <f>'Données projet'!D13</f>
        <v>0.15279000000000001</v>
      </c>
      <c r="C10" s="153">
        <f ca="1">IF(OR('Données projet'!B13="",'Données projet'!C13="",'Données projet'!C13=0%),0,Calculateur!CY3)</f>
        <v>293.44206058086951</v>
      </c>
      <c r="D10" s="153">
        <f>IF(OR('Données projet'!B13="",'Données projet'!C13="",'Données projet'!C13=0%),0,Calculateur!CZ3)</f>
        <v>182.15909509186827</v>
      </c>
      <c r="E10" s="153">
        <f t="shared" ca="1" si="0"/>
        <v>182.15909509186827</v>
      </c>
      <c r="F10" s="153">
        <f t="shared" ca="1" si="1"/>
        <v>27.832088139086554</v>
      </c>
      <c r="G10" s="153">
        <f ca="1">F10*(100%-'Données projet'!$C$24)*(100%-'Données projet'!$C$25)*(100%-'Données projet'!$C$26)*(100%-'Données projet'!$C$27)</f>
        <v>25.0488793251779</v>
      </c>
      <c r="H10" s="161">
        <f>IF(OR('Données projet'!B13="",'Données projet'!C13="",'Données projet'!C13=0%),0,AVERAGE(Calculateur!$DI$3:$DI$33)*B10)</f>
        <v>0</v>
      </c>
      <c r="I10" s="155">
        <f>H10*(100%-'Données projet'!$C$24)*(100%-'Données projet'!$C$25)*(100%-'Données projet'!$C$26)*(100%-'Données projet'!$C$27)</f>
        <v>0</v>
      </c>
      <c r="J10" s="156">
        <f>IF(OR('Données projet'!B13="",'Données projet'!C13="",'Données projet'!C13=0%),0,SUM(Calculateur!$DB$3:$DB$33)*VLOOKUP('Données projet'!$B$13,Paramètres!$A$1:$I$89,9,0)*B10)</f>
        <v>1.3751100000000001</v>
      </c>
      <c r="K10" s="157">
        <f>J10*(100%-'Données projet'!$C$24)*(100%-'Données projet'!$C$25)*(100%-'Données projet'!$C$26)*(100%-'Données projet'!$C$27)</f>
        <v>1.2375990000000001</v>
      </c>
      <c r="L10" s="158">
        <f t="shared" ca="1" si="2"/>
        <v>26.2864783251779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5">
      <c r="A11" s="159" t="str">
        <f>IF('Données projet'!$B$14="","",'Données projet'!$B$14)</f>
        <v>Cormier</v>
      </c>
      <c r="B11" s="160">
        <f>'Données projet'!D14</f>
        <v>0.15279000000000001</v>
      </c>
      <c r="C11" s="153">
        <f ca="1">IF(OR('Données projet'!B14="",'Données projet'!C14="",'Données projet'!C14=0%),0,Calculateur!DT3)</f>
        <v>338.92444234934266</v>
      </c>
      <c r="D11" s="153">
        <f>IF(OR('Données projet'!B14="",'Données projet'!C14="",'Données projet'!C14=0%),0,Calculateur!DU3)</f>
        <v>208.91548891910895</v>
      </c>
      <c r="E11" s="153">
        <f t="shared" ca="1" si="0"/>
        <v>208.91548891910895</v>
      </c>
      <c r="F11" s="153">
        <f t="shared" ca="1" si="1"/>
        <v>31.920197551950658</v>
      </c>
      <c r="G11" s="153">
        <f ca="1">F11*(100%-'Données projet'!$C$24)*(100%-'Données projet'!$C$25)*(100%-'Données projet'!$C$26)*(100%-'Données projet'!$C$27)</f>
        <v>28.728177796755592</v>
      </c>
      <c r="H11" s="161">
        <f>IF(OR('Données projet'!B14="",'Données projet'!C14="",'Données projet'!C14=0%),0,AVERAGE(Calculateur!$ED$3:$ED$33)*B11)</f>
        <v>0</v>
      </c>
      <c r="I11" s="155">
        <f>H11*(100%-'Données projet'!$C$24)*(100%-'Données projet'!$C$25)*(100%-'Données projet'!$C$26)*(100%-'Données projet'!$C$27)</f>
        <v>0</v>
      </c>
      <c r="J11" s="156">
        <f>IF(OR('Données projet'!B14="",'Données projet'!C14="",'Données projet'!C14=0%),0,SUM(Calculateur!$DW$3:$DW$33)*VLOOKUP('Données projet'!$B$14,Paramètres!$A$1:$I$89,9,0)*B11)</f>
        <v>1.3751100000000001</v>
      </c>
      <c r="K11" s="157">
        <f>J11*(100%-'Données projet'!$C$24)*(100%-'Données projet'!$C$25)*(100%-'Données projet'!$C$26)*(100%-'Données projet'!$C$27)</f>
        <v>1.2375990000000001</v>
      </c>
      <c r="L11" s="158">
        <f t="shared" ca="1" si="2"/>
        <v>29.965776796755591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5">
      <c r="A12" s="159" t="str">
        <f>IF('Données projet'!$B$15="","",'Données projet'!$B$15)</f>
        <v>Orme</v>
      </c>
      <c r="B12" s="160">
        <f>'Données projet'!D15</f>
        <v>0.36576999999999998</v>
      </c>
      <c r="C12" s="153">
        <f ca="1">IF(OR('Données projet'!B15="",'Données projet'!C15="",'Données projet'!C15=0%),0,Calculateur!EO3)</f>
        <v>346.10839312896536</v>
      </c>
      <c r="D12" s="153">
        <f>IF(OR('Données projet'!B15="",'Données projet'!C15="",'Données projet'!C15=0%),0,Calculateur!EP3)</f>
        <v>196.24927250256087</v>
      </c>
      <c r="E12" s="153">
        <f t="shared" ca="1" si="0"/>
        <v>196.24927250256087</v>
      </c>
      <c r="F12" s="153">
        <f t="shared" ca="1" si="1"/>
        <v>71.78209640326169</v>
      </c>
      <c r="G12" s="153">
        <f ca="1">F12*(100%-'Données projet'!$C$24)*(100%-'Données projet'!$C$25)*(100%-'Données projet'!$C$26)*(100%-'Données projet'!$C$27)</f>
        <v>64.603886762935517</v>
      </c>
      <c r="H12" s="161">
        <f>IF(OR('Données projet'!B15="",'Données projet'!C15="",'Données projet'!C15=0%),0,AVERAGE(Calculateur!$EY$3:$EY$33)*B12)</f>
        <v>0</v>
      </c>
      <c r="I12" s="155">
        <f>H12*(100%-'Données projet'!$C$24)*(100%-'Données projet'!$C$25)*(100%-'Données projet'!$C$26)*(100%-'Données projet'!$C$27)</f>
        <v>0</v>
      </c>
      <c r="J12" s="156">
        <f>IF(OR('Données projet'!B15="",'Données projet'!C15="",'Données projet'!C15=0%),0,SUM(Calculateur!$ER$3:$ER$33)*VLOOKUP('Données projet'!$B$15,Paramètres!$A$1:$I$89,9,0)*B12)</f>
        <v>3.2004874999999999</v>
      </c>
      <c r="K12" s="157">
        <f>J12*(100%-'Données projet'!$C$24)*(100%-'Données projet'!$C$25)*(100%-'Données projet'!$C$26)*(100%-'Données projet'!$C$27)</f>
        <v>2.8804387500000002</v>
      </c>
      <c r="L12" s="158">
        <f t="shared" ca="1" si="2"/>
        <v>67.484325512935513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5">
      <c r="A13" s="159" t="str">
        <f>IF('Données projet'!$B$16="","",'Données projet'!$B$16)</f>
        <v/>
      </c>
      <c r="B13" s="160">
        <f>'Données projet'!D16</f>
        <v>0</v>
      </c>
      <c r="C13" s="153">
        <f>IF(OR('Données projet'!B16="",'Données projet'!C16="",'Données projet'!C16=0%),0,Calculateur!FJ3)</f>
        <v>0</v>
      </c>
      <c r="D13" s="153">
        <f>IF(OR('Données projet'!B16="",'Données projet'!C16="",'Données projet'!C16=0%),0,Calculateur!FK3)</f>
        <v>0</v>
      </c>
      <c r="E13" s="153">
        <f t="shared" si="0"/>
        <v>0</v>
      </c>
      <c r="F13" s="153">
        <f t="shared" si="1"/>
        <v>0</v>
      </c>
      <c r="G13" s="153">
        <f>F13*(100%-'Données projet'!$C$24)*(100%-'Données projet'!$C$25)*(100%-'Données projet'!$C$26)*(100%-'Données projet'!$C$27)</f>
        <v>0</v>
      </c>
      <c r="H13" s="161">
        <f>IF(OR('Données projet'!B16="",'Données projet'!C16="",'Données projet'!C16=0%),0,AVERAGE(Calculateur!$FT$3:$FT$33)*B13)</f>
        <v>0</v>
      </c>
      <c r="I13" s="155">
        <f>H13*(100%-'Données projet'!$C$24)*(100%-'Données projet'!$C$25)*(100%-'Données projet'!$C$26)*(100%-'Données projet'!$C$27)</f>
        <v>0</v>
      </c>
      <c r="J13" s="156">
        <f>IF(OR('Données projet'!C16="",'Données projet'!C16=0%),0,SUM(Calculateur!$FM$3:$FM$33)*VLOOKUP('Données projet'!$B$16,Paramètres!$A$1:$I$89,9,0)*B13)</f>
        <v>0</v>
      </c>
      <c r="K13" s="157">
        <f>J13*(100%-'Données projet'!$C$24)*(100%-'Données projet'!$C$25)*(100%-'Données projet'!$C$26)*(100%-'Données projet'!$C$27)</f>
        <v>0</v>
      </c>
      <c r="L13" s="158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5">
      <c r="A14" s="159" t="str">
        <f>IF('Données projet'!$B$17="","",'Données projet'!$B$17)</f>
        <v/>
      </c>
      <c r="B14" s="160">
        <f>'Données projet'!D17</f>
        <v>0</v>
      </c>
      <c r="C14" s="153">
        <f>IF(OR('Données projet'!B17="",'Données projet'!C17="",'Données projet'!C17=0%),0,Calculateur!GE3)</f>
        <v>0</v>
      </c>
      <c r="D14" s="153">
        <f>IF(OR('Données projet'!B17="",'Données projet'!C17="",'Données projet'!C17=0%),0,Calculateur!GF3)</f>
        <v>0</v>
      </c>
      <c r="E14" s="153">
        <f t="shared" si="0"/>
        <v>0</v>
      </c>
      <c r="F14" s="153">
        <f t="shared" si="1"/>
        <v>0</v>
      </c>
      <c r="G14" s="153">
        <f>F14*(100%-'Données projet'!$C$24)*(100%-'Données projet'!$C$25)*(100%-'Données projet'!$C$26)*(100%-'Données projet'!$C$27)</f>
        <v>0</v>
      </c>
      <c r="H14" s="161">
        <f>IF(OR('Données projet'!B17="",'Données projet'!C17="",'Données projet'!C17=0%),0,AVERAGE(Calculateur!$GO$3:$GO$33)*B14)</f>
        <v>0</v>
      </c>
      <c r="I14" s="155">
        <f>H14*(100%-'Données projet'!$C$24)*(100%-'Données projet'!$C$25)*(100%-'Données projet'!$C$26)*(100%-'Données projet'!$C$27)</f>
        <v>0</v>
      </c>
      <c r="J14" s="156">
        <f>IF(OR('Données projet'!B17="",'Données projet'!C17="",'Données projet'!C17=0%),0,SUM(Calculateur!$GH$3:$GH$33)*VLOOKUP('Données projet'!$B$17,Paramètres!$A$1:$I$89,9,0)*B14)</f>
        <v>0</v>
      </c>
      <c r="K14" s="157">
        <f>J14*(100%-'Données projet'!$C$24)*(100%-'Données projet'!$C$25)*(100%-'Données projet'!$C$26)*(100%-'Données projet'!$C$27)</f>
        <v>0</v>
      </c>
      <c r="L14" s="158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4">
      <c r="A15" s="162" t="str">
        <f>IF('Données projet'!B18="","",'Données projet'!B18)</f>
        <v/>
      </c>
      <c r="B15" s="163">
        <f>'Données projet'!D18</f>
        <v>0</v>
      </c>
      <c r="C15" s="164">
        <f>IF(OR('Données projet'!B18="",'Données projet'!C18="",'Données projet'!C18=0%),0,Calculateur!GZ3)</f>
        <v>0</v>
      </c>
      <c r="D15" s="164">
        <f>IF(OR('Données projet'!B18="",'Données projet'!C18="",'Données projet'!C18=0%),0,Calculateur!HA3)</f>
        <v>0</v>
      </c>
      <c r="E15" s="164">
        <f t="shared" si="0"/>
        <v>0</v>
      </c>
      <c r="F15" s="165">
        <f t="shared" si="1"/>
        <v>0</v>
      </c>
      <c r="G15" s="165">
        <f>F15*(100%-'Données projet'!$C$24)*(100%-'Données projet'!$C$25)*(100%-'Données projet'!$C$26)*(100%-'Données projet'!$C$27)</f>
        <v>0</v>
      </c>
      <c r="H15" s="166">
        <f>IF(OR('Données projet'!B18="",'Données projet'!C18="",'Données projet'!C18=0%),0,AVERAGE(Calculateur!$HJ$3:$HJ$33)*B15)</f>
        <v>0</v>
      </c>
      <c r="I15" s="167">
        <f>H15*(100%-'Données projet'!$C$24)*(100%-'Données projet'!$C$25)*(100%-'Données projet'!$C$26)*(100%-'Données projet'!$C$27)</f>
        <v>0</v>
      </c>
      <c r="J15" s="168">
        <f>IF(OR('Données projet'!B18="",'Données projet'!C18="",'Données projet'!C18=0%),0,SUM(Calculateur!$HC$3:$HC$33)*VLOOKUP('Données projet'!$B$18,Paramètres!$A$1:$I$89,9,0)*B15)</f>
        <v>0</v>
      </c>
      <c r="K15" s="169">
        <f>J15*(100%-'Données projet'!$C$24)*(100%-'Données projet'!$C$25)*(100%-'Données projet'!$C$26)*(100%-'Données projet'!$C$27)</f>
        <v>0</v>
      </c>
      <c r="L15" s="170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4">
      <c r="A16" s="222"/>
      <c r="B16" s="229"/>
      <c r="C16" s="230"/>
      <c r="D16" s="25"/>
      <c r="E16" s="25"/>
      <c r="F16" s="171">
        <f t="shared" ref="F16:L16" ca="1" si="3">SUM(F6:F15)</f>
        <v>866.39173303632253</v>
      </c>
      <c r="G16" s="172">
        <f t="shared" ca="1" si="3"/>
        <v>779.75255973269054</v>
      </c>
      <c r="H16" s="173">
        <f t="shared" si="3"/>
        <v>8.0323808500020022E-2</v>
      </c>
      <c r="I16" s="173">
        <f t="shared" si="3"/>
        <v>7.2291427650018017E-2</v>
      </c>
      <c r="J16" s="174">
        <f t="shared" si="3"/>
        <v>50.570759487179487</v>
      </c>
      <c r="K16" s="174">
        <f t="shared" si="3"/>
        <v>45.513683538461549</v>
      </c>
      <c r="L16" s="175">
        <f t="shared" ca="1" si="3"/>
        <v>825.33853469880182</v>
      </c>
      <c r="M16" s="25">
        <f ca="1">L16/4.6</f>
        <v>179.42142058669606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5">
      <c r="A17" s="222"/>
      <c r="B17" s="229"/>
      <c r="C17" s="230"/>
      <c r="D17" s="227"/>
      <c r="E17" s="227"/>
      <c r="F17" s="317" t="s">
        <v>246</v>
      </c>
      <c r="G17" s="318"/>
      <c r="H17" s="318"/>
      <c r="I17" s="318"/>
      <c r="J17" s="318"/>
      <c r="K17" s="318"/>
      <c r="L17" s="318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5">
      <c r="A18" s="222"/>
      <c r="B18" s="229"/>
      <c r="C18" s="230"/>
      <c r="D18" s="227"/>
      <c r="E18" s="227"/>
      <c r="F18" s="319"/>
      <c r="G18" s="319"/>
      <c r="H18" s="319"/>
      <c r="I18" s="319"/>
      <c r="J18" s="319"/>
      <c r="K18" s="319"/>
      <c r="L18" s="319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5">
      <c r="A19" s="25"/>
      <c r="B19" s="25"/>
      <c r="C19" s="25"/>
      <c r="D19" s="25"/>
      <c r="E19" s="25"/>
      <c r="F19" s="25"/>
      <c r="G19" s="25"/>
      <c r="H19" s="25"/>
      <c r="I19" s="227"/>
      <c r="J19" s="227"/>
      <c r="K19" s="227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4">
      <c r="A20" s="25"/>
      <c r="B20" s="25"/>
      <c r="C20" s="25"/>
      <c r="D20" s="25"/>
      <c r="E20" s="25"/>
      <c r="F20" s="25"/>
      <c r="G20" s="25"/>
      <c r="H20" s="25"/>
      <c r="I20" s="227"/>
      <c r="J20" s="227"/>
      <c r="K20" s="227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4">
      <c r="A21" s="176" t="str">
        <f>A6</f>
        <v>Chêne sessile</v>
      </c>
      <c r="B21" s="5"/>
      <c r="C21" s="5"/>
      <c r="D21" s="5"/>
      <c r="E21" s="5"/>
      <c r="F21" s="5"/>
      <c r="G21" s="5"/>
      <c r="H21" s="5"/>
      <c r="I21" s="227"/>
      <c r="J21" s="227"/>
      <c r="K21" s="227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5">
      <c r="A22" s="5"/>
      <c r="B22" s="5"/>
      <c r="C22" s="5"/>
      <c r="D22" s="5"/>
      <c r="E22" s="5"/>
      <c r="F22" s="5"/>
      <c r="G22" s="5"/>
      <c r="H22" s="5"/>
      <c r="I22" s="227"/>
      <c r="J22" s="227"/>
      <c r="K22" s="227"/>
      <c r="L22" s="227"/>
      <c r="M22" s="227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5">
      <c r="A23" s="5"/>
      <c r="B23" s="5"/>
      <c r="C23" s="5"/>
      <c r="D23" s="5"/>
      <c r="E23" s="5"/>
      <c r="F23" s="5"/>
      <c r="G23" s="5"/>
      <c r="H23" s="5"/>
      <c r="I23" s="227"/>
      <c r="J23" s="227"/>
      <c r="K23" s="227"/>
      <c r="L23" s="227"/>
      <c r="M23" s="227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5">
      <c r="A24" s="5"/>
      <c r="B24" s="5"/>
      <c r="C24" s="5"/>
      <c r="D24" s="5"/>
      <c r="E24" s="5"/>
      <c r="F24" s="5"/>
      <c r="G24" s="5"/>
      <c r="H24" s="5"/>
      <c r="I24" s="227"/>
      <c r="J24" s="227"/>
      <c r="K24" s="227"/>
      <c r="L24" s="227"/>
      <c r="M24" s="227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5">
      <c r="A25" s="5"/>
      <c r="B25" s="5"/>
      <c r="C25" s="5"/>
      <c r="D25" s="5"/>
      <c r="E25" s="5"/>
      <c r="F25" s="5"/>
      <c r="G25" s="5"/>
      <c r="H25" s="5"/>
      <c r="I25" s="227"/>
      <c r="J25" s="227"/>
      <c r="K25" s="227"/>
      <c r="L25" s="227"/>
      <c r="M25" s="227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5">
      <c r="A26" s="5"/>
      <c r="B26" s="5"/>
      <c r="C26" s="5"/>
      <c r="D26" s="5"/>
      <c r="E26" s="5"/>
      <c r="F26" s="5"/>
      <c r="G26" s="5"/>
      <c r="H26" s="5"/>
      <c r="I26" s="227"/>
      <c r="J26" s="227"/>
      <c r="K26" s="227"/>
      <c r="L26" s="227"/>
      <c r="M26" s="227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5">
      <c r="A27" s="5"/>
      <c r="B27" s="5"/>
      <c r="C27" s="5"/>
      <c r="D27" s="5"/>
      <c r="E27" s="5"/>
      <c r="F27" s="5"/>
      <c r="G27" s="5"/>
      <c r="H27" s="5"/>
      <c r="I27" s="227"/>
      <c r="J27" s="227"/>
      <c r="K27" s="227"/>
      <c r="L27" s="227"/>
      <c r="M27" s="227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5">
      <c r="A28" s="5"/>
      <c r="B28" s="5"/>
      <c r="C28" s="5"/>
      <c r="D28" s="5"/>
      <c r="E28" s="5"/>
      <c r="F28" s="5"/>
      <c r="G28" s="5"/>
      <c r="H28" s="5"/>
      <c r="I28" s="227"/>
      <c r="J28" s="227"/>
      <c r="K28" s="227"/>
      <c r="L28" s="227"/>
      <c r="M28" s="227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5">
      <c r="A29" s="5"/>
      <c r="B29" s="5"/>
      <c r="C29" s="5"/>
      <c r="D29" s="5"/>
      <c r="E29" s="5"/>
      <c r="F29" s="5"/>
      <c r="G29" s="5"/>
      <c r="H29" s="5"/>
      <c r="I29" s="227"/>
      <c r="J29" s="227"/>
      <c r="K29" s="227"/>
      <c r="L29" s="227"/>
      <c r="M29" s="227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5">
      <c r="A30" s="5"/>
      <c r="B30" s="5"/>
      <c r="C30" s="5"/>
      <c r="D30" s="5"/>
      <c r="E30" s="5"/>
      <c r="F30" s="5"/>
      <c r="G30" s="5"/>
      <c r="H30" s="5"/>
      <c r="I30" s="227"/>
      <c r="J30" s="227"/>
      <c r="K30" s="227"/>
      <c r="L30" s="227"/>
      <c r="M30" s="227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5">
      <c r="A31" s="5"/>
      <c r="B31" s="5"/>
      <c r="C31" s="5"/>
      <c r="D31" s="5"/>
      <c r="E31" s="5"/>
      <c r="F31" s="5"/>
      <c r="G31" s="5"/>
      <c r="H31" s="5"/>
      <c r="I31" s="227"/>
      <c r="J31" s="227"/>
      <c r="K31" s="227"/>
      <c r="L31" s="227"/>
      <c r="M31" s="227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5">
      <c r="A32" s="5"/>
      <c r="B32" s="5"/>
      <c r="C32" s="5"/>
      <c r="D32" s="5"/>
      <c r="E32" s="5"/>
      <c r="F32" s="5"/>
      <c r="G32" s="5"/>
      <c r="H32" s="5"/>
      <c r="I32" s="227"/>
      <c r="J32" s="227"/>
      <c r="K32" s="227"/>
      <c r="L32" s="227"/>
      <c r="M32" s="227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5">
      <c r="A33" s="5"/>
      <c r="B33" s="5"/>
      <c r="C33" s="5"/>
      <c r="D33" s="5"/>
      <c r="E33" s="5"/>
      <c r="F33" s="5"/>
      <c r="G33" s="5"/>
      <c r="H33" s="5"/>
      <c r="I33" s="227"/>
      <c r="J33" s="227"/>
      <c r="K33" s="227"/>
      <c r="L33" s="227"/>
      <c r="M33" s="227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5">
      <c r="A34" s="5"/>
      <c r="B34" s="5"/>
      <c r="C34" s="5"/>
      <c r="D34" s="5"/>
      <c r="E34" s="5"/>
      <c r="F34" s="5"/>
      <c r="G34" s="5"/>
      <c r="H34" s="5"/>
      <c r="I34" s="227"/>
      <c r="J34" s="227"/>
      <c r="K34" s="227"/>
      <c r="L34" s="227"/>
      <c r="M34" s="227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5">
      <c r="A35" s="5"/>
      <c r="B35" s="5"/>
      <c r="C35" s="5"/>
      <c r="D35" s="5"/>
      <c r="E35" s="5"/>
      <c r="F35" s="5"/>
      <c r="G35" s="5"/>
      <c r="H35" s="5"/>
      <c r="I35" s="227"/>
      <c r="J35" s="227"/>
      <c r="K35" s="227"/>
      <c r="L35" s="227"/>
      <c r="M35" s="227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5">
      <c r="A36" s="5"/>
      <c r="B36" s="5"/>
      <c r="C36" s="5"/>
      <c r="D36" s="5"/>
      <c r="E36" s="5"/>
      <c r="F36" s="5"/>
      <c r="G36" s="5"/>
      <c r="H36" s="5"/>
      <c r="I36" s="227"/>
      <c r="J36" s="227"/>
      <c r="K36" s="227"/>
      <c r="L36" s="227"/>
      <c r="M36" s="227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5">
      <c r="A37" s="5"/>
      <c r="B37" s="5"/>
      <c r="C37" s="5"/>
      <c r="D37" s="5"/>
      <c r="E37" s="5"/>
      <c r="F37" s="5"/>
      <c r="G37" s="5"/>
      <c r="H37" s="5"/>
      <c r="I37" s="227"/>
      <c r="J37" s="227"/>
      <c r="K37" s="227"/>
      <c r="L37" s="227"/>
      <c r="M37" s="227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4">
      <c r="A38" s="5"/>
      <c r="B38" s="5"/>
      <c r="C38" s="5"/>
      <c r="D38" s="5"/>
      <c r="E38" s="5"/>
      <c r="F38" s="5"/>
      <c r="G38" s="5"/>
      <c r="H38" s="5"/>
      <c r="I38" s="227"/>
      <c r="J38" s="227"/>
      <c r="K38" s="227"/>
      <c r="L38" s="227"/>
      <c r="M38" s="227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4">
      <c r="A39" s="176" t="str">
        <f>A7</f>
        <v>Chêne pédonculé</v>
      </c>
      <c r="B39" s="5"/>
      <c r="C39" s="5"/>
      <c r="D39" s="5"/>
      <c r="E39" s="5"/>
      <c r="F39" s="5"/>
      <c r="G39" s="5"/>
      <c r="H39" s="5"/>
      <c r="I39" s="227"/>
      <c r="J39" s="227"/>
      <c r="K39" s="227"/>
      <c r="L39" s="227"/>
      <c r="M39" s="227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5">
      <c r="A40" s="5"/>
      <c r="B40" s="5"/>
      <c r="C40" s="5"/>
      <c r="D40" s="5"/>
      <c r="E40" s="5"/>
      <c r="F40" s="5"/>
      <c r="G40" s="5"/>
      <c r="H40" s="5"/>
      <c r="I40" s="227"/>
      <c r="J40" s="227"/>
      <c r="K40" s="227"/>
      <c r="L40" s="227"/>
      <c r="M40" s="227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5">
      <c r="A41" s="5"/>
      <c r="B41" s="5"/>
      <c r="C41" s="5"/>
      <c r="D41" s="5"/>
      <c r="E41" s="5"/>
      <c r="F41" s="5"/>
      <c r="G41" s="5"/>
      <c r="H41" s="5"/>
      <c r="I41" s="227"/>
      <c r="J41" s="227"/>
      <c r="K41" s="227"/>
      <c r="L41" s="227"/>
      <c r="M41" s="227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5">
      <c r="A42" s="5"/>
      <c r="B42" s="5"/>
      <c r="C42" s="5"/>
      <c r="D42" s="5"/>
      <c r="E42" s="5"/>
      <c r="F42" s="5"/>
      <c r="G42" s="5"/>
      <c r="H42" s="5"/>
      <c r="I42" s="227"/>
      <c r="J42" s="227"/>
      <c r="K42" s="227"/>
      <c r="L42" s="227"/>
      <c r="M42" s="227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5">
      <c r="A43" s="5"/>
      <c r="B43" s="5"/>
      <c r="C43" s="5"/>
      <c r="D43" s="5"/>
      <c r="E43" s="5"/>
      <c r="F43" s="5"/>
      <c r="G43" s="5"/>
      <c r="H43" s="5"/>
      <c r="I43" s="227"/>
      <c r="J43" s="227"/>
      <c r="K43" s="227"/>
      <c r="L43" s="227"/>
      <c r="M43" s="227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5">
      <c r="A44" s="5"/>
      <c r="B44" s="5"/>
      <c r="C44" s="5"/>
      <c r="D44" s="5"/>
      <c r="E44" s="5"/>
      <c r="F44" s="5"/>
      <c r="G44" s="5"/>
      <c r="H44" s="5"/>
      <c r="I44" s="227"/>
      <c r="J44" s="227"/>
      <c r="K44" s="227"/>
      <c r="L44" s="227"/>
      <c r="M44" s="227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5">
      <c r="A45" s="5"/>
      <c r="B45" s="5"/>
      <c r="C45" s="5"/>
      <c r="D45" s="5"/>
      <c r="E45" s="5"/>
      <c r="F45" s="5"/>
      <c r="G45" s="5"/>
      <c r="H45" s="5"/>
      <c r="I45" s="227"/>
      <c r="J45" s="227"/>
      <c r="K45" s="227"/>
      <c r="L45" s="227"/>
      <c r="M45" s="227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5">
      <c r="A46" s="5"/>
      <c r="B46" s="5"/>
      <c r="C46" s="5"/>
      <c r="D46" s="5"/>
      <c r="E46" s="5"/>
      <c r="F46" s="5"/>
      <c r="G46" s="5"/>
      <c r="H46" s="5"/>
      <c r="I46" s="227"/>
      <c r="J46" s="227"/>
      <c r="K46" s="227"/>
      <c r="L46" s="227"/>
      <c r="M46" s="227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5">
      <c r="A47" s="5"/>
      <c r="B47" s="5"/>
      <c r="C47" s="5"/>
      <c r="D47" s="5"/>
      <c r="E47" s="5"/>
      <c r="F47" s="5"/>
      <c r="G47" s="5"/>
      <c r="H47" s="5"/>
      <c r="I47" s="227"/>
      <c r="J47" s="227"/>
      <c r="K47" s="227"/>
      <c r="L47" s="227"/>
      <c r="M47" s="227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5">
      <c r="A48" s="5"/>
      <c r="B48" s="5"/>
      <c r="C48" s="5"/>
      <c r="D48" s="5"/>
      <c r="E48" s="5"/>
      <c r="F48" s="5"/>
      <c r="G48" s="5"/>
      <c r="H48" s="5"/>
      <c r="I48" s="227"/>
      <c r="J48" s="227"/>
      <c r="K48" s="227"/>
      <c r="L48" s="227"/>
      <c r="M48" s="227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5">
      <c r="A49" s="5"/>
      <c r="B49" s="5"/>
      <c r="C49" s="5"/>
      <c r="D49" s="5"/>
      <c r="E49" s="5"/>
      <c r="F49" s="5"/>
      <c r="G49" s="5"/>
      <c r="H49" s="5"/>
      <c r="I49" s="227"/>
      <c r="J49" s="227"/>
      <c r="K49" s="227"/>
      <c r="L49" s="227"/>
      <c r="M49" s="227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5">
      <c r="A50" s="5"/>
      <c r="B50" s="5"/>
      <c r="C50" s="5"/>
      <c r="D50" s="5"/>
      <c r="E50" s="5"/>
      <c r="F50" s="5"/>
      <c r="G50" s="5"/>
      <c r="H50" s="5"/>
      <c r="I50" s="227"/>
      <c r="J50" s="227"/>
      <c r="K50" s="227"/>
      <c r="L50" s="227"/>
      <c r="M50" s="227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5">
      <c r="A51" s="5"/>
      <c r="B51" s="5"/>
      <c r="C51" s="5"/>
      <c r="D51" s="5"/>
      <c r="E51" s="5"/>
      <c r="F51" s="5"/>
      <c r="G51" s="5"/>
      <c r="H51" s="5"/>
      <c r="I51" s="227"/>
      <c r="J51" s="227"/>
      <c r="K51" s="227"/>
      <c r="L51" s="227"/>
      <c r="M51" s="227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5">
      <c r="A52" s="5"/>
      <c r="B52" s="5"/>
      <c r="C52" s="5"/>
      <c r="D52" s="5"/>
      <c r="E52" s="5"/>
      <c r="F52" s="5"/>
      <c r="G52" s="5"/>
      <c r="H52" s="5"/>
      <c r="I52" s="227"/>
      <c r="J52" s="227"/>
      <c r="K52" s="227"/>
      <c r="L52" s="227"/>
      <c r="M52" s="227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5">
      <c r="A53" s="5"/>
      <c r="B53" s="5"/>
      <c r="C53" s="5"/>
      <c r="D53" s="5"/>
      <c r="E53" s="5"/>
      <c r="F53" s="5"/>
      <c r="G53" s="5"/>
      <c r="H53" s="5"/>
      <c r="I53" s="227"/>
      <c r="J53" s="227"/>
      <c r="K53" s="227"/>
      <c r="L53" s="227"/>
      <c r="M53" s="227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5">
      <c r="A54" s="5"/>
      <c r="B54" s="5"/>
      <c r="C54" s="5"/>
      <c r="D54" s="5"/>
      <c r="E54" s="5"/>
      <c r="F54" s="5"/>
      <c r="G54" s="5"/>
      <c r="H54" s="5"/>
      <c r="I54" s="227"/>
      <c r="J54" s="227"/>
      <c r="K54" s="227"/>
      <c r="L54" s="227"/>
      <c r="M54" s="227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5">
      <c r="A55" s="5"/>
      <c r="B55" s="5"/>
      <c r="C55" s="5"/>
      <c r="D55" s="5"/>
      <c r="E55" s="5"/>
      <c r="F55" s="5"/>
      <c r="G55" s="5"/>
      <c r="H55" s="5"/>
      <c r="I55" s="227"/>
      <c r="J55" s="227"/>
      <c r="K55" s="227"/>
      <c r="L55" s="227"/>
      <c r="M55" s="227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4">
      <c r="A56" s="5"/>
      <c r="B56" s="5"/>
      <c r="C56" s="5"/>
      <c r="D56" s="5"/>
      <c r="E56" s="5"/>
      <c r="F56" s="5"/>
      <c r="G56" s="5"/>
      <c r="H56" s="5"/>
      <c r="I56" s="227"/>
      <c r="J56" s="227"/>
      <c r="K56" s="227"/>
      <c r="L56" s="227"/>
      <c r="M56" s="227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4">
      <c r="A57" s="176" t="str">
        <f>A8</f>
        <v>Charme</v>
      </c>
      <c r="B57" s="5"/>
      <c r="C57" s="5"/>
      <c r="D57" s="5"/>
      <c r="E57" s="5"/>
      <c r="F57" s="5"/>
      <c r="G57" s="5"/>
      <c r="H57" s="5"/>
      <c r="I57" s="227"/>
      <c r="J57" s="227"/>
      <c r="K57" s="227"/>
      <c r="L57" s="227"/>
      <c r="M57" s="227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5">
      <c r="A58" s="5"/>
      <c r="B58" s="5"/>
      <c r="C58" s="5"/>
      <c r="D58" s="5"/>
      <c r="E58" s="5"/>
      <c r="F58" s="5"/>
      <c r="G58" s="5"/>
      <c r="H58" s="5"/>
      <c r="I58" s="227"/>
      <c r="J58" s="227"/>
      <c r="K58" s="227"/>
      <c r="L58" s="227"/>
      <c r="M58" s="227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5">
      <c r="A59" s="5"/>
      <c r="B59" s="5"/>
      <c r="C59" s="5"/>
      <c r="D59" s="5"/>
      <c r="E59" s="5"/>
      <c r="F59" s="5"/>
      <c r="G59" s="5"/>
      <c r="H59" s="5"/>
      <c r="I59" s="227"/>
      <c r="J59" s="227"/>
      <c r="K59" s="227"/>
      <c r="L59" s="227"/>
      <c r="M59" s="227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5">
      <c r="A60" s="5"/>
      <c r="B60" s="5"/>
      <c r="C60" s="5"/>
      <c r="D60" s="5"/>
      <c r="E60" s="5"/>
      <c r="F60" s="5"/>
      <c r="G60" s="5"/>
      <c r="H60" s="5"/>
      <c r="I60" s="227"/>
      <c r="J60" s="227"/>
      <c r="K60" s="227"/>
      <c r="L60" s="227"/>
      <c r="M60" s="227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5">
      <c r="A61" s="5"/>
      <c r="B61" s="5"/>
      <c r="C61" s="5"/>
      <c r="D61" s="5"/>
      <c r="E61" s="5"/>
      <c r="F61" s="5"/>
      <c r="G61" s="5"/>
      <c r="H61" s="5"/>
      <c r="I61" s="227"/>
      <c r="J61" s="227"/>
      <c r="K61" s="227"/>
      <c r="L61" s="227"/>
      <c r="M61" s="227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5">
      <c r="A62" s="5"/>
      <c r="B62" s="5"/>
      <c r="C62" s="5"/>
      <c r="D62" s="5"/>
      <c r="E62" s="5"/>
      <c r="F62" s="5"/>
      <c r="G62" s="5"/>
      <c r="H62" s="5"/>
      <c r="I62" s="227"/>
      <c r="J62" s="227"/>
      <c r="K62" s="227"/>
      <c r="L62" s="227"/>
      <c r="M62" s="227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5">
      <c r="A63" s="5"/>
      <c r="B63" s="5"/>
      <c r="C63" s="5"/>
      <c r="D63" s="5"/>
      <c r="E63" s="5"/>
      <c r="F63" s="5"/>
      <c r="G63" s="5"/>
      <c r="H63" s="5"/>
      <c r="I63" s="227"/>
      <c r="J63" s="227"/>
      <c r="K63" s="227"/>
      <c r="L63" s="227"/>
      <c r="M63" s="227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5">
      <c r="A64" s="5"/>
      <c r="B64" s="5"/>
      <c r="C64" s="5"/>
      <c r="D64" s="5"/>
      <c r="E64" s="5"/>
      <c r="F64" s="5"/>
      <c r="G64" s="5"/>
      <c r="H64" s="5"/>
      <c r="I64" s="227"/>
      <c r="J64" s="227"/>
      <c r="K64" s="227"/>
      <c r="L64" s="227"/>
      <c r="M64" s="227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5">
      <c r="A65" s="5"/>
      <c r="B65" s="5"/>
      <c r="C65" s="5"/>
      <c r="D65" s="5"/>
      <c r="E65" s="5"/>
      <c r="F65" s="5"/>
      <c r="G65" s="5"/>
      <c r="H65" s="5"/>
      <c r="I65" s="227"/>
      <c r="J65" s="227"/>
      <c r="K65" s="227"/>
      <c r="L65" s="227"/>
      <c r="M65" s="227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5">
      <c r="A66" s="5"/>
      <c r="B66" s="5"/>
      <c r="C66" s="5"/>
      <c r="D66" s="5"/>
      <c r="E66" s="5"/>
      <c r="F66" s="5"/>
      <c r="G66" s="5"/>
      <c r="H66" s="5"/>
      <c r="I66" s="227"/>
      <c r="J66" s="227"/>
      <c r="K66" s="227"/>
      <c r="L66" s="227"/>
      <c r="M66" s="227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5">
      <c r="A67" s="5"/>
      <c r="B67" s="5"/>
      <c r="C67" s="5"/>
      <c r="D67" s="5"/>
      <c r="E67" s="5"/>
      <c r="F67" s="5"/>
      <c r="G67" s="5"/>
      <c r="H67" s="5"/>
      <c r="I67" s="227"/>
      <c r="J67" s="227"/>
      <c r="K67" s="227"/>
      <c r="L67" s="227"/>
      <c r="M67" s="227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5">
      <c r="A68" s="5"/>
      <c r="B68" s="5"/>
      <c r="C68" s="5"/>
      <c r="D68" s="5"/>
      <c r="E68" s="5"/>
      <c r="F68" s="5"/>
      <c r="G68" s="5"/>
      <c r="H68" s="5"/>
      <c r="I68" s="227"/>
      <c r="J68" s="227"/>
      <c r="K68" s="227"/>
      <c r="L68" s="227"/>
      <c r="M68" s="227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5">
      <c r="A69" s="5"/>
      <c r="B69" s="5"/>
      <c r="C69" s="5"/>
      <c r="D69" s="5"/>
      <c r="E69" s="5"/>
      <c r="F69" s="5"/>
      <c r="G69" s="5"/>
      <c r="H69" s="5"/>
      <c r="I69" s="227"/>
      <c r="J69" s="227"/>
      <c r="K69" s="227"/>
      <c r="L69" s="227"/>
      <c r="M69" s="227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5">
      <c r="A70" s="5"/>
      <c r="B70" s="5"/>
      <c r="C70" s="5"/>
      <c r="D70" s="5"/>
      <c r="E70" s="5"/>
      <c r="F70" s="5"/>
      <c r="G70" s="5"/>
      <c r="H70" s="5"/>
      <c r="I70" s="227"/>
      <c r="J70" s="227"/>
      <c r="K70" s="227"/>
      <c r="L70" s="227"/>
      <c r="M70" s="227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5">
      <c r="A71" s="5"/>
      <c r="B71" s="5"/>
      <c r="C71" s="5"/>
      <c r="D71" s="5"/>
      <c r="E71" s="5"/>
      <c r="F71" s="5"/>
      <c r="G71" s="5"/>
      <c r="H71" s="5"/>
      <c r="I71" s="227"/>
      <c r="J71" s="227"/>
      <c r="K71" s="227"/>
      <c r="L71" s="227"/>
      <c r="M71" s="227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5">
      <c r="A72" s="5"/>
      <c r="B72" s="5"/>
      <c r="C72" s="5"/>
      <c r="D72" s="5"/>
      <c r="E72" s="5"/>
      <c r="F72" s="5"/>
      <c r="G72" s="5"/>
      <c r="H72" s="5"/>
      <c r="I72" s="227"/>
      <c r="J72" s="227"/>
      <c r="K72" s="227"/>
      <c r="L72" s="227"/>
      <c r="M72" s="227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5">
      <c r="A73" s="5"/>
      <c r="B73" s="5"/>
      <c r="C73" s="5"/>
      <c r="D73" s="5"/>
      <c r="E73" s="5"/>
      <c r="F73" s="5"/>
      <c r="G73" s="5"/>
      <c r="H73" s="5"/>
      <c r="I73" s="227"/>
      <c r="J73" s="227"/>
      <c r="K73" s="227"/>
      <c r="L73" s="227"/>
      <c r="M73" s="227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5">
      <c r="A74" s="5"/>
      <c r="B74" s="5"/>
      <c r="C74" s="5"/>
      <c r="D74" s="5"/>
      <c r="E74" s="5"/>
      <c r="F74" s="5"/>
      <c r="G74" s="5"/>
      <c r="H74" s="5"/>
      <c r="I74" s="227"/>
      <c r="J74" s="227"/>
      <c r="K74" s="227"/>
      <c r="L74" s="227"/>
      <c r="M74" s="227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4">
      <c r="A75" s="5"/>
      <c r="B75" s="5"/>
      <c r="C75" s="5"/>
      <c r="D75" s="5"/>
      <c r="E75" s="5"/>
      <c r="F75" s="5"/>
      <c r="G75" s="5"/>
      <c r="H75" s="5"/>
      <c r="I75" s="227"/>
      <c r="J75" s="227"/>
      <c r="K75" s="227"/>
      <c r="L75" s="227"/>
      <c r="M75" s="227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4">
      <c r="A76" s="176" t="str">
        <f>A9</f>
        <v>Aulne à feuilles en cœur</v>
      </c>
      <c r="B76" s="5"/>
      <c r="C76" s="5"/>
      <c r="D76" s="5"/>
      <c r="E76" s="5"/>
      <c r="F76" s="5"/>
      <c r="G76" s="5"/>
      <c r="H76" s="5"/>
      <c r="I76" s="227"/>
      <c r="J76" s="227"/>
      <c r="K76" s="227"/>
      <c r="L76" s="227"/>
      <c r="M76" s="227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5">
      <c r="A77" s="5"/>
      <c r="B77" s="5"/>
      <c r="C77" s="5"/>
      <c r="D77" s="5"/>
      <c r="E77" s="5"/>
      <c r="F77" s="5"/>
      <c r="G77" s="5"/>
      <c r="H77" s="5"/>
      <c r="I77" s="227"/>
      <c r="J77" s="227"/>
      <c r="K77" s="227"/>
      <c r="L77" s="227"/>
      <c r="M77" s="227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5">
      <c r="A78" s="5"/>
      <c r="B78" s="5"/>
      <c r="C78" s="5"/>
      <c r="D78" s="5"/>
      <c r="E78" s="5"/>
      <c r="F78" s="5"/>
      <c r="G78" s="5"/>
      <c r="H78" s="5"/>
      <c r="I78" s="227"/>
      <c r="J78" s="227"/>
      <c r="K78" s="227"/>
      <c r="L78" s="227"/>
      <c r="M78" s="227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5">
      <c r="A79" s="5"/>
      <c r="B79" s="5"/>
      <c r="C79" s="5"/>
      <c r="D79" s="5"/>
      <c r="E79" s="5"/>
      <c r="F79" s="5"/>
      <c r="G79" s="5"/>
      <c r="H79" s="5"/>
      <c r="I79" s="227"/>
      <c r="J79" s="227"/>
      <c r="K79" s="227"/>
      <c r="L79" s="227"/>
      <c r="M79" s="227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5">
      <c r="A80" s="5"/>
      <c r="B80" s="5"/>
      <c r="C80" s="5"/>
      <c r="D80" s="5"/>
      <c r="E80" s="5"/>
      <c r="F80" s="5"/>
      <c r="G80" s="5"/>
      <c r="H80" s="5"/>
      <c r="I80" s="227"/>
      <c r="J80" s="227"/>
      <c r="K80" s="227"/>
      <c r="L80" s="227"/>
      <c r="M80" s="227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5">
      <c r="A81" s="5"/>
      <c r="B81" s="5"/>
      <c r="C81" s="5"/>
      <c r="D81" s="5"/>
      <c r="E81" s="5"/>
      <c r="F81" s="5"/>
      <c r="G81" s="5"/>
      <c r="H81" s="5"/>
      <c r="I81" s="227"/>
      <c r="J81" s="227"/>
      <c r="K81" s="227"/>
      <c r="L81" s="227"/>
      <c r="M81" s="227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5">
      <c r="A82" s="5"/>
      <c r="B82" s="5"/>
      <c r="C82" s="5"/>
      <c r="D82" s="5"/>
      <c r="E82" s="5"/>
      <c r="F82" s="5"/>
      <c r="G82" s="5"/>
      <c r="H82" s="5"/>
      <c r="I82" s="227"/>
      <c r="J82" s="227"/>
      <c r="K82" s="227"/>
      <c r="L82" s="227"/>
      <c r="M82" s="227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5">
      <c r="A83" s="5"/>
      <c r="B83" s="5"/>
      <c r="C83" s="5"/>
      <c r="D83" s="5"/>
      <c r="E83" s="5"/>
      <c r="F83" s="5"/>
      <c r="G83" s="5"/>
      <c r="H83" s="5"/>
      <c r="I83" s="227"/>
      <c r="J83" s="227"/>
      <c r="K83" s="227"/>
      <c r="L83" s="227"/>
      <c r="M83" s="227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5">
      <c r="A84" s="5"/>
      <c r="B84" s="5"/>
      <c r="C84" s="5"/>
      <c r="D84" s="5"/>
      <c r="E84" s="5"/>
      <c r="F84" s="5"/>
      <c r="G84" s="5"/>
      <c r="H84" s="5"/>
      <c r="I84" s="227"/>
      <c r="J84" s="227"/>
      <c r="K84" s="227"/>
      <c r="L84" s="227"/>
      <c r="M84" s="227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5">
      <c r="A85" s="5"/>
      <c r="B85" s="5"/>
      <c r="C85" s="5"/>
      <c r="D85" s="5"/>
      <c r="E85" s="5"/>
      <c r="F85" s="5"/>
      <c r="G85" s="5"/>
      <c r="H85" s="5"/>
      <c r="I85" s="227"/>
      <c r="J85" s="227"/>
      <c r="K85" s="227"/>
      <c r="L85" s="227"/>
      <c r="M85" s="227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5">
      <c r="A86" s="5"/>
      <c r="B86" s="5"/>
      <c r="C86" s="5"/>
      <c r="D86" s="5"/>
      <c r="E86" s="5"/>
      <c r="F86" s="5"/>
      <c r="G86" s="5"/>
      <c r="H86" s="5"/>
      <c r="I86" s="227"/>
      <c r="J86" s="227"/>
      <c r="K86" s="227"/>
      <c r="L86" s="227"/>
      <c r="M86" s="227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5">
      <c r="A87" s="5"/>
      <c r="B87" s="5"/>
      <c r="C87" s="5"/>
      <c r="D87" s="5"/>
      <c r="E87" s="5"/>
      <c r="F87" s="5"/>
      <c r="G87" s="5"/>
      <c r="H87" s="5"/>
      <c r="I87" s="227"/>
      <c r="J87" s="227"/>
      <c r="K87" s="227"/>
      <c r="L87" s="227"/>
      <c r="M87" s="227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5">
      <c r="A88" s="5"/>
      <c r="B88" s="5"/>
      <c r="C88" s="5"/>
      <c r="D88" s="5"/>
      <c r="E88" s="5"/>
      <c r="F88" s="5"/>
      <c r="G88" s="5"/>
      <c r="H88" s="5"/>
      <c r="I88" s="227"/>
      <c r="J88" s="227"/>
      <c r="K88" s="227"/>
      <c r="L88" s="227"/>
      <c r="M88" s="227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5">
      <c r="A89" s="5"/>
      <c r="B89" s="5"/>
      <c r="C89" s="5"/>
      <c r="D89" s="5"/>
      <c r="E89" s="5"/>
      <c r="F89" s="5"/>
      <c r="G89" s="5"/>
      <c r="H89" s="5"/>
      <c r="I89" s="227"/>
      <c r="J89" s="227"/>
      <c r="K89" s="227"/>
      <c r="L89" s="227"/>
      <c r="M89" s="227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5">
      <c r="A90" s="5"/>
      <c r="B90" s="5"/>
      <c r="C90" s="5"/>
      <c r="D90" s="5"/>
      <c r="E90" s="5"/>
      <c r="F90" s="5"/>
      <c r="G90" s="5"/>
      <c r="H90" s="5"/>
      <c r="I90" s="227"/>
      <c r="J90" s="227"/>
      <c r="K90" s="227"/>
      <c r="L90" s="227"/>
      <c r="M90" s="227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5">
      <c r="A91" s="5"/>
      <c r="B91" s="5"/>
      <c r="C91" s="5"/>
      <c r="D91" s="5"/>
      <c r="E91" s="5"/>
      <c r="F91" s="5"/>
      <c r="G91" s="5"/>
      <c r="H91" s="5"/>
      <c r="I91" s="227"/>
      <c r="J91" s="227"/>
      <c r="K91" s="227"/>
      <c r="L91" s="227"/>
      <c r="M91" s="227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5">
      <c r="A92" s="5"/>
      <c r="B92" s="5"/>
      <c r="C92" s="5"/>
      <c r="D92" s="5"/>
      <c r="E92" s="5"/>
      <c r="F92" s="5"/>
      <c r="G92" s="5"/>
      <c r="H92" s="5"/>
      <c r="I92" s="227"/>
      <c r="J92" s="227"/>
      <c r="K92" s="227"/>
      <c r="L92" s="227"/>
      <c r="M92" s="227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4">
      <c r="A93" s="5"/>
      <c r="B93" s="5"/>
      <c r="C93" s="5"/>
      <c r="D93" s="5"/>
      <c r="E93" s="5"/>
      <c r="F93" s="5"/>
      <c r="G93" s="5"/>
      <c r="H93" s="5"/>
      <c r="I93" s="227"/>
      <c r="J93" s="227"/>
      <c r="K93" s="227"/>
      <c r="L93" s="227"/>
      <c r="M93" s="227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4">
      <c r="A94" s="176" t="str">
        <f>A10</f>
        <v>Alisier torminal</v>
      </c>
      <c r="B94" s="5"/>
      <c r="C94" s="5"/>
      <c r="D94" s="5"/>
      <c r="E94" s="5"/>
      <c r="F94" s="5"/>
      <c r="G94" s="5"/>
      <c r="H94" s="5"/>
      <c r="I94" s="227"/>
      <c r="J94" s="227"/>
      <c r="K94" s="227"/>
      <c r="L94" s="227"/>
      <c r="M94" s="227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5">
      <c r="A95" s="5"/>
      <c r="B95" s="5"/>
      <c r="C95" s="5"/>
      <c r="D95" s="5"/>
      <c r="E95" s="5"/>
      <c r="F95" s="5"/>
      <c r="G95" s="5"/>
      <c r="H95" s="5"/>
      <c r="I95" s="227"/>
      <c r="J95" s="227"/>
      <c r="K95" s="227"/>
      <c r="L95" s="227"/>
      <c r="M95" s="227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5">
      <c r="A96" s="5"/>
      <c r="B96" s="5"/>
      <c r="C96" s="5"/>
      <c r="D96" s="5"/>
      <c r="E96" s="5"/>
      <c r="F96" s="5"/>
      <c r="G96" s="5"/>
      <c r="H96" s="5"/>
      <c r="I96" s="227"/>
      <c r="J96" s="227"/>
      <c r="K96" s="227"/>
      <c r="L96" s="227"/>
      <c r="M96" s="227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5">
      <c r="A97" s="5"/>
      <c r="B97" s="5"/>
      <c r="C97" s="5"/>
      <c r="D97" s="5"/>
      <c r="E97" s="5"/>
      <c r="F97" s="5"/>
      <c r="G97" s="5"/>
      <c r="H97" s="5"/>
      <c r="I97" s="227"/>
      <c r="J97" s="227"/>
      <c r="K97" s="227"/>
      <c r="L97" s="227"/>
      <c r="M97" s="227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5">
      <c r="A98" s="5"/>
      <c r="B98" s="5"/>
      <c r="C98" s="5"/>
      <c r="D98" s="5"/>
      <c r="E98" s="5"/>
      <c r="F98" s="5"/>
      <c r="G98" s="5"/>
      <c r="H98" s="5"/>
      <c r="I98" s="227"/>
      <c r="J98" s="227"/>
      <c r="K98" s="227"/>
      <c r="L98" s="227"/>
      <c r="M98" s="227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5">
      <c r="A99" s="5"/>
      <c r="B99" s="5"/>
      <c r="C99" s="5"/>
      <c r="D99" s="5"/>
      <c r="E99" s="5"/>
      <c r="F99" s="5"/>
      <c r="G99" s="5"/>
      <c r="H99" s="5"/>
      <c r="I99" s="227"/>
      <c r="J99" s="227"/>
      <c r="K99" s="227"/>
      <c r="L99" s="227"/>
      <c r="M99" s="227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5">
      <c r="A100" s="5"/>
      <c r="B100" s="5"/>
      <c r="C100" s="5"/>
      <c r="D100" s="5"/>
      <c r="E100" s="5"/>
      <c r="F100" s="5"/>
      <c r="G100" s="5"/>
      <c r="H100" s="5"/>
      <c r="I100" s="227"/>
      <c r="J100" s="227"/>
      <c r="K100" s="227"/>
      <c r="L100" s="227"/>
      <c r="M100" s="227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5">
      <c r="A101" s="5"/>
      <c r="B101" s="5"/>
      <c r="C101" s="5"/>
      <c r="D101" s="5"/>
      <c r="E101" s="5"/>
      <c r="F101" s="5"/>
      <c r="G101" s="5"/>
      <c r="H101" s="5"/>
      <c r="I101" s="227"/>
      <c r="J101" s="227"/>
      <c r="K101" s="227"/>
      <c r="L101" s="227"/>
      <c r="M101" s="227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5">
      <c r="A102" s="5"/>
      <c r="B102" s="5"/>
      <c r="C102" s="5"/>
      <c r="D102" s="5"/>
      <c r="E102" s="5"/>
      <c r="F102" s="5"/>
      <c r="G102" s="5"/>
      <c r="H102" s="5"/>
      <c r="I102" s="227"/>
      <c r="J102" s="227"/>
      <c r="K102" s="227"/>
      <c r="L102" s="227"/>
      <c r="M102" s="227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5">
      <c r="A103" s="5"/>
      <c r="B103" s="5"/>
      <c r="C103" s="5"/>
      <c r="D103" s="5"/>
      <c r="E103" s="5"/>
      <c r="F103" s="5"/>
      <c r="G103" s="5"/>
      <c r="H103" s="5"/>
      <c r="I103" s="227"/>
      <c r="J103" s="227"/>
      <c r="K103" s="227"/>
      <c r="L103" s="227"/>
      <c r="M103" s="227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5">
      <c r="A104" s="5"/>
      <c r="B104" s="5"/>
      <c r="C104" s="5"/>
      <c r="D104" s="5"/>
      <c r="E104" s="5"/>
      <c r="F104" s="5"/>
      <c r="G104" s="5"/>
      <c r="H104" s="5"/>
      <c r="I104" s="227"/>
      <c r="J104" s="227"/>
      <c r="K104" s="227"/>
      <c r="L104" s="227"/>
      <c r="M104" s="227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5">
      <c r="A105" s="5"/>
      <c r="B105" s="5"/>
      <c r="C105" s="5"/>
      <c r="D105" s="5"/>
      <c r="E105" s="5"/>
      <c r="F105" s="5"/>
      <c r="G105" s="5"/>
      <c r="H105" s="5"/>
      <c r="I105" s="227"/>
      <c r="J105" s="227"/>
      <c r="K105" s="227"/>
      <c r="L105" s="227"/>
      <c r="M105" s="227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5">
      <c r="A106" s="5"/>
      <c r="B106" s="5"/>
      <c r="C106" s="5"/>
      <c r="D106" s="5"/>
      <c r="E106" s="5"/>
      <c r="F106" s="5"/>
      <c r="G106" s="5"/>
      <c r="H106" s="5"/>
      <c r="I106" s="227"/>
      <c r="J106" s="227"/>
      <c r="K106" s="227"/>
      <c r="L106" s="227"/>
      <c r="M106" s="227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5">
      <c r="A107" s="5"/>
      <c r="B107" s="5"/>
      <c r="C107" s="5"/>
      <c r="D107" s="5"/>
      <c r="E107" s="5"/>
      <c r="F107" s="5"/>
      <c r="G107" s="5"/>
      <c r="H107" s="5"/>
      <c r="I107" s="227"/>
      <c r="J107" s="227"/>
      <c r="K107" s="227"/>
      <c r="L107" s="227"/>
      <c r="M107" s="227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5">
      <c r="A108" s="5"/>
      <c r="B108" s="5"/>
      <c r="C108" s="5"/>
      <c r="D108" s="5"/>
      <c r="E108" s="5"/>
      <c r="F108" s="5"/>
      <c r="G108" s="5"/>
      <c r="H108" s="5"/>
      <c r="I108" s="227"/>
      <c r="J108" s="227"/>
      <c r="K108" s="227"/>
      <c r="L108" s="227"/>
      <c r="M108" s="227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5">
      <c r="A109" s="5"/>
      <c r="B109" s="5"/>
      <c r="C109" s="5"/>
      <c r="D109" s="5"/>
      <c r="E109" s="5"/>
      <c r="F109" s="5"/>
      <c r="G109" s="5"/>
      <c r="H109" s="5"/>
      <c r="I109" s="227"/>
      <c r="J109" s="227"/>
      <c r="K109" s="227"/>
      <c r="L109" s="227"/>
      <c r="M109" s="227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5">
      <c r="A110" s="5"/>
      <c r="B110" s="5"/>
      <c r="C110" s="5"/>
      <c r="D110" s="5"/>
      <c r="E110" s="5"/>
      <c r="F110" s="5"/>
      <c r="G110" s="5"/>
      <c r="H110" s="5"/>
      <c r="I110" s="227"/>
      <c r="J110" s="227"/>
      <c r="K110" s="227"/>
      <c r="L110" s="227"/>
      <c r="M110" s="227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4">
      <c r="A111" s="5"/>
      <c r="B111" s="5"/>
      <c r="C111" s="5"/>
      <c r="D111" s="5"/>
      <c r="E111" s="5"/>
      <c r="F111" s="5"/>
      <c r="G111" s="5"/>
      <c r="H111" s="5"/>
      <c r="I111" s="227"/>
      <c r="J111" s="227"/>
      <c r="K111" s="227"/>
      <c r="L111" s="227"/>
      <c r="M111" s="227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4">
      <c r="A112" s="176" t="str">
        <f>A11</f>
        <v>Cormier</v>
      </c>
      <c r="B112" s="5"/>
      <c r="C112" s="5"/>
      <c r="D112" s="5"/>
      <c r="E112" s="5"/>
      <c r="F112" s="5"/>
      <c r="G112" s="5"/>
      <c r="H112" s="5"/>
      <c r="I112" s="227"/>
      <c r="J112" s="227"/>
      <c r="K112" s="227"/>
      <c r="L112" s="227"/>
      <c r="M112" s="227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5">
      <c r="A113" s="5"/>
      <c r="B113" s="5"/>
      <c r="C113" s="5"/>
      <c r="D113" s="5"/>
      <c r="E113" s="5"/>
      <c r="F113" s="5"/>
      <c r="G113" s="5"/>
      <c r="H113" s="5"/>
      <c r="I113" s="227"/>
      <c r="J113" s="227"/>
      <c r="K113" s="227"/>
      <c r="L113" s="227"/>
      <c r="M113" s="227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5">
      <c r="A114" s="5"/>
      <c r="B114" s="5"/>
      <c r="C114" s="5"/>
      <c r="D114" s="5"/>
      <c r="E114" s="5"/>
      <c r="F114" s="5"/>
      <c r="G114" s="5"/>
      <c r="H114" s="5"/>
      <c r="I114" s="227"/>
      <c r="J114" s="227"/>
      <c r="K114" s="227"/>
      <c r="L114" s="227"/>
      <c r="M114" s="227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5">
      <c r="A115" s="5"/>
      <c r="B115" s="5"/>
      <c r="C115" s="5"/>
      <c r="D115" s="5"/>
      <c r="E115" s="5"/>
      <c r="F115" s="5"/>
      <c r="G115" s="5"/>
      <c r="H115" s="5"/>
      <c r="I115" s="227"/>
      <c r="J115" s="227"/>
      <c r="K115" s="227"/>
      <c r="L115" s="227"/>
      <c r="M115" s="227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5">
      <c r="A116" s="5"/>
      <c r="B116" s="5"/>
      <c r="C116" s="5"/>
      <c r="D116" s="5"/>
      <c r="E116" s="5"/>
      <c r="F116" s="5"/>
      <c r="G116" s="5"/>
      <c r="H116" s="5"/>
      <c r="I116" s="227"/>
      <c r="J116" s="227"/>
      <c r="K116" s="227"/>
      <c r="L116" s="227"/>
      <c r="M116" s="227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5">
      <c r="A117" s="5"/>
      <c r="B117" s="5"/>
      <c r="C117" s="5"/>
      <c r="D117" s="5"/>
      <c r="E117" s="5"/>
      <c r="F117" s="5"/>
      <c r="G117" s="5"/>
      <c r="H117" s="5"/>
      <c r="I117" s="227"/>
      <c r="J117" s="227"/>
      <c r="K117" s="227"/>
      <c r="L117" s="227"/>
      <c r="M117" s="227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5">
      <c r="A118" s="5"/>
      <c r="B118" s="5"/>
      <c r="C118" s="5"/>
      <c r="D118" s="5"/>
      <c r="E118" s="5"/>
      <c r="F118" s="5"/>
      <c r="G118" s="5"/>
      <c r="H118" s="5"/>
      <c r="I118" s="227"/>
      <c r="J118" s="227"/>
      <c r="K118" s="227"/>
      <c r="L118" s="227"/>
      <c r="M118" s="227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5">
      <c r="A119" s="5"/>
      <c r="B119" s="5"/>
      <c r="C119" s="5"/>
      <c r="D119" s="5"/>
      <c r="E119" s="5"/>
      <c r="F119" s="5"/>
      <c r="G119" s="5"/>
      <c r="H119" s="5"/>
      <c r="I119" s="227"/>
      <c r="J119" s="227"/>
      <c r="K119" s="227"/>
      <c r="L119" s="227"/>
      <c r="M119" s="227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5">
      <c r="A120" s="5"/>
      <c r="B120" s="5"/>
      <c r="C120" s="5"/>
      <c r="D120" s="5"/>
      <c r="E120" s="5"/>
      <c r="F120" s="5"/>
      <c r="G120" s="5"/>
      <c r="H120" s="5"/>
      <c r="I120" s="227"/>
      <c r="J120" s="227"/>
      <c r="K120" s="227"/>
      <c r="L120" s="227"/>
      <c r="M120" s="227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5">
      <c r="A121" s="5"/>
      <c r="B121" s="5"/>
      <c r="C121" s="5"/>
      <c r="D121" s="5"/>
      <c r="E121" s="5"/>
      <c r="F121" s="5"/>
      <c r="G121" s="5"/>
      <c r="H121" s="5"/>
      <c r="I121" s="227"/>
      <c r="J121" s="227"/>
      <c r="K121" s="227"/>
      <c r="L121" s="227"/>
      <c r="M121" s="227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5">
      <c r="A122" s="5"/>
      <c r="B122" s="5"/>
      <c r="C122" s="5"/>
      <c r="D122" s="5"/>
      <c r="E122" s="5"/>
      <c r="F122" s="5"/>
      <c r="G122" s="5"/>
      <c r="H122" s="5"/>
      <c r="I122" s="227"/>
      <c r="J122" s="227"/>
      <c r="K122" s="227"/>
      <c r="L122" s="227"/>
      <c r="M122" s="227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5">
      <c r="A123" s="5"/>
      <c r="B123" s="5"/>
      <c r="C123" s="5"/>
      <c r="D123" s="5"/>
      <c r="E123" s="5"/>
      <c r="F123" s="5"/>
      <c r="G123" s="5"/>
      <c r="H123" s="5"/>
      <c r="I123" s="227"/>
      <c r="J123" s="227"/>
      <c r="K123" s="227"/>
      <c r="L123" s="227"/>
      <c r="M123" s="227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5">
      <c r="A124" s="5"/>
      <c r="B124" s="5"/>
      <c r="C124" s="5"/>
      <c r="D124" s="5"/>
      <c r="E124" s="5"/>
      <c r="F124" s="5"/>
      <c r="G124" s="5"/>
      <c r="H124" s="5"/>
      <c r="I124" s="227"/>
      <c r="J124" s="227"/>
      <c r="K124" s="227"/>
      <c r="L124" s="227"/>
      <c r="M124" s="227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5">
      <c r="A125" s="5"/>
      <c r="B125" s="5"/>
      <c r="C125" s="5"/>
      <c r="D125" s="5"/>
      <c r="E125" s="5"/>
      <c r="F125" s="5"/>
      <c r="G125" s="5"/>
      <c r="H125" s="5"/>
      <c r="I125" s="227"/>
      <c r="J125" s="227"/>
      <c r="K125" s="227"/>
      <c r="L125" s="227"/>
      <c r="M125" s="227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5">
      <c r="A126" s="5"/>
      <c r="B126" s="5"/>
      <c r="C126" s="5"/>
      <c r="D126" s="5"/>
      <c r="E126" s="5"/>
      <c r="F126" s="5"/>
      <c r="G126" s="5"/>
      <c r="H126" s="5"/>
      <c r="I126" s="227"/>
      <c r="J126" s="227"/>
      <c r="K126" s="227"/>
      <c r="L126" s="227"/>
      <c r="M126" s="227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5">
      <c r="A127" s="5"/>
      <c r="B127" s="5"/>
      <c r="C127" s="5"/>
      <c r="D127" s="5"/>
      <c r="E127" s="5"/>
      <c r="F127" s="5"/>
      <c r="G127" s="5"/>
      <c r="H127" s="5"/>
      <c r="I127" s="227"/>
      <c r="J127" s="227"/>
      <c r="K127" s="227"/>
      <c r="L127" s="227"/>
      <c r="M127" s="227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5">
      <c r="A128" s="5"/>
      <c r="B128" s="5"/>
      <c r="C128" s="5"/>
      <c r="D128" s="5"/>
      <c r="E128" s="5"/>
      <c r="F128" s="5"/>
      <c r="G128" s="5"/>
      <c r="H128" s="5"/>
      <c r="I128" s="227"/>
      <c r="J128" s="227"/>
      <c r="K128" s="227"/>
      <c r="L128" s="227"/>
      <c r="M128" s="227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4">
      <c r="A129" s="5"/>
      <c r="B129" s="5"/>
      <c r="C129" s="5"/>
      <c r="D129" s="5"/>
      <c r="E129" s="5"/>
      <c r="F129" s="5"/>
      <c r="G129" s="5"/>
      <c r="H129" s="5"/>
      <c r="I129" s="227"/>
      <c r="J129" s="227"/>
      <c r="K129" s="227"/>
      <c r="L129" s="227"/>
      <c r="M129" s="227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4">
      <c r="A130" s="176" t="str">
        <f>A12</f>
        <v>Orme</v>
      </c>
      <c r="B130" s="5"/>
      <c r="C130" s="5"/>
      <c r="D130" s="5"/>
      <c r="E130" s="5"/>
      <c r="F130" s="5"/>
      <c r="G130" s="5"/>
      <c r="H130" s="5"/>
      <c r="I130" s="227"/>
      <c r="J130" s="227"/>
      <c r="K130" s="227"/>
      <c r="L130" s="227"/>
      <c r="M130" s="227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5">
      <c r="A131" s="5"/>
      <c r="B131" s="5"/>
      <c r="C131" s="5"/>
      <c r="D131" s="5"/>
      <c r="E131" s="5"/>
      <c r="F131" s="5"/>
      <c r="G131" s="5"/>
      <c r="H131" s="5"/>
      <c r="I131" s="227"/>
      <c r="J131" s="227"/>
      <c r="K131" s="227"/>
      <c r="L131" s="227"/>
      <c r="M131" s="227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5">
      <c r="A132" s="5"/>
      <c r="B132" s="5"/>
      <c r="C132" s="5"/>
      <c r="D132" s="5"/>
      <c r="E132" s="5"/>
      <c r="F132" s="5"/>
      <c r="G132" s="5"/>
      <c r="H132" s="5"/>
      <c r="I132" s="227"/>
      <c r="J132" s="227"/>
      <c r="K132" s="227"/>
      <c r="L132" s="227"/>
      <c r="M132" s="227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5">
      <c r="A133" s="5"/>
      <c r="B133" s="5"/>
      <c r="C133" s="5"/>
      <c r="D133" s="5"/>
      <c r="E133" s="5"/>
      <c r="F133" s="5"/>
      <c r="G133" s="5"/>
      <c r="H133" s="5"/>
      <c r="I133" s="227"/>
      <c r="J133" s="227"/>
      <c r="K133" s="227"/>
      <c r="L133" s="227"/>
      <c r="M133" s="227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5">
      <c r="A134" s="5"/>
      <c r="B134" s="5"/>
      <c r="C134" s="5"/>
      <c r="D134" s="5"/>
      <c r="E134" s="5"/>
      <c r="F134" s="5"/>
      <c r="G134" s="5"/>
      <c r="H134" s="5"/>
      <c r="I134" s="227"/>
      <c r="J134" s="227"/>
      <c r="K134" s="227"/>
      <c r="L134" s="227"/>
      <c r="M134" s="227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5">
      <c r="A135" s="5"/>
      <c r="B135" s="5"/>
      <c r="C135" s="5"/>
      <c r="D135" s="5"/>
      <c r="E135" s="5"/>
      <c r="F135" s="5"/>
      <c r="G135" s="5"/>
      <c r="H135" s="5"/>
      <c r="I135" s="227"/>
      <c r="J135" s="227"/>
      <c r="K135" s="227"/>
      <c r="L135" s="227"/>
      <c r="M135" s="227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5">
      <c r="A136" s="5"/>
      <c r="B136" s="5"/>
      <c r="C136" s="5"/>
      <c r="D136" s="5"/>
      <c r="E136" s="5"/>
      <c r="F136" s="5"/>
      <c r="G136" s="5"/>
      <c r="H136" s="5"/>
      <c r="I136" s="227"/>
      <c r="J136" s="227"/>
      <c r="K136" s="227"/>
      <c r="L136" s="227"/>
      <c r="M136" s="227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5">
      <c r="A137" s="5"/>
      <c r="B137" s="5"/>
      <c r="C137" s="5"/>
      <c r="D137" s="5"/>
      <c r="E137" s="5"/>
      <c r="F137" s="5"/>
      <c r="G137" s="5"/>
      <c r="H137" s="5"/>
      <c r="I137" s="227"/>
      <c r="J137" s="227"/>
      <c r="K137" s="227"/>
      <c r="L137" s="227"/>
      <c r="M137" s="227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5">
      <c r="A138" s="5"/>
      <c r="B138" s="5"/>
      <c r="C138" s="5"/>
      <c r="D138" s="5"/>
      <c r="E138" s="5"/>
      <c r="F138" s="5"/>
      <c r="G138" s="5"/>
      <c r="H138" s="5"/>
      <c r="I138" s="227"/>
      <c r="J138" s="227"/>
      <c r="K138" s="227"/>
      <c r="L138" s="227"/>
      <c r="M138" s="227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5">
      <c r="A139" s="5"/>
      <c r="B139" s="5"/>
      <c r="C139" s="5"/>
      <c r="D139" s="5"/>
      <c r="E139" s="5"/>
      <c r="F139" s="5"/>
      <c r="G139" s="5"/>
      <c r="H139" s="5"/>
      <c r="I139" s="227"/>
      <c r="J139" s="227"/>
      <c r="K139" s="227"/>
      <c r="L139" s="227"/>
      <c r="M139" s="227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5">
      <c r="A140" s="5"/>
      <c r="B140" s="5"/>
      <c r="C140" s="5"/>
      <c r="D140" s="5"/>
      <c r="E140" s="5"/>
      <c r="F140" s="5"/>
      <c r="G140" s="5"/>
      <c r="H140" s="5"/>
      <c r="I140" s="227"/>
      <c r="J140" s="227"/>
      <c r="K140" s="227"/>
      <c r="L140" s="227"/>
      <c r="M140" s="227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5">
      <c r="A141" s="5"/>
      <c r="B141" s="5"/>
      <c r="C141" s="5"/>
      <c r="D141" s="5"/>
      <c r="E141" s="5"/>
      <c r="F141" s="5"/>
      <c r="G141" s="5"/>
      <c r="H141" s="5"/>
      <c r="I141" s="227"/>
      <c r="J141" s="227"/>
      <c r="K141" s="227"/>
      <c r="L141" s="227"/>
      <c r="M141" s="227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5">
      <c r="A142" s="5"/>
      <c r="B142" s="5"/>
      <c r="C142" s="5"/>
      <c r="D142" s="5"/>
      <c r="E142" s="5"/>
      <c r="F142" s="5"/>
      <c r="G142" s="5"/>
      <c r="H142" s="5"/>
      <c r="I142" s="227"/>
      <c r="J142" s="227"/>
      <c r="K142" s="227"/>
      <c r="L142" s="227"/>
      <c r="M142" s="227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5">
      <c r="A143" s="5"/>
      <c r="B143" s="5"/>
      <c r="C143" s="5"/>
      <c r="D143" s="5"/>
      <c r="E143" s="5"/>
      <c r="F143" s="5"/>
      <c r="G143" s="5"/>
      <c r="H143" s="5"/>
      <c r="I143" s="227"/>
      <c r="J143" s="227"/>
      <c r="K143" s="227"/>
      <c r="L143" s="227"/>
      <c r="M143" s="227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5">
      <c r="A144" s="5"/>
      <c r="B144" s="5"/>
      <c r="C144" s="5"/>
      <c r="D144" s="5"/>
      <c r="E144" s="5"/>
      <c r="F144" s="5"/>
      <c r="G144" s="5"/>
      <c r="H144" s="5"/>
      <c r="I144" s="227"/>
      <c r="J144" s="227"/>
      <c r="K144" s="227"/>
      <c r="L144" s="227"/>
      <c r="M144" s="227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5">
      <c r="A145" s="5"/>
      <c r="B145" s="5"/>
      <c r="C145" s="5"/>
      <c r="D145" s="5"/>
      <c r="E145" s="5"/>
      <c r="F145" s="5"/>
      <c r="G145" s="5"/>
      <c r="H145" s="5"/>
      <c r="I145" s="227"/>
      <c r="J145" s="227"/>
      <c r="K145" s="227"/>
      <c r="L145" s="227"/>
      <c r="M145" s="227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5">
      <c r="A146" s="5"/>
      <c r="B146" s="5"/>
      <c r="C146" s="5"/>
      <c r="D146" s="5"/>
      <c r="E146" s="5"/>
      <c r="F146" s="5"/>
      <c r="G146" s="5"/>
      <c r="H146" s="5"/>
      <c r="I146" s="227"/>
      <c r="J146" s="227"/>
      <c r="K146" s="227"/>
      <c r="L146" s="227"/>
      <c r="M146" s="227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4">
      <c r="A147" s="5"/>
      <c r="B147" s="5"/>
      <c r="C147" s="5"/>
      <c r="D147" s="5"/>
      <c r="E147" s="5"/>
      <c r="F147" s="5"/>
      <c r="G147" s="5"/>
      <c r="H147" s="5"/>
      <c r="I147" s="227"/>
      <c r="J147" s="227"/>
      <c r="K147" s="227"/>
      <c r="L147" s="227"/>
      <c r="M147" s="227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4">
      <c r="A148" s="176" t="str">
        <f>A13</f>
        <v/>
      </c>
      <c r="B148" s="5"/>
      <c r="C148" s="5"/>
      <c r="D148" s="5"/>
      <c r="E148" s="5"/>
      <c r="F148" s="5"/>
      <c r="G148" s="5"/>
      <c r="H148" s="5"/>
      <c r="I148" s="227"/>
      <c r="J148" s="227"/>
      <c r="K148" s="227"/>
      <c r="L148" s="227"/>
      <c r="M148" s="227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5">
      <c r="A149" s="5"/>
      <c r="B149" s="5"/>
      <c r="C149" s="5"/>
      <c r="D149" s="5"/>
      <c r="E149" s="5"/>
      <c r="F149" s="5"/>
      <c r="G149" s="5"/>
      <c r="H149" s="5"/>
      <c r="I149" s="227"/>
      <c r="J149" s="227"/>
      <c r="K149" s="227"/>
      <c r="L149" s="227"/>
      <c r="M149" s="227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5">
      <c r="A150" s="5"/>
      <c r="B150" s="5"/>
      <c r="C150" s="5"/>
      <c r="D150" s="5"/>
      <c r="E150" s="5"/>
      <c r="F150" s="5"/>
      <c r="G150" s="5"/>
      <c r="H150" s="5"/>
      <c r="I150" s="227"/>
      <c r="J150" s="227"/>
      <c r="K150" s="227"/>
      <c r="L150" s="227"/>
      <c r="M150" s="227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5">
      <c r="A151" s="5"/>
      <c r="B151" s="5"/>
      <c r="C151" s="5"/>
      <c r="D151" s="5"/>
      <c r="E151" s="5"/>
      <c r="F151" s="5"/>
      <c r="G151" s="5"/>
      <c r="H151" s="5"/>
      <c r="I151" s="227"/>
      <c r="J151" s="227"/>
      <c r="K151" s="227"/>
      <c r="L151" s="227"/>
      <c r="M151" s="227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5">
      <c r="A152" s="5"/>
      <c r="B152" s="5"/>
      <c r="C152" s="5"/>
      <c r="D152" s="5"/>
      <c r="E152" s="5"/>
      <c r="F152" s="5"/>
      <c r="G152" s="5"/>
      <c r="H152" s="5"/>
      <c r="I152" s="227"/>
      <c r="J152" s="227"/>
      <c r="K152" s="227"/>
      <c r="L152" s="227"/>
      <c r="M152" s="227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5">
      <c r="A153" s="5"/>
      <c r="B153" s="5"/>
      <c r="C153" s="5"/>
      <c r="D153" s="5"/>
      <c r="E153" s="5"/>
      <c r="F153" s="5"/>
      <c r="G153" s="5"/>
      <c r="H153" s="5"/>
      <c r="I153" s="227"/>
      <c r="J153" s="227"/>
      <c r="K153" s="227"/>
      <c r="L153" s="227"/>
      <c r="M153" s="227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5">
      <c r="A154" s="5"/>
      <c r="B154" s="5"/>
      <c r="C154" s="5"/>
      <c r="D154" s="5"/>
      <c r="E154" s="5"/>
      <c r="F154" s="5"/>
      <c r="G154" s="5"/>
      <c r="H154" s="5"/>
      <c r="I154" s="227"/>
      <c r="J154" s="227"/>
      <c r="K154" s="227"/>
      <c r="L154" s="227"/>
      <c r="M154" s="227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5">
      <c r="A155" s="5"/>
      <c r="B155" s="5"/>
      <c r="C155" s="5"/>
      <c r="D155" s="5"/>
      <c r="E155" s="5"/>
      <c r="F155" s="5"/>
      <c r="G155" s="5"/>
      <c r="H155" s="5"/>
      <c r="I155" s="227"/>
      <c r="J155" s="227"/>
      <c r="K155" s="227"/>
      <c r="L155" s="227"/>
      <c r="M155" s="227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5">
      <c r="A156" s="5"/>
      <c r="B156" s="5"/>
      <c r="C156" s="5"/>
      <c r="D156" s="5"/>
      <c r="E156" s="5"/>
      <c r="F156" s="5"/>
      <c r="G156" s="5"/>
      <c r="H156" s="5"/>
      <c r="I156" s="227"/>
      <c r="J156" s="227"/>
      <c r="K156" s="227"/>
      <c r="L156" s="227"/>
      <c r="M156" s="227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5">
      <c r="A157" s="5"/>
      <c r="B157" s="5"/>
      <c r="C157" s="5"/>
      <c r="D157" s="5"/>
      <c r="E157" s="5"/>
      <c r="F157" s="5"/>
      <c r="G157" s="5"/>
      <c r="H157" s="5"/>
      <c r="I157" s="227"/>
      <c r="J157" s="227"/>
      <c r="K157" s="227"/>
      <c r="L157" s="227"/>
      <c r="M157" s="227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5">
      <c r="A158" s="5"/>
      <c r="B158" s="5"/>
      <c r="C158" s="5"/>
      <c r="D158" s="5"/>
      <c r="E158" s="5"/>
      <c r="F158" s="5"/>
      <c r="G158" s="5"/>
      <c r="H158" s="5"/>
      <c r="I158" s="227"/>
      <c r="J158" s="227"/>
      <c r="K158" s="227"/>
      <c r="L158" s="227"/>
      <c r="M158" s="227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5">
      <c r="A159" s="5"/>
      <c r="B159" s="5"/>
      <c r="C159" s="5"/>
      <c r="D159" s="5"/>
      <c r="E159" s="5"/>
      <c r="F159" s="5"/>
      <c r="G159" s="5"/>
      <c r="H159" s="5"/>
      <c r="I159" s="227"/>
      <c r="J159" s="227"/>
      <c r="K159" s="227"/>
      <c r="L159" s="227"/>
      <c r="M159" s="227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5">
      <c r="A160" s="5"/>
      <c r="B160" s="5"/>
      <c r="C160" s="5"/>
      <c r="D160" s="5"/>
      <c r="E160" s="5"/>
      <c r="F160" s="5"/>
      <c r="G160" s="5"/>
      <c r="H160" s="5"/>
      <c r="I160" s="227"/>
      <c r="J160" s="227"/>
      <c r="K160" s="227"/>
      <c r="L160" s="227"/>
      <c r="M160" s="227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5">
      <c r="A161" s="5"/>
      <c r="B161" s="5"/>
      <c r="C161" s="5"/>
      <c r="D161" s="5"/>
      <c r="E161" s="5"/>
      <c r="F161" s="5"/>
      <c r="G161" s="5"/>
      <c r="H161" s="5"/>
      <c r="I161" s="227"/>
      <c r="J161" s="227"/>
      <c r="K161" s="227"/>
      <c r="L161" s="227"/>
      <c r="M161" s="227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5">
      <c r="A162" s="5"/>
      <c r="B162" s="5"/>
      <c r="C162" s="5"/>
      <c r="D162" s="5"/>
      <c r="E162" s="5"/>
      <c r="F162" s="5"/>
      <c r="G162" s="5"/>
      <c r="H162" s="5"/>
      <c r="I162" s="227"/>
      <c r="J162" s="227"/>
      <c r="K162" s="227"/>
      <c r="L162" s="227"/>
      <c r="M162" s="227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5">
      <c r="A163" s="5"/>
      <c r="B163" s="5"/>
      <c r="C163" s="5"/>
      <c r="D163" s="5"/>
      <c r="E163" s="5"/>
      <c r="F163" s="5"/>
      <c r="G163" s="5"/>
      <c r="H163" s="5"/>
      <c r="I163" s="227"/>
      <c r="J163" s="227"/>
      <c r="K163" s="227"/>
      <c r="L163" s="227"/>
      <c r="M163" s="227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5">
      <c r="A164" s="5"/>
      <c r="B164" s="5"/>
      <c r="C164" s="5"/>
      <c r="D164" s="5"/>
      <c r="E164" s="5"/>
      <c r="F164" s="5"/>
      <c r="G164" s="5"/>
      <c r="H164" s="5"/>
      <c r="I164" s="227"/>
      <c r="J164" s="227"/>
      <c r="K164" s="227"/>
      <c r="L164" s="227"/>
      <c r="M164" s="227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4">
      <c r="A165" s="5"/>
      <c r="B165" s="5"/>
      <c r="C165" s="5"/>
      <c r="D165" s="5"/>
      <c r="E165" s="5"/>
      <c r="F165" s="5"/>
      <c r="G165" s="5"/>
      <c r="H165" s="5"/>
      <c r="I165" s="227"/>
      <c r="J165" s="227"/>
      <c r="K165" s="227"/>
      <c r="L165" s="227"/>
      <c r="M165" s="227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4">
      <c r="A166" s="176" t="str">
        <f>A14</f>
        <v/>
      </c>
      <c r="B166" s="5"/>
      <c r="C166" s="5"/>
      <c r="D166" s="5"/>
      <c r="E166" s="5"/>
      <c r="F166" s="5"/>
      <c r="G166" s="5"/>
      <c r="H166" s="5"/>
      <c r="I166" s="227"/>
      <c r="J166" s="227"/>
      <c r="K166" s="227"/>
      <c r="L166" s="227"/>
      <c r="M166" s="227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5">
      <c r="A167" s="5"/>
      <c r="B167" s="5"/>
      <c r="C167" s="5"/>
      <c r="D167" s="5"/>
      <c r="E167" s="5"/>
      <c r="F167" s="5"/>
      <c r="G167" s="5"/>
      <c r="H167" s="5"/>
      <c r="I167" s="227"/>
      <c r="J167" s="227"/>
      <c r="K167" s="227"/>
      <c r="L167" s="227"/>
      <c r="M167" s="227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5">
      <c r="A168" s="5"/>
      <c r="B168" s="5"/>
      <c r="C168" s="5"/>
      <c r="D168" s="5"/>
      <c r="E168" s="5"/>
      <c r="F168" s="5"/>
      <c r="G168" s="5"/>
      <c r="H168" s="5"/>
      <c r="I168" s="227"/>
      <c r="J168" s="227"/>
      <c r="K168" s="227"/>
      <c r="L168" s="227"/>
      <c r="M168" s="227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5">
      <c r="A169" s="5"/>
      <c r="B169" s="5"/>
      <c r="C169" s="5"/>
      <c r="D169" s="5"/>
      <c r="E169" s="5"/>
      <c r="F169" s="5"/>
      <c r="G169" s="5"/>
      <c r="H169" s="5"/>
      <c r="I169" s="227"/>
      <c r="J169" s="227"/>
      <c r="K169" s="227"/>
      <c r="L169" s="227"/>
      <c r="M169" s="227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5">
      <c r="A170" s="5"/>
      <c r="B170" s="5"/>
      <c r="C170" s="5"/>
      <c r="D170" s="5"/>
      <c r="E170" s="5"/>
      <c r="F170" s="5"/>
      <c r="G170" s="5"/>
      <c r="H170" s="5"/>
      <c r="I170" s="227"/>
      <c r="J170" s="227"/>
      <c r="K170" s="227"/>
      <c r="L170" s="227"/>
      <c r="M170" s="227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5">
      <c r="A171" s="5"/>
      <c r="B171" s="5"/>
      <c r="C171" s="5"/>
      <c r="D171" s="5"/>
      <c r="E171" s="5"/>
      <c r="F171" s="5"/>
      <c r="G171" s="5"/>
      <c r="H171" s="5"/>
      <c r="I171" s="227"/>
      <c r="J171" s="227"/>
      <c r="K171" s="227"/>
      <c r="L171" s="227"/>
      <c r="M171" s="227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5">
      <c r="A172" s="5"/>
      <c r="B172" s="5"/>
      <c r="C172" s="5"/>
      <c r="D172" s="5"/>
      <c r="E172" s="5"/>
      <c r="F172" s="5"/>
      <c r="G172" s="5"/>
      <c r="H172" s="5"/>
      <c r="I172" s="227"/>
      <c r="J172" s="227"/>
      <c r="K172" s="227"/>
      <c r="L172" s="227"/>
      <c r="M172" s="227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5">
      <c r="A173" s="5"/>
      <c r="B173" s="5"/>
      <c r="C173" s="5"/>
      <c r="D173" s="5"/>
      <c r="E173" s="5"/>
      <c r="F173" s="5"/>
      <c r="G173" s="5"/>
      <c r="H173" s="5"/>
      <c r="I173" s="227"/>
      <c r="J173" s="227"/>
      <c r="K173" s="227"/>
      <c r="L173" s="227"/>
      <c r="M173" s="227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5">
      <c r="A174" s="5"/>
      <c r="B174" s="5"/>
      <c r="C174" s="5"/>
      <c r="D174" s="5"/>
      <c r="E174" s="5"/>
      <c r="F174" s="5"/>
      <c r="G174" s="5"/>
      <c r="H174" s="5"/>
      <c r="I174" s="227"/>
      <c r="J174" s="227"/>
      <c r="K174" s="227"/>
      <c r="L174" s="227"/>
      <c r="M174" s="227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5">
      <c r="A175" s="5"/>
      <c r="B175" s="5"/>
      <c r="C175" s="5"/>
      <c r="D175" s="5"/>
      <c r="E175" s="5"/>
      <c r="F175" s="5"/>
      <c r="G175" s="5"/>
      <c r="H175" s="5"/>
      <c r="I175" s="227"/>
      <c r="J175" s="227"/>
      <c r="K175" s="227"/>
      <c r="L175" s="227"/>
      <c r="M175" s="227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5">
      <c r="A176" s="5"/>
      <c r="B176" s="5"/>
      <c r="C176" s="5"/>
      <c r="D176" s="5"/>
      <c r="E176" s="5"/>
      <c r="F176" s="5"/>
      <c r="G176" s="5"/>
      <c r="H176" s="5"/>
      <c r="I176" s="227"/>
      <c r="J176" s="227"/>
      <c r="K176" s="227"/>
      <c r="L176" s="227"/>
      <c r="M176" s="227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5">
      <c r="A177" s="5"/>
      <c r="B177" s="5"/>
      <c r="C177" s="5"/>
      <c r="D177" s="5"/>
      <c r="E177" s="5"/>
      <c r="F177" s="5"/>
      <c r="G177" s="5"/>
      <c r="H177" s="5"/>
      <c r="I177" s="227"/>
      <c r="J177" s="227"/>
      <c r="K177" s="227"/>
      <c r="L177" s="227"/>
      <c r="M177" s="227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5">
      <c r="A178" s="5"/>
      <c r="B178" s="5"/>
      <c r="C178" s="5"/>
      <c r="D178" s="5"/>
      <c r="E178" s="5"/>
      <c r="F178" s="5"/>
      <c r="G178" s="5"/>
      <c r="H178" s="5"/>
      <c r="I178" s="227"/>
      <c r="J178" s="227"/>
      <c r="K178" s="227"/>
      <c r="L178" s="227"/>
      <c r="M178" s="227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5">
      <c r="A179" s="5"/>
      <c r="B179" s="5"/>
      <c r="C179" s="5"/>
      <c r="D179" s="5"/>
      <c r="E179" s="5"/>
      <c r="F179" s="5"/>
      <c r="G179" s="5"/>
      <c r="H179" s="5"/>
      <c r="I179" s="227"/>
      <c r="J179" s="227"/>
      <c r="K179" s="227"/>
      <c r="L179" s="227"/>
      <c r="M179" s="227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5">
      <c r="A180" s="5"/>
      <c r="B180" s="5"/>
      <c r="C180" s="5"/>
      <c r="D180" s="5"/>
      <c r="E180" s="5"/>
      <c r="F180" s="5"/>
      <c r="G180" s="5"/>
      <c r="H180" s="5"/>
      <c r="I180" s="227"/>
      <c r="J180" s="227"/>
      <c r="K180" s="227"/>
      <c r="L180" s="227"/>
      <c r="M180" s="227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5">
      <c r="A181" s="5"/>
      <c r="B181" s="5"/>
      <c r="C181" s="5"/>
      <c r="D181" s="5"/>
      <c r="E181" s="5"/>
      <c r="F181" s="5"/>
      <c r="G181" s="5"/>
      <c r="H181" s="5"/>
      <c r="I181" s="227"/>
      <c r="J181" s="227"/>
      <c r="K181" s="227"/>
      <c r="L181" s="227"/>
      <c r="M181" s="227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5">
      <c r="A182" s="5"/>
      <c r="B182" s="5"/>
      <c r="C182" s="5"/>
      <c r="D182" s="5"/>
      <c r="E182" s="5"/>
      <c r="F182" s="5"/>
      <c r="G182" s="5"/>
      <c r="H182" s="5"/>
      <c r="I182" s="227"/>
      <c r="J182" s="227"/>
      <c r="K182" s="227"/>
      <c r="L182" s="227"/>
      <c r="M182" s="227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4">
      <c r="A183" s="5"/>
      <c r="B183" s="5"/>
      <c r="C183" s="5"/>
      <c r="D183" s="5"/>
      <c r="E183" s="5"/>
      <c r="F183" s="5"/>
      <c r="G183" s="5"/>
      <c r="H183" s="5"/>
      <c r="I183" s="227"/>
      <c r="J183" s="227"/>
      <c r="K183" s="227"/>
      <c r="L183" s="227"/>
      <c r="M183" s="227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4">
      <c r="A184" s="176" t="str">
        <f>A15</f>
        <v/>
      </c>
      <c r="B184" s="5"/>
      <c r="C184" s="5"/>
      <c r="D184" s="5"/>
      <c r="E184" s="5"/>
      <c r="F184" s="5"/>
      <c r="G184" s="5"/>
      <c r="H184" s="5"/>
      <c r="I184" s="227"/>
      <c r="J184" s="227"/>
      <c r="K184" s="227"/>
      <c r="L184" s="227"/>
      <c r="M184" s="227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5">
      <c r="A185" s="5"/>
      <c r="B185" s="5"/>
      <c r="C185" s="5"/>
      <c r="D185" s="5"/>
      <c r="E185" s="5"/>
      <c r="F185" s="5"/>
      <c r="G185" s="5"/>
      <c r="H185" s="5"/>
      <c r="I185" s="227"/>
      <c r="J185" s="227"/>
      <c r="K185" s="227"/>
      <c r="L185" s="227"/>
      <c r="M185" s="227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5">
      <c r="A186" s="5"/>
      <c r="B186" s="5"/>
      <c r="C186" s="5"/>
      <c r="D186" s="5"/>
      <c r="E186" s="5"/>
      <c r="F186" s="5"/>
      <c r="G186" s="5"/>
      <c r="H186" s="5"/>
      <c r="I186" s="227"/>
      <c r="J186" s="227"/>
      <c r="K186" s="227"/>
      <c r="L186" s="227"/>
      <c r="M186" s="227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5">
      <c r="A187" s="5"/>
      <c r="B187" s="5"/>
      <c r="C187" s="5"/>
      <c r="D187" s="5"/>
      <c r="E187" s="5"/>
      <c r="F187" s="5"/>
      <c r="G187" s="5"/>
      <c r="H187" s="5"/>
      <c r="I187" s="227"/>
      <c r="J187" s="227"/>
      <c r="K187" s="227"/>
      <c r="L187" s="227"/>
      <c r="M187" s="227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5">
      <c r="A188" s="5"/>
      <c r="B188" s="5"/>
      <c r="C188" s="5"/>
      <c r="D188" s="5"/>
      <c r="E188" s="5"/>
      <c r="F188" s="5"/>
      <c r="G188" s="5"/>
      <c r="H188" s="5"/>
      <c r="I188" s="227"/>
      <c r="J188" s="227"/>
      <c r="K188" s="227"/>
      <c r="L188" s="227"/>
      <c r="M188" s="227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5">
      <c r="A189" s="5"/>
      <c r="B189" s="5"/>
      <c r="C189" s="5"/>
      <c r="D189" s="5"/>
      <c r="E189" s="5"/>
      <c r="F189" s="5"/>
      <c r="G189" s="5"/>
      <c r="H189" s="5"/>
      <c r="I189" s="227"/>
      <c r="J189" s="227"/>
      <c r="K189" s="227"/>
      <c r="L189" s="227"/>
      <c r="M189" s="227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5">
      <c r="A190" s="5"/>
      <c r="B190" s="5"/>
      <c r="C190" s="5"/>
      <c r="D190" s="5"/>
      <c r="E190" s="5"/>
      <c r="F190" s="5"/>
      <c r="G190" s="5"/>
      <c r="H190" s="5"/>
      <c r="I190" s="227"/>
      <c r="J190" s="227"/>
      <c r="K190" s="227"/>
      <c r="L190" s="227"/>
      <c r="M190" s="227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5">
      <c r="A191" s="5"/>
      <c r="B191" s="5"/>
      <c r="C191" s="5"/>
      <c r="D191" s="5"/>
      <c r="E191" s="5"/>
      <c r="F191" s="5"/>
      <c r="G191" s="5"/>
      <c r="H191" s="5"/>
      <c r="I191" s="227"/>
      <c r="J191" s="227"/>
      <c r="K191" s="227"/>
      <c r="L191" s="227"/>
      <c r="M191" s="227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5">
      <c r="A192" s="5"/>
      <c r="B192" s="5"/>
      <c r="C192" s="5"/>
      <c r="D192" s="5"/>
      <c r="E192" s="5"/>
      <c r="F192" s="5"/>
      <c r="G192" s="5"/>
      <c r="H192" s="5"/>
      <c r="I192" s="227"/>
      <c r="J192" s="227"/>
      <c r="K192" s="227"/>
      <c r="L192" s="227"/>
      <c r="M192" s="227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5">
      <c r="A193" s="5"/>
      <c r="B193" s="5"/>
      <c r="C193" s="5"/>
      <c r="D193" s="5"/>
      <c r="E193" s="5"/>
      <c r="F193" s="5"/>
      <c r="G193" s="5"/>
      <c r="H193" s="5"/>
      <c r="I193" s="227"/>
      <c r="J193" s="227"/>
      <c r="K193" s="227"/>
      <c r="L193" s="227"/>
      <c r="M193" s="227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5">
      <c r="A194" s="5"/>
      <c r="B194" s="5"/>
      <c r="C194" s="5"/>
      <c r="D194" s="5"/>
      <c r="E194" s="5"/>
      <c r="F194" s="5"/>
      <c r="G194" s="5"/>
      <c r="H194" s="5"/>
      <c r="I194" s="227"/>
      <c r="J194" s="227"/>
      <c r="K194" s="227"/>
      <c r="L194" s="227"/>
      <c r="M194" s="227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5">
      <c r="A195" s="5"/>
      <c r="B195" s="5"/>
      <c r="C195" s="5"/>
      <c r="D195" s="5"/>
      <c r="E195" s="5"/>
      <c r="F195" s="5"/>
      <c r="G195" s="5"/>
      <c r="H195" s="5"/>
      <c r="I195" s="227"/>
      <c r="J195" s="227"/>
      <c r="K195" s="227"/>
      <c r="L195" s="227"/>
      <c r="M195" s="227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5">
      <c r="A196" s="5"/>
      <c r="B196" s="5"/>
      <c r="C196" s="5"/>
      <c r="D196" s="5"/>
      <c r="E196" s="5"/>
      <c r="F196" s="5"/>
      <c r="G196" s="5"/>
      <c r="H196" s="5"/>
      <c r="I196" s="227"/>
      <c r="J196" s="227"/>
      <c r="K196" s="227"/>
      <c r="L196" s="227"/>
      <c r="M196" s="227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5">
      <c r="A197" s="5"/>
      <c r="B197" s="5"/>
      <c r="C197" s="5"/>
      <c r="D197" s="5"/>
      <c r="E197" s="5"/>
      <c r="F197" s="5"/>
      <c r="G197" s="5"/>
      <c r="H197" s="5"/>
      <c r="I197" s="227"/>
      <c r="J197" s="227"/>
      <c r="K197" s="227"/>
      <c r="L197" s="227"/>
      <c r="M197" s="227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5">
      <c r="A198" s="5"/>
      <c r="B198" s="5"/>
      <c r="C198" s="5"/>
      <c r="D198" s="5"/>
      <c r="E198" s="5"/>
      <c r="F198" s="5"/>
      <c r="G198" s="5"/>
      <c r="H198" s="5"/>
      <c r="I198" s="227"/>
      <c r="J198" s="227"/>
      <c r="K198" s="227"/>
      <c r="L198" s="227"/>
      <c r="M198" s="227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5">
      <c r="A199" s="5"/>
      <c r="B199" s="5"/>
      <c r="C199" s="5"/>
      <c r="D199" s="5"/>
      <c r="E199" s="5"/>
      <c r="F199" s="5"/>
      <c r="G199" s="5"/>
      <c r="H199" s="5"/>
      <c r="I199" s="227"/>
      <c r="J199" s="227"/>
      <c r="K199" s="227"/>
      <c r="L199" s="227"/>
      <c r="M199" s="227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5">
      <c r="A200" s="5"/>
      <c r="B200" s="5"/>
      <c r="C200" s="5"/>
      <c r="D200" s="5"/>
      <c r="E200" s="5"/>
      <c r="F200" s="5"/>
      <c r="G200" s="5"/>
      <c r="H200" s="5"/>
      <c r="I200" s="227"/>
      <c r="J200" s="227"/>
      <c r="K200" s="227"/>
      <c r="L200" s="227"/>
      <c r="M200" s="227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5">
      <c r="A201" s="5"/>
      <c r="B201" s="5"/>
      <c r="C201" s="5"/>
      <c r="D201" s="5"/>
      <c r="E201" s="5"/>
      <c r="F201" s="5"/>
      <c r="G201" s="5"/>
      <c r="H201" s="5"/>
      <c r="I201" s="227"/>
      <c r="J201" s="227"/>
      <c r="K201" s="227"/>
      <c r="L201" s="227"/>
      <c r="M201" s="227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5">
      <c r="A202" s="5"/>
      <c r="B202" s="5"/>
      <c r="C202" s="5"/>
      <c r="D202" s="5"/>
      <c r="E202" s="5"/>
      <c r="F202" s="5"/>
      <c r="G202" s="5"/>
      <c r="H202" s="5"/>
      <c r="I202" s="227"/>
      <c r="J202" s="227"/>
      <c r="K202" s="227"/>
      <c r="L202" s="227"/>
      <c r="M202" s="227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7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Normal="100" workbookViewId="0">
      <selection activeCell="T25" sqref="T25:V25"/>
    </sheetView>
  </sheetViews>
  <sheetFormatPr baseColWidth="10" defaultColWidth="11.453125" defaultRowHeight="14.5" x14ac:dyDescent="0.35"/>
  <cols>
    <col min="1" max="1" width="11.453125" style="1"/>
    <col min="2" max="2" width="30.90625" style="1" bestFit="1" customWidth="1"/>
    <col min="3" max="3" width="18.08984375" style="1" bestFit="1" customWidth="1"/>
    <col min="4" max="5" width="11.453125" style="1"/>
    <col min="6" max="6" width="14" style="3" customWidth="1"/>
    <col min="7" max="7" width="17.54296875" style="3" customWidth="1"/>
    <col min="8" max="8" width="21.6328125" style="1" customWidth="1"/>
    <col min="9" max="9" width="37" style="1" customWidth="1"/>
    <col min="10" max="10" width="11.453125" style="1"/>
    <col min="11" max="11" width="8.9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90625" style="1" customWidth="1"/>
    <col min="23" max="16384" width="11.453125" style="1"/>
  </cols>
  <sheetData>
    <row r="1" spans="1:42" ht="15" thickBot="1" x14ac:dyDescent="0.4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5" thickBot="1" x14ac:dyDescent="0.65">
      <c r="A2" s="5"/>
      <c r="B2" s="305" t="s">
        <v>272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9" customFormat="1" x14ac:dyDescent="0.35">
      <c r="A3" s="96"/>
      <c r="B3" s="96"/>
      <c r="C3" s="96"/>
      <c r="D3" s="96"/>
      <c r="E3" s="96"/>
      <c r="F3" s="177"/>
      <c r="G3" s="177"/>
      <c r="H3" s="178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</row>
    <row r="4" spans="1:42" s="199" customFormat="1" x14ac:dyDescent="0.35">
      <c r="A4" s="96"/>
      <c r="B4" s="96"/>
      <c r="C4" s="96"/>
      <c r="D4" s="96"/>
      <c r="E4" s="96"/>
      <c r="G4" s="177"/>
      <c r="H4" s="323" t="s">
        <v>315</v>
      </c>
      <c r="I4" s="323"/>
      <c r="K4" s="320" t="s">
        <v>253</v>
      </c>
      <c r="L4" s="321"/>
      <c r="M4" s="264">
        <v>4.4999999999999998E-2</v>
      </c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</row>
    <row r="5" spans="1:42" s="199" customFormat="1" x14ac:dyDescent="0.35">
      <c r="A5" s="96"/>
      <c r="B5" s="96"/>
      <c r="C5" s="96"/>
      <c r="D5" s="96"/>
      <c r="E5" s="96"/>
      <c r="G5" s="177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</row>
    <row r="6" spans="1:42" s="199" customFormat="1" ht="15" thickBot="1" x14ac:dyDescent="0.4">
      <c r="A6" s="96"/>
      <c r="B6" s="96"/>
      <c r="C6" s="96"/>
      <c r="D6" s="96"/>
      <c r="E6" s="96"/>
      <c r="F6" s="225"/>
      <c r="G6" s="177"/>
      <c r="H6" s="179"/>
      <c r="I6" s="179"/>
      <c r="J6" s="179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</row>
    <row r="7" spans="1:42" s="199" customFormat="1" ht="27.75" customHeight="1" thickBot="1" x14ac:dyDescent="0.65">
      <c r="A7" s="271"/>
      <c r="B7" s="272"/>
      <c r="C7" s="272"/>
      <c r="D7" s="272"/>
      <c r="E7" s="273"/>
      <c r="F7" s="273" t="s">
        <v>192</v>
      </c>
      <c r="G7" s="274"/>
      <c r="H7" s="272"/>
      <c r="I7" s="272"/>
      <c r="J7" s="275"/>
      <c r="K7" s="269"/>
      <c r="L7" s="270"/>
      <c r="M7" s="270"/>
      <c r="N7" s="276" t="s">
        <v>191</v>
      </c>
      <c r="O7" s="276"/>
      <c r="P7" s="277"/>
      <c r="Q7" s="278"/>
      <c r="R7" s="331" t="s">
        <v>310</v>
      </c>
      <c r="S7" s="332"/>
      <c r="T7" s="332"/>
      <c r="U7" s="332"/>
      <c r="V7" s="333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</row>
    <row r="8" spans="1:42" x14ac:dyDescent="0.35">
      <c r="A8" s="25"/>
      <c r="C8" s="25"/>
      <c r="D8" s="25"/>
      <c r="E8" s="25"/>
      <c r="F8" s="217"/>
      <c r="G8" s="217"/>
      <c r="H8" s="5"/>
      <c r="I8" s="5"/>
      <c r="J8" s="210"/>
      <c r="K8" s="221"/>
      <c r="L8" s="25"/>
      <c r="M8" s="25"/>
      <c r="N8" s="25"/>
      <c r="O8" s="25"/>
      <c r="P8" s="25"/>
      <c r="Q8" s="261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5">
      <c r="A9" s="256" t="s">
        <v>311</v>
      </c>
      <c r="C9" s="25"/>
      <c r="D9" s="25"/>
      <c r="E9" s="25"/>
      <c r="F9" s="257"/>
      <c r="G9" s="256" t="s">
        <v>314</v>
      </c>
      <c r="J9" s="210"/>
      <c r="K9" s="221"/>
      <c r="O9" s="25"/>
      <c r="P9" s="25"/>
      <c r="Q9" s="261"/>
      <c r="R9" s="25"/>
      <c r="S9" s="5"/>
      <c r="T9" s="182" t="s">
        <v>262</v>
      </c>
      <c r="U9" s="185" t="s">
        <v>249</v>
      </c>
      <c r="V9" s="182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5">
      <c r="A10" s="256" t="s">
        <v>317</v>
      </c>
      <c r="C10" s="25"/>
      <c r="D10" s="25"/>
      <c r="E10" s="25"/>
      <c r="F10" s="257"/>
      <c r="G10" s="256" t="s">
        <v>316</v>
      </c>
      <c r="J10" s="210"/>
      <c r="K10" s="221"/>
      <c r="O10" s="25"/>
      <c r="P10" s="25"/>
      <c r="Q10" s="261"/>
      <c r="R10" s="25"/>
      <c r="S10" s="182" t="str">
        <f>B14</f>
        <v>Chêne sessile</v>
      </c>
      <c r="T10" s="186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825.26084015157699</v>
      </c>
      <c r="U10" s="187">
        <f>'Données projet'!D9</f>
        <v>1.7362500000000001</v>
      </c>
      <c r="V10" s="186">
        <f>U10*T10</f>
        <v>1432.8591337131757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5">
      <c r="A11" s="256" t="s">
        <v>312</v>
      </c>
      <c r="B11" s="25"/>
      <c r="C11" s="25"/>
      <c r="D11" s="25"/>
      <c r="E11" s="25"/>
      <c r="F11" s="257"/>
      <c r="G11" s="256" t="s">
        <v>313</v>
      </c>
      <c r="J11" s="210"/>
      <c r="K11" s="221"/>
      <c r="M11" s="5"/>
      <c r="N11" s="5"/>
      <c r="O11" s="25"/>
      <c r="P11" s="25"/>
      <c r="Q11" s="261"/>
      <c r="R11" s="25"/>
      <c r="S11" s="182" t="str">
        <f>B45</f>
        <v>Chêne pédonculé</v>
      </c>
      <c r="T11" s="26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712.13243728108046</v>
      </c>
      <c r="U11" s="187">
        <f>'Données projet'!D10</f>
        <v>0.57874999999999999</v>
      </c>
      <c r="V11" s="186">
        <f t="shared" ref="V11" si="0">U11*T11</f>
        <v>412.14664807642532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5">
      <c r="B12" s="25"/>
      <c r="C12" s="25"/>
      <c r="D12" s="25"/>
      <c r="E12" s="25"/>
      <c r="F12" s="257"/>
      <c r="G12" s="1"/>
      <c r="J12" s="210"/>
      <c r="K12" s="221"/>
      <c r="L12" s="213"/>
      <c r="M12" s="25"/>
      <c r="N12" s="25"/>
      <c r="O12" s="25"/>
      <c r="P12" s="25"/>
      <c r="Q12" s="261"/>
      <c r="R12" s="25"/>
      <c r="S12" s="182" t="str">
        <f>B76</f>
        <v>Charme</v>
      </c>
      <c r="T12" s="26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574.04511468340752</v>
      </c>
      <c r="U12" s="187">
        <f>'Données projet'!D11</f>
        <v>0.73153999999999997</v>
      </c>
      <c r="V12" s="186">
        <f t="shared" ref="V12:V19" si="1">U12*T12</f>
        <v>419.93696319549991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5">
      <c r="B13" s="25"/>
      <c r="C13" s="25"/>
      <c r="D13" s="25"/>
      <c r="E13" s="25"/>
      <c r="F13" s="257"/>
      <c r="J13" s="25"/>
      <c r="K13" s="221"/>
      <c r="L13" s="181" t="s">
        <v>257</v>
      </c>
      <c r="M13" s="25"/>
      <c r="N13" s="25"/>
      <c r="O13" s="25"/>
      <c r="P13" s="25"/>
      <c r="Q13" s="261"/>
      <c r="R13" s="25"/>
      <c r="S13" s="182" t="str">
        <f>B107</f>
        <v>Aulne à feuilles en cœur</v>
      </c>
      <c r="T13" s="26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709.33706282033177</v>
      </c>
      <c r="U13" s="187">
        <f>'Données projet'!D12</f>
        <v>0.91210999999999998</v>
      </c>
      <c r="V13" s="186">
        <f t="shared" si="1"/>
        <v>646.99342836905282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5">
      <c r="A14" s="49" t="s">
        <v>165</v>
      </c>
      <c r="B14" s="183" t="str">
        <f>IF('Données projet'!$B$9="","",'Données projet'!$B$9)</f>
        <v>Chêne sessile</v>
      </c>
      <c r="C14" s="5"/>
      <c r="D14" s="5"/>
      <c r="E14" s="5"/>
      <c r="F14" s="257"/>
      <c r="G14" s="217"/>
      <c r="H14" s="182" t="s">
        <v>178</v>
      </c>
      <c r="I14" s="182" t="s">
        <v>290</v>
      </c>
      <c r="J14" s="211"/>
      <c r="K14" s="180"/>
      <c r="L14" s="213"/>
      <c r="M14" s="25"/>
      <c r="N14" s="25"/>
      <c r="O14" s="5"/>
      <c r="P14" s="5"/>
      <c r="Q14" s="262"/>
      <c r="R14" s="5"/>
      <c r="S14" s="182" t="str">
        <f>B138</f>
        <v>Alisier torminal</v>
      </c>
      <c r="T14" s="26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1290.4942698184329</v>
      </c>
      <c r="U14" s="187">
        <f>'Données projet'!D13</f>
        <v>0.15279000000000001</v>
      </c>
      <c r="V14" s="186">
        <f t="shared" si="1"/>
        <v>197.17461948555837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5">
      <c r="A15" s="5"/>
      <c r="B15" s="5"/>
      <c r="C15" s="5"/>
      <c r="D15" s="5"/>
      <c r="E15" s="5"/>
      <c r="F15" s="257"/>
      <c r="G15" s="324" t="s">
        <v>318</v>
      </c>
      <c r="H15" s="200">
        <v>0</v>
      </c>
      <c r="I15" s="201">
        <v>0</v>
      </c>
      <c r="J15" s="212"/>
      <c r="K15" s="221"/>
      <c r="L15" s="213"/>
      <c r="M15" s="25"/>
      <c r="N15" s="25"/>
      <c r="O15" s="25"/>
      <c r="P15" s="25"/>
      <c r="Q15" s="261"/>
      <c r="R15" s="25"/>
      <c r="S15" s="182" t="str">
        <f>B169</f>
        <v>Cormier</v>
      </c>
      <c r="T15" s="26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1290.4942698184329</v>
      </c>
      <c r="U15" s="187">
        <f>'Données projet'!D14</f>
        <v>0.15279000000000001</v>
      </c>
      <c r="V15" s="186">
        <f t="shared" si="1"/>
        <v>197.17461948555837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5">
      <c r="A16" s="253" t="s">
        <v>180</v>
      </c>
      <c r="B16" s="51" t="s">
        <v>256</v>
      </c>
      <c r="C16" s="51" t="s">
        <v>255</v>
      </c>
      <c r="D16" s="253" t="s">
        <v>252</v>
      </c>
      <c r="E16" s="253" t="s">
        <v>320</v>
      </c>
      <c r="F16" s="257"/>
      <c r="G16" s="324"/>
      <c r="H16" s="200"/>
      <c r="I16" s="201"/>
      <c r="J16" s="212"/>
      <c r="K16" s="221"/>
      <c r="L16" s="320" t="s">
        <v>254</v>
      </c>
      <c r="M16" s="321"/>
      <c r="N16" s="2">
        <v>20</v>
      </c>
      <c r="O16" s="25"/>
      <c r="P16" s="25"/>
      <c r="Q16" s="261"/>
      <c r="R16" s="25"/>
      <c r="S16" s="182" t="str">
        <f>B200</f>
        <v>Orme</v>
      </c>
      <c r="T16" s="26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1209.3995625509294</v>
      </c>
      <c r="U16" s="187">
        <f>'Données projet'!D15</f>
        <v>0.36576999999999998</v>
      </c>
      <c r="V16" s="186">
        <f t="shared" si="1"/>
        <v>442.36207799425341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5">
      <c r="A17" s="206">
        <v>0</v>
      </c>
      <c r="B17" s="209" t="s">
        <v>132</v>
      </c>
      <c r="C17" s="208"/>
      <c r="D17" s="207" t="s">
        <v>132</v>
      </c>
      <c r="E17" s="203"/>
      <c r="F17" s="257"/>
      <c r="G17" s="324"/>
      <c r="J17" s="212"/>
      <c r="K17" s="221"/>
      <c r="L17" s="291" t="s">
        <v>289</v>
      </c>
      <c r="M17" s="293"/>
      <c r="N17" s="184">
        <f>VLOOKUP(N16,Calculateur!$A$2:$H$153,3,0)/VLOOKUP('Scénario référence'!$G$15,Paramètres!A1:I89,3,0)/VLOOKUP('Scénario référence'!$G$15,Paramètres!A1:I89,5,0)</f>
        <v>20.000000000000004</v>
      </c>
      <c r="O17" s="25"/>
      <c r="P17" s="25"/>
      <c r="Q17" s="261"/>
      <c r="R17" s="25"/>
      <c r="S17" s="182" t="str">
        <f>B231</f>
        <v/>
      </c>
      <c r="T17" s="26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7">
        <f>'Données projet'!D16</f>
        <v>0</v>
      </c>
      <c r="V17" s="186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5">
      <c r="A18" s="206">
        <v>1</v>
      </c>
      <c r="B18" s="209" t="s">
        <v>132</v>
      </c>
      <c r="C18" s="208"/>
      <c r="D18" s="207" t="s">
        <v>132</v>
      </c>
      <c r="E18" s="203"/>
      <c r="F18" s="257"/>
      <c r="G18" s="324"/>
      <c r="J18" s="212"/>
      <c r="K18" s="221"/>
      <c r="L18" s="291" t="s">
        <v>255</v>
      </c>
      <c r="M18" s="293"/>
      <c r="N18" s="202">
        <v>20</v>
      </c>
      <c r="O18" s="25"/>
      <c r="P18" s="25"/>
      <c r="Q18" s="261"/>
      <c r="R18" s="25"/>
      <c r="S18" s="182" t="str">
        <f>B262</f>
        <v/>
      </c>
      <c r="T18" s="26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7">
        <f>'Données projet'!D17</f>
        <v>0</v>
      </c>
      <c r="V18" s="186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5">
      <c r="A19" s="206">
        <v>2</v>
      </c>
      <c r="B19" s="209" t="s">
        <v>132</v>
      </c>
      <c r="C19" s="208"/>
      <c r="D19" s="207" t="s">
        <v>132</v>
      </c>
      <c r="E19" s="203"/>
      <c r="F19" s="257"/>
      <c r="G19" s="324"/>
      <c r="H19" s="228" t="s">
        <v>178</v>
      </c>
      <c r="I19" s="228" t="s">
        <v>287</v>
      </c>
      <c r="J19" s="256"/>
      <c r="K19" s="180"/>
      <c r="L19" s="320" t="s">
        <v>288</v>
      </c>
      <c r="M19" s="321"/>
      <c r="N19" s="188">
        <f>N17*N18</f>
        <v>400.00000000000006</v>
      </c>
      <c r="O19" s="25"/>
      <c r="P19" s="5"/>
      <c r="Q19" s="262"/>
      <c r="R19" s="5"/>
      <c r="S19" s="182" t="str">
        <f>B293</f>
        <v/>
      </c>
      <c r="T19" s="26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7">
        <f>'Données projet'!D18</f>
        <v>0</v>
      </c>
      <c r="V19" s="186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5">
      <c r="A20" s="206">
        <v>3</v>
      </c>
      <c r="B20" s="209" t="s">
        <v>132</v>
      </c>
      <c r="C20" s="208"/>
      <c r="D20" s="207" t="s">
        <v>132</v>
      </c>
      <c r="E20" s="203"/>
      <c r="F20" s="257"/>
      <c r="G20" s="324"/>
      <c r="H20" s="200">
        <v>0</v>
      </c>
      <c r="I20" s="201">
        <v>8500</v>
      </c>
      <c r="J20" s="5"/>
      <c r="K20" s="180"/>
      <c r="O20" s="25"/>
      <c r="P20" s="5"/>
      <c r="Q20" s="262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5">
      <c r="A21" s="206">
        <v>4</v>
      </c>
      <c r="B21" s="209" t="s">
        <v>132</v>
      </c>
      <c r="C21" s="208"/>
      <c r="D21" s="207" t="s">
        <v>132</v>
      </c>
      <c r="E21" s="203"/>
      <c r="F21" s="257"/>
      <c r="H21" s="200"/>
      <c r="I21" s="201"/>
      <c r="K21" s="180"/>
      <c r="O21" s="25"/>
      <c r="P21" s="5"/>
      <c r="Q21" s="262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5">
      <c r="A22" s="206">
        <v>5</v>
      </c>
      <c r="B22" s="209" t="s">
        <v>132</v>
      </c>
      <c r="C22" s="208"/>
      <c r="D22" s="207" t="s">
        <v>132</v>
      </c>
      <c r="E22" s="203"/>
      <c r="F22" s="257"/>
      <c r="H22" s="200"/>
      <c r="I22" s="201"/>
      <c r="K22" s="180"/>
      <c r="O22" s="25"/>
      <c r="P22" s="5"/>
      <c r="Q22" s="262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5">
      <c r="A23" s="189">
        <f>'Données projet'!A36</f>
        <v>20</v>
      </c>
      <c r="B23" s="190">
        <f>'Données projet'!D36</f>
        <v>0</v>
      </c>
      <c r="C23" s="201"/>
      <c r="D23" s="191">
        <f>B23*C23</f>
        <v>0</v>
      </c>
      <c r="E23" s="203"/>
      <c r="F23" s="257"/>
      <c r="H23" s="200"/>
      <c r="I23" s="201"/>
      <c r="K23" s="221"/>
      <c r="L23" s="322" t="s">
        <v>260</v>
      </c>
      <c r="M23" s="322"/>
      <c r="N23" s="322"/>
      <c r="O23" s="25"/>
      <c r="P23" s="25"/>
      <c r="Q23" s="261"/>
      <c r="R23" s="25"/>
      <c r="S23" s="182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-35606.352509680473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5">
      <c r="A24" s="189">
        <f>'Données projet'!A37</f>
        <v>25</v>
      </c>
      <c r="B24" s="190">
        <f>'Données projet'!D37</f>
        <v>34</v>
      </c>
      <c r="C24" s="203">
        <v>10</v>
      </c>
      <c r="D24" s="191">
        <f t="shared" ref="D24:D42" si="2">B24*C24</f>
        <v>340</v>
      </c>
      <c r="E24" s="203"/>
      <c r="F24" s="260"/>
      <c r="H24" s="200"/>
      <c r="I24" s="201"/>
      <c r="K24" s="221"/>
      <c r="O24" s="25"/>
      <c r="P24" s="25"/>
      <c r="Q24" s="261"/>
      <c r="R24" s="25"/>
      <c r="S24" s="182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767.91857613585069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5">
      <c r="A25" s="189">
        <f>'Données projet'!A38</f>
        <v>30</v>
      </c>
      <c r="B25" s="190">
        <f>'Données projet'!D38</f>
        <v>0</v>
      </c>
      <c r="C25" s="203">
        <v>10</v>
      </c>
      <c r="D25" s="191">
        <f t="shared" si="2"/>
        <v>0</v>
      </c>
      <c r="E25" s="203"/>
      <c r="F25" s="260"/>
      <c r="G25" s="1"/>
      <c r="H25" s="200"/>
      <c r="I25" s="201"/>
      <c r="K25" s="221"/>
      <c r="L25" s="267" t="s">
        <v>285</v>
      </c>
      <c r="M25" s="267"/>
      <c r="N25" s="267"/>
      <c r="O25" s="267"/>
      <c r="P25" s="202">
        <v>0</v>
      </c>
      <c r="Q25" s="261"/>
      <c r="R25" s="25"/>
      <c r="S25" s="195" t="s">
        <v>266</v>
      </c>
      <c r="T25" s="338">
        <f ca="1">T23-T24</f>
        <v>-36374.271085816326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5">
      <c r="A26" s="189">
        <f>'Données projet'!A39</f>
        <v>35</v>
      </c>
      <c r="B26" s="190">
        <f>'Données projet'!D39</f>
        <v>56</v>
      </c>
      <c r="C26" s="203">
        <v>10</v>
      </c>
      <c r="D26" s="191">
        <f t="shared" si="2"/>
        <v>560</v>
      </c>
      <c r="E26" s="203"/>
      <c r="F26" s="260"/>
      <c r="G26" s="255"/>
      <c r="H26" s="200"/>
      <c r="I26" s="201"/>
      <c r="K26" s="221"/>
      <c r="L26" s="325" t="s">
        <v>258</v>
      </c>
      <c r="M26" s="326"/>
      <c r="N26" s="326"/>
      <c r="O26" s="326"/>
      <c r="P26" s="327"/>
      <c r="Q26" s="261"/>
      <c r="R26" s="25"/>
      <c r="S26" s="195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5">
      <c r="A27" s="189">
        <f>'Données projet'!A40</f>
        <v>40</v>
      </c>
      <c r="B27" s="190">
        <f>'Données projet'!D40</f>
        <v>0</v>
      </c>
      <c r="C27" s="203">
        <v>15</v>
      </c>
      <c r="D27" s="191">
        <f t="shared" si="2"/>
        <v>0</v>
      </c>
      <c r="E27" s="203"/>
      <c r="F27" s="260"/>
      <c r="G27" s="255"/>
      <c r="H27" s="200"/>
      <c r="I27" s="201"/>
      <c r="K27" s="221"/>
      <c r="L27" s="328"/>
      <c r="M27" s="329"/>
      <c r="N27" s="329"/>
      <c r="O27" s="329"/>
      <c r="P27" s="330"/>
      <c r="Q27" s="261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5">
      <c r="A28" s="189">
        <f>'Données projet'!A41</f>
        <v>45</v>
      </c>
      <c r="B28" s="190">
        <f>'Données projet'!D41</f>
        <v>56</v>
      </c>
      <c r="C28" s="203">
        <v>15</v>
      </c>
      <c r="D28" s="191">
        <f t="shared" si="2"/>
        <v>840</v>
      </c>
      <c r="E28" s="203"/>
      <c r="F28" s="260"/>
      <c r="G28" s="218"/>
      <c r="H28" s="200"/>
      <c r="I28" s="201"/>
      <c r="K28" s="221"/>
      <c r="Q28" s="261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5">
      <c r="A29" s="189">
        <f>'Données projet'!A42</f>
        <v>50</v>
      </c>
      <c r="B29" s="190">
        <f>'Données projet'!D42</f>
        <v>0</v>
      </c>
      <c r="C29" s="203">
        <v>15</v>
      </c>
      <c r="D29" s="191">
        <f t="shared" si="2"/>
        <v>0</v>
      </c>
      <c r="E29" s="203"/>
      <c r="F29" s="260"/>
      <c r="G29" s="214"/>
      <c r="H29" s="200"/>
      <c r="I29" s="201"/>
      <c r="K29" s="221"/>
      <c r="O29" s="25"/>
      <c r="P29" s="25"/>
      <c r="Q29" s="261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5">
      <c r="A30" s="189">
        <f>'Données projet'!A43</f>
        <v>55</v>
      </c>
      <c r="B30" s="190">
        <f>'Données projet'!D43</f>
        <v>56</v>
      </c>
      <c r="C30" s="203">
        <v>15</v>
      </c>
      <c r="D30" s="191">
        <f t="shared" si="2"/>
        <v>840</v>
      </c>
      <c r="E30" s="203"/>
      <c r="F30" s="260"/>
      <c r="G30" s="214"/>
      <c r="H30" s="200"/>
      <c r="I30" s="201"/>
      <c r="K30" s="192"/>
      <c r="L30" s="182" t="s">
        <v>259</v>
      </c>
      <c r="M30" s="193">
        <f ca="1">SUM(OFFSET($P$33,0,0,MIN('Données projet'!$E$9:$E$18)+1,1))</f>
        <v>0</v>
      </c>
      <c r="O30" s="5"/>
      <c r="P30" s="5"/>
      <c r="Q30" s="262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5">
      <c r="A31" s="189">
        <f>'Données projet'!A44</f>
        <v>60</v>
      </c>
      <c r="B31" s="190">
        <f>'Données projet'!D44</f>
        <v>0</v>
      </c>
      <c r="C31" s="203">
        <v>20</v>
      </c>
      <c r="D31" s="191">
        <f t="shared" si="2"/>
        <v>0</v>
      </c>
      <c r="E31" s="203"/>
      <c r="F31" s="260"/>
      <c r="G31" s="214"/>
      <c r="H31" s="200"/>
      <c r="I31" s="201"/>
      <c r="K31" s="180"/>
      <c r="Q31" s="261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5">
      <c r="A32" s="189">
        <f>'Données projet'!A45</f>
        <v>65</v>
      </c>
      <c r="B32" s="190">
        <f>'Données projet'!D45</f>
        <v>56</v>
      </c>
      <c r="C32" s="203">
        <v>20</v>
      </c>
      <c r="D32" s="191">
        <f t="shared" si="2"/>
        <v>1120</v>
      </c>
      <c r="E32" s="203"/>
      <c r="F32" s="260"/>
      <c r="G32" s="214"/>
      <c r="H32" s="200"/>
      <c r="I32" s="201"/>
      <c r="K32" s="180"/>
      <c r="N32" s="5"/>
      <c r="O32" s="266" t="s">
        <v>178</v>
      </c>
      <c r="P32" s="266" t="s">
        <v>252</v>
      </c>
      <c r="Q32" s="261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5">
      <c r="A33" s="189">
        <f>'Données projet'!A46</f>
        <v>70</v>
      </c>
      <c r="B33" s="190">
        <f>'Données projet'!D46</f>
        <v>0</v>
      </c>
      <c r="C33" s="203">
        <v>20</v>
      </c>
      <c r="D33" s="191">
        <f t="shared" si="2"/>
        <v>0</v>
      </c>
      <c r="E33" s="203"/>
      <c r="F33" s="260"/>
      <c r="G33" s="214"/>
      <c r="H33" s="200"/>
      <c r="I33" s="201"/>
      <c r="K33" s="180"/>
      <c r="L33" s="5"/>
      <c r="M33" s="5"/>
      <c r="N33" s="5"/>
      <c r="O33" s="204">
        <v>0</v>
      </c>
      <c r="P33" s="194">
        <f t="shared" ref="P33:P64" si="3">$P$25/(1+$M$4)^O33</f>
        <v>0</v>
      </c>
      <c r="Q33" s="261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5">
      <c r="A34" s="189">
        <f>'Données projet'!A47</f>
        <v>75</v>
      </c>
      <c r="B34" s="190">
        <f>'Données projet'!D47</f>
        <v>56</v>
      </c>
      <c r="C34" s="203">
        <v>30</v>
      </c>
      <c r="D34" s="191">
        <f t="shared" si="2"/>
        <v>1680</v>
      </c>
      <c r="E34" s="203"/>
      <c r="F34" s="260"/>
      <c r="G34" s="214"/>
      <c r="H34" s="200"/>
      <c r="I34" s="201"/>
      <c r="K34" s="180"/>
      <c r="L34" s="280"/>
      <c r="M34" s="280"/>
      <c r="N34" s="281"/>
      <c r="O34" s="204">
        <f>IF(O33+1&lt;=MIN('Données projet'!$E$9:$E$18),O33+1,"STOP")</f>
        <v>1</v>
      </c>
      <c r="P34" s="194">
        <f t="shared" si="3"/>
        <v>0</v>
      </c>
      <c r="Q34" s="261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5">
      <c r="A35" s="189">
        <f>'Données projet'!A48</f>
        <v>85</v>
      </c>
      <c r="B35" s="190">
        <f>'Données projet'!D48</f>
        <v>56</v>
      </c>
      <c r="C35" s="203">
        <v>40</v>
      </c>
      <c r="D35" s="191">
        <f t="shared" si="2"/>
        <v>2240</v>
      </c>
      <c r="E35" s="203"/>
      <c r="F35" s="260"/>
      <c r="G35" s="214"/>
      <c r="H35" s="200"/>
      <c r="I35" s="201"/>
      <c r="K35" s="180"/>
      <c r="L35" s="280"/>
      <c r="M35" s="280"/>
      <c r="N35" s="281"/>
      <c r="O35" s="204">
        <f>IF(O34+1&lt;=MIN('Données projet'!$E$9:$E$18),O34+1,"STOP")</f>
        <v>2</v>
      </c>
      <c r="P35" s="194">
        <f t="shared" si="3"/>
        <v>0</v>
      </c>
      <c r="Q35" s="261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5">
      <c r="A36" s="189">
        <f>'Données projet'!A49</f>
        <v>95</v>
      </c>
      <c r="B36" s="190">
        <f>'Données projet'!D49</f>
        <v>56</v>
      </c>
      <c r="C36" s="203">
        <v>50</v>
      </c>
      <c r="D36" s="191">
        <f t="shared" si="2"/>
        <v>2800</v>
      </c>
      <c r="E36" s="203"/>
      <c r="F36" s="260"/>
      <c r="G36" s="214"/>
      <c r="H36" s="200"/>
      <c r="I36" s="201"/>
      <c r="K36" s="180"/>
      <c r="L36" s="25"/>
      <c r="M36" s="25"/>
      <c r="N36" s="25"/>
      <c r="O36" s="204">
        <f>IF(O35+1&lt;=MIN('Données projet'!$E$9:$E$18),O35+1,"STOP")</f>
        <v>3</v>
      </c>
      <c r="P36" s="194">
        <f t="shared" si="3"/>
        <v>0</v>
      </c>
      <c r="Q36" s="261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5">
      <c r="A37" s="189">
        <f>'Données projet'!A50</f>
        <v>105</v>
      </c>
      <c r="B37" s="190">
        <f>'Données projet'!D50</f>
        <v>53</v>
      </c>
      <c r="C37" s="203">
        <v>60</v>
      </c>
      <c r="D37" s="191">
        <f t="shared" si="2"/>
        <v>3180</v>
      </c>
      <c r="E37" s="203"/>
      <c r="F37" s="260"/>
      <c r="G37" s="214"/>
      <c r="H37" s="200"/>
      <c r="I37" s="201"/>
      <c r="K37" s="180"/>
      <c r="L37" s="25"/>
      <c r="M37" s="25"/>
      <c r="N37" s="25"/>
      <c r="O37" s="204">
        <f>IF(O36+1&lt;=MIN('Données projet'!$E$9:$E$18),O36+1,"STOP")</f>
        <v>4</v>
      </c>
      <c r="P37" s="194">
        <f t="shared" si="3"/>
        <v>0</v>
      </c>
      <c r="Q37" s="261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5">
      <c r="A38" s="189">
        <f>'Données projet'!A51</f>
        <v>115</v>
      </c>
      <c r="B38" s="190">
        <f>'Données projet'!D51</f>
        <v>49</v>
      </c>
      <c r="C38" s="203">
        <v>70</v>
      </c>
      <c r="D38" s="191">
        <f t="shared" si="2"/>
        <v>3430</v>
      </c>
      <c r="E38" s="203"/>
      <c r="F38" s="260"/>
      <c r="G38" s="214"/>
      <c r="H38" s="200"/>
      <c r="I38" s="201"/>
      <c r="K38" s="180"/>
      <c r="L38" s="25"/>
      <c r="M38" s="25"/>
      <c r="N38" s="25"/>
      <c r="O38" s="204">
        <f>IF(O37+1&lt;=MIN('Données projet'!$E$9:$E$18),O37+1,"STOP")</f>
        <v>5</v>
      </c>
      <c r="P38" s="194">
        <f t="shared" si="3"/>
        <v>0</v>
      </c>
      <c r="Q38" s="261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5">
      <c r="A39" s="189">
        <f>'Données projet'!A52</f>
        <v>125</v>
      </c>
      <c r="B39" s="190">
        <f>'Données projet'!D52</f>
        <v>45</v>
      </c>
      <c r="C39" s="203">
        <v>80</v>
      </c>
      <c r="D39" s="191">
        <f t="shared" si="2"/>
        <v>3600</v>
      </c>
      <c r="E39" s="203"/>
      <c r="F39" s="260"/>
      <c r="G39" s="214"/>
      <c r="H39" s="200"/>
      <c r="I39" s="201"/>
      <c r="K39" s="221"/>
      <c r="L39" s="25"/>
      <c r="M39" s="25"/>
      <c r="N39" s="25"/>
      <c r="O39" s="204">
        <f>IF(O38+1&lt;=MIN('Données projet'!$E$9:$E$18),O38+1,"STOP")</f>
        <v>6</v>
      </c>
      <c r="P39" s="194">
        <f t="shared" si="3"/>
        <v>0</v>
      </c>
      <c r="Q39" s="261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5">
      <c r="A40" s="189">
        <f>'Données projet'!A53</f>
        <v>135</v>
      </c>
      <c r="B40" s="190">
        <f>'Données projet'!D53</f>
        <v>43</v>
      </c>
      <c r="C40" s="203">
        <v>100</v>
      </c>
      <c r="D40" s="191">
        <f t="shared" si="2"/>
        <v>4300</v>
      </c>
      <c r="E40" s="203"/>
      <c r="F40" s="260"/>
      <c r="G40" s="214"/>
      <c r="H40" s="200"/>
      <c r="I40" s="201"/>
      <c r="K40" s="221"/>
      <c r="L40" s="25"/>
      <c r="M40" s="25"/>
      <c r="N40" s="25"/>
      <c r="O40" s="204">
        <f>IF(O39+1&lt;=MIN('Données projet'!$E$9:$E$18),O39+1,"STOP")</f>
        <v>7</v>
      </c>
      <c r="P40" s="194">
        <f t="shared" si="3"/>
        <v>0</v>
      </c>
      <c r="Q40" s="261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5">
      <c r="A41" s="189">
        <f>'Données projet'!A54</f>
        <v>145</v>
      </c>
      <c r="B41" s="190">
        <f>'Données projet'!D54</f>
        <v>39</v>
      </c>
      <c r="C41" s="203">
        <v>150</v>
      </c>
      <c r="D41" s="191">
        <f t="shared" si="2"/>
        <v>5850</v>
      </c>
      <c r="E41" s="203"/>
      <c r="F41" s="260"/>
      <c r="G41" s="214"/>
      <c r="H41" s="200"/>
      <c r="I41" s="201"/>
      <c r="K41" s="221"/>
      <c r="L41" s="25"/>
      <c r="M41" s="25"/>
      <c r="N41" s="25"/>
      <c r="O41" s="204">
        <f>IF(O40+1&lt;=MIN('Données projet'!$E$9:$E$18),O40+1,"STOP")</f>
        <v>8</v>
      </c>
      <c r="P41" s="194">
        <f t="shared" si="3"/>
        <v>0</v>
      </c>
      <c r="Q41" s="261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5">
      <c r="A42" s="189">
        <f>'Données projet'!A55</f>
        <v>150</v>
      </c>
      <c r="B42" s="190">
        <f>'Données projet'!D55</f>
        <v>335</v>
      </c>
      <c r="C42" s="203">
        <v>200</v>
      </c>
      <c r="D42" s="191">
        <f t="shared" si="2"/>
        <v>67000</v>
      </c>
      <c r="E42" s="203"/>
      <c r="F42" s="260"/>
      <c r="G42" s="214"/>
      <c r="H42" s="200"/>
      <c r="I42" s="201"/>
      <c r="K42" s="221"/>
      <c r="L42" s="25"/>
      <c r="M42" s="25"/>
      <c r="N42" s="25"/>
      <c r="O42" s="204">
        <f>IF(O41+1&lt;=MIN('Données projet'!$E$9:$E$18),O41+1,"STOP")</f>
        <v>9</v>
      </c>
      <c r="P42" s="194">
        <f t="shared" si="3"/>
        <v>0</v>
      </c>
      <c r="Q42" s="261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5">
      <c r="A43" s="196"/>
      <c r="B43" s="196"/>
      <c r="C43" s="196"/>
      <c r="D43" s="252"/>
      <c r="E43" s="252"/>
      <c r="F43" s="265"/>
      <c r="G43" s="214"/>
      <c r="H43" s="200"/>
      <c r="I43" s="201"/>
      <c r="K43" s="221"/>
      <c r="L43" s="25"/>
      <c r="M43" s="25"/>
      <c r="N43" s="25"/>
      <c r="O43" s="204">
        <f>IF(O42+1&lt;=MIN('Données projet'!$E$9:$E$18),O42+1,"STOP")</f>
        <v>10</v>
      </c>
      <c r="P43" s="194">
        <f t="shared" si="3"/>
        <v>0</v>
      </c>
      <c r="Q43" s="26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5">
      <c r="A44" s="5"/>
      <c r="B44" s="5"/>
      <c r="C44" s="5"/>
      <c r="D44" s="5"/>
      <c r="E44" s="5"/>
      <c r="F44" s="257"/>
      <c r="G44" s="214"/>
      <c r="H44" s="200"/>
      <c r="I44" s="201"/>
      <c r="K44" s="221"/>
      <c r="L44" s="25"/>
      <c r="M44" s="25"/>
      <c r="N44" s="25"/>
      <c r="O44" s="204">
        <f>IF(O43+1&lt;=MIN('Données projet'!$E$9:$E$18),O43+1,"STOP")</f>
        <v>11</v>
      </c>
      <c r="P44" s="194">
        <f t="shared" si="3"/>
        <v>0</v>
      </c>
      <c r="Q44" s="26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5">
      <c r="A45" s="49" t="s">
        <v>166</v>
      </c>
      <c r="B45" s="183" t="str">
        <f>IF('Données projet'!$B$10="","",'Données projet'!$B$10)</f>
        <v>Chêne pédonculé</v>
      </c>
      <c r="C45" s="5"/>
      <c r="D45" s="5"/>
      <c r="E45" s="5"/>
      <c r="F45" s="257"/>
      <c r="G45" s="214"/>
      <c r="H45" s="200"/>
      <c r="I45" s="201"/>
      <c r="J45" s="25"/>
      <c r="K45" s="221"/>
      <c r="L45" s="25"/>
      <c r="M45" s="25"/>
      <c r="N45" s="25"/>
      <c r="O45" s="204">
        <f>IF(O44+1&lt;=MIN('Données projet'!$E$9:$E$18),O44+1,"STOP")</f>
        <v>12</v>
      </c>
      <c r="P45" s="194">
        <f t="shared" si="3"/>
        <v>0</v>
      </c>
      <c r="Q45" s="26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5">
      <c r="A46" s="5"/>
      <c r="B46" s="5"/>
      <c r="C46" s="5"/>
      <c r="D46" s="5"/>
      <c r="E46" s="5"/>
      <c r="F46" s="257"/>
      <c r="G46" s="214"/>
      <c r="H46" s="200"/>
      <c r="I46" s="201"/>
      <c r="J46" s="25"/>
      <c r="K46" s="221"/>
      <c r="L46" s="216"/>
      <c r="M46" s="216"/>
      <c r="N46" s="216"/>
      <c r="O46" s="204">
        <f>IF(O45+1&lt;=MIN('Données projet'!$E$9:$E$18),O45+1,"STOP")</f>
        <v>13</v>
      </c>
      <c r="P46" s="197">
        <f t="shared" si="3"/>
        <v>0</v>
      </c>
      <c r="Q46" s="26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5">
      <c r="A47" s="253" t="s">
        <v>180</v>
      </c>
      <c r="B47" s="51" t="s">
        <v>256</v>
      </c>
      <c r="C47" s="51" t="s">
        <v>255</v>
      </c>
      <c r="D47" s="253" t="s">
        <v>252</v>
      </c>
      <c r="E47" s="253" t="s">
        <v>320</v>
      </c>
      <c r="F47" s="258"/>
      <c r="G47" s="214"/>
      <c r="H47" s="200"/>
      <c r="I47" s="201"/>
      <c r="J47" s="25"/>
      <c r="K47" s="221"/>
      <c r="L47" s="5"/>
      <c r="M47" s="5"/>
      <c r="N47" s="5"/>
      <c r="O47" s="204">
        <f>IF(O46+1&lt;=MIN('Données projet'!$E$9:$E$18),O46+1,"STOP")</f>
        <v>14</v>
      </c>
      <c r="P47" s="194">
        <f t="shared" si="3"/>
        <v>0</v>
      </c>
      <c r="Q47" s="26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5">
      <c r="A48" s="206">
        <v>0</v>
      </c>
      <c r="B48" s="209" t="s">
        <v>132</v>
      </c>
      <c r="C48" s="208"/>
      <c r="D48" s="207" t="s">
        <v>132</v>
      </c>
      <c r="E48" s="203"/>
      <c r="F48" s="258"/>
      <c r="G48" s="214"/>
      <c r="H48" s="200"/>
      <c r="I48" s="201"/>
      <c r="J48" s="25"/>
      <c r="K48" s="221"/>
      <c r="L48" s="5"/>
      <c r="M48" s="5"/>
      <c r="N48" s="5"/>
      <c r="O48" s="204">
        <f>IF(O47+1&lt;=MIN('Données projet'!$E$9:$E$18),O47+1,"STOP")</f>
        <v>15</v>
      </c>
      <c r="P48" s="194">
        <f t="shared" si="3"/>
        <v>0</v>
      </c>
      <c r="Q48" s="26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5" customFormat="1" ht="17.25" customHeight="1" x14ac:dyDescent="0.35">
      <c r="A49" s="206">
        <v>1</v>
      </c>
      <c r="B49" s="209" t="s">
        <v>132</v>
      </c>
      <c r="C49" s="208"/>
      <c r="D49" s="207" t="s">
        <v>132</v>
      </c>
      <c r="E49" s="203"/>
      <c r="F49" s="258"/>
      <c r="G49" s="215"/>
      <c r="H49" s="200"/>
      <c r="I49" s="201"/>
      <c r="J49" s="216"/>
      <c r="K49" s="223"/>
      <c r="L49" s="5"/>
      <c r="M49" s="5"/>
      <c r="N49" s="5"/>
      <c r="O49" s="204">
        <f>IF(O48+1&lt;=MIN('Données projet'!$E$9:$E$18),O48+1,"STOP")</f>
        <v>16</v>
      </c>
      <c r="P49" s="194">
        <f t="shared" si="3"/>
        <v>0</v>
      </c>
      <c r="Q49" s="263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</row>
    <row r="50" spans="1:56" x14ac:dyDescent="0.35">
      <c r="A50" s="206">
        <v>2</v>
      </c>
      <c r="B50" s="209" t="s">
        <v>132</v>
      </c>
      <c r="C50" s="208"/>
      <c r="D50" s="207" t="s">
        <v>132</v>
      </c>
      <c r="E50" s="203"/>
      <c r="F50" s="258"/>
      <c r="G50" s="217"/>
      <c r="H50" s="200"/>
      <c r="I50" s="201"/>
      <c r="J50" s="25"/>
      <c r="K50" s="180"/>
      <c r="L50" s="5"/>
      <c r="M50" s="5"/>
      <c r="N50" s="5"/>
      <c r="O50" s="204">
        <f>IF(O49+1&lt;=MIN('Données projet'!$E$9:$E$18),O49+1,"STOP")</f>
        <v>17</v>
      </c>
      <c r="P50" s="194">
        <f t="shared" si="3"/>
        <v>0</v>
      </c>
      <c r="Q50" s="26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5">
      <c r="A51" s="206">
        <v>3</v>
      </c>
      <c r="B51" s="209" t="s">
        <v>132</v>
      </c>
      <c r="C51" s="208"/>
      <c r="D51" s="207" t="s">
        <v>132</v>
      </c>
      <c r="E51" s="203"/>
      <c r="F51" s="258"/>
      <c r="G51" s="217"/>
      <c r="H51" s="200"/>
      <c r="I51" s="201"/>
      <c r="J51" s="25"/>
      <c r="K51" s="180"/>
      <c r="L51" s="5"/>
      <c r="M51" s="5"/>
      <c r="N51" s="5"/>
      <c r="O51" s="204">
        <f>IF(O50+1&lt;=MIN('Données projet'!$E$9:$E$18),O50+1,"STOP")</f>
        <v>18</v>
      </c>
      <c r="P51" s="194">
        <f t="shared" si="3"/>
        <v>0</v>
      </c>
      <c r="Q51" s="26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5">
      <c r="A52" s="206">
        <v>4</v>
      </c>
      <c r="B52" s="209" t="s">
        <v>132</v>
      </c>
      <c r="C52" s="208"/>
      <c r="D52" s="207" t="s">
        <v>132</v>
      </c>
      <c r="E52" s="203"/>
      <c r="F52" s="258"/>
      <c r="G52" s="217"/>
      <c r="H52" s="200"/>
      <c r="I52" s="201"/>
      <c r="J52" s="25"/>
      <c r="K52" s="180"/>
      <c r="L52" s="5"/>
      <c r="M52" s="5"/>
      <c r="N52" s="5"/>
      <c r="O52" s="204">
        <f>IF(O51+1&lt;=MIN('Données projet'!$E$9:$E$18),O51+1,"STOP")</f>
        <v>19</v>
      </c>
      <c r="P52" s="194">
        <f t="shared" si="3"/>
        <v>0</v>
      </c>
      <c r="Q52" s="26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5">
      <c r="A53" s="206">
        <v>5</v>
      </c>
      <c r="B53" s="209" t="s">
        <v>132</v>
      </c>
      <c r="C53" s="208"/>
      <c r="D53" s="207" t="s">
        <v>132</v>
      </c>
      <c r="E53" s="203"/>
      <c r="F53" s="258"/>
      <c r="G53" s="218"/>
      <c r="H53" s="200"/>
      <c r="I53" s="201"/>
      <c r="J53" s="25"/>
      <c r="K53" s="180"/>
      <c r="L53" s="5"/>
      <c r="M53" s="5"/>
      <c r="N53" s="5"/>
      <c r="O53" s="204">
        <f>IF(O52+1&lt;=MIN('Données projet'!$E$9:$E$18),O52+1,"STOP")</f>
        <v>20</v>
      </c>
      <c r="P53" s="194">
        <f t="shared" si="3"/>
        <v>0</v>
      </c>
      <c r="Q53" s="26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5">
      <c r="A54" s="189">
        <f>'Données projet'!A62</f>
        <v>20</v>
      </c>
      <c r="B54" s="190">
        <f>'Données projet'!D62</f>
        <v>0</v>
      </c>
      <c r="C54" s="203"/>
      <c r="D54" s="188">
        <f>B54*C54</f>
        <v>0</v>
      </c>
      <c r="E54" s="203"/>
      <c r="F54" s="259"/>
      <c r="G54" s="218"/>
      <c r="H54" s="200"/>
      <c r="I54" s="201"/>
      <c r="J54" s="25"/>
      <c r="K54" s="180"/>
      <c r="L54" s="5"/>
      <c r="M54" s="5"/>
      <c r="N54" s="5"/>
      <c r="O54" s="204">
        <f>IF(O53+1&lt;=MIN('Données projet'!$E$9:$E$18),O53+1,"STOP")</f>
        <v>21</v>
      </c>
      <c r="P54" s="194">
        <f t="shared" si="3"/>
        <v>0</v>
      </c>
      <c r="Q54" s="26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5">
      <c r="A55" s="189">
        <f>'Données projet'!A63</f>
        <v>25</v>
      </c>
      <c r="B55" s="190">
        <f>'Données projet'!D63</f>
        <v>34</v>
      </c>
      <c r="C55" s="203">
        <v>10</v>
      </c>
      <c r="D55" s="188">
        <f t="shared" ref="D55:D73" si="4">B55*C55</f>
        <v>340</v>
      </c>
      <c r="E55" s="203"/>
      <c r="F55" s="259"/>
      <c r="G55" s="218"/>
      <c r="H55" s="200"/>
      <c r="I55" s="201"/>
      <c r="J55" s="25"/>
      <c r="K55" s="180"/>
      <c r="L55" s="5"/>
      <c r="M55" s="5"/>
      <c r="N55" s="5"/>
      <c r="O55" s="204">
        <f>IF(O54+1&lt;=MIN('Données projet'!$E$9:$E$18),O54+1,"STOP")</f>
        <v>22</v>
      </c>
      <c r="P55" s="194">
        <f t="shared" si="3"/>
        <v>0</v>
      </c>
      <c r="Q55" s="26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5">
      <c r="A56" s="189">
        <f>'Données projet'!A64</f>
        <v>30</v>
      </c>
      <c r="B56" s="190">
        <f>'Données projet'!D64</f>
        <v>0</v>
      </c>
      <c r="C56" s="203">
        <v>10</v>
      </c>
      <c r="D56" s="188">
        <f t="shared" si="4"/>
        <v>0</v>
      </c>
      <c r="E56" s="203"/>
      <c r="F56" s="259"/>
      <c r="G56" s="218"/>
      <c r="H56" s="200"/>
      <c r="I56" s="201"/>
      <c r="J56" s="25"/>
      <c r="K56" s="180"/>
      <c r="L56" s="5"/>
      <c r="M56" s="5"/>
      <c r="N56" s="5"/>
      <c r="O56" s="204">
        <f>IF(O55+1&lt;=MIN('Données projet'!$E$9:$E$18),O55+1,"STOP")</f>
        <v>23</v>
      </c>
      <c r="P56" s="194">
        <f t="shared" si="3"/>
        <v>0</v>
      </c>
      <c r="Q56" s="26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5">
      <c r="A57" s="189">
        <f>'Données projet'!A65</f>
        <v>35</v>
      </c>
      <c r="B57" s="190">
        <f>'Données projet'!D65</f>
        <v>56</v>
      </c>
      <c r="C57" s="203">
        <v>10</v>
      </c>
      <c r="D57" s="188">
        <f t="shared" si="4"/>
        <v>560</v>
      </c>
      <c r="E57" s="203"/>
      <c r="F57" s="259"/>
      <c r="G57" s="218"/>
      <c r="H57" s="200"/>
      <c r="I57" s="201"/>
      <c r="J57" s="25"/>
      <c r="K57" s="180"/>
      <c r="L57" s="5"/>
      <c r="M57" s="5"/>
      <c r="N57" s="5"/>
      <c r="O57" s="204">
        <f>IF(O56+1&lt;=MIN('Données projet'!$E$9:$E$18),O56+1,"STOP")</f>
        <v>24</v>
      </c>
      <c r="P57" s="194">
        <f t="shared" si="3"/>
        <v>0</v>
      </c>
      <c r="Q57" s="26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5">
      <c r="A58" s="189">
        <f>'Données projet'!A66</f>
        <v>40</v>
      </c>
      <c r="B58" s="190">
        <f>'Données projet'!D66</f>
        <v>0</v>
      </c>
      <c r="C58" s="203">
        <v>15</v>
      </c>
      <c r="D58" s="188">
        <f t="shared" si="4"/>
        <v>0</v>
      </c>
      <c r="E58" s="203"/>
      <c r="F58" s="259"/>
      <c r="G58" s="218"/>
      <c r="H58" s="200"/>
      <c r="I58" s="201"/>
      <c r="J58" s="25"/>
      <c r="K58" s="180"/>
      <c r="L58" s="5"/>
      <c r="M58" s="5"/>
      <c r="N58" s="5"/>
      <c r="O58" s="204">
        <f>IF(O57+1&lt;=MIN('Données projet'!$E$9:$E$18),O57+1,"STOP")</f>
        <v>25</v>
      </c>
      <c r="P58" s="194">
        <f t="shared" si="3"/>
        <v>0</v>
      </c>
      <c r="Q58" s="262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5">
      <c r="A59" s="189">
        <f>'Données projet'!A67</f>
        <v>45</v>
      </c>
      <c r="B59" s="190">
        <f>'Données projet'!D67</f>
        <v>56</v>
      </c>
      <c r="C59" s="203">
        <v>15</v>
      </c>
      <c r="D59" s="188">
        <f t="shared" si="4"/>
        <v>840</v>
      </c>
      <c r="E59" s="203"/>
      <c r="F59" s="259"/>
      <c r="G59" s="218"/>
      <c r="H59" s="200"/>
      <c r="I59" s="201"/>
      <c r="J59" s="25"/>
      <c r="K59" s="180"/>
      <c r="L59" s="5"/>
      <c r="M59" s="5"/>
      <c r="N59" s="5"/>
      <c r="O59" s="204">
        <f>IF(O58+1&lt;=MIN('Données projet'!$E$9:$E$18),O58+1,"STOP")</f>
        <v>26</v>
      </c>
      <c r="P59" s="194">
        <f t="shared" si="3"/>
        <v>0</v>
      </c>
      <c r="Q59" s="262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5">
      <c r="A60" s="189">
        <f>'Données projet'!A68</f>
        <v>50</v>
      </c>
      <c r="B60" s="190">
        <f>'Données projet'!D68</f>
        <v>0</v>
      </c>
      <c r="C60" s="203">
        <v>15</v>
      </c>
      <c r="D60" s="188">
        <f t="shared" si="4"/>
        <v>0</v>
      </c>
      <c r="E60" s="203"/>
      <c r="F60" s="259"/>
      <c r="G60" s="219"/>
      <c r="H60" s="200"/>
      <c r="I60" s="201"/>
      <c r="J60" s="25"/>
      <c r="K60" s="180"/>
      <c r="L60" s="5"/>
      <c r="M60" s="5"/>
      <c r="N60" s="5"/>
      <c r="O60" s="204">
        <f>IF(O59+1&lt;=MIN('Données projet'!$E$9:$E$18),O59+1,"STOP")</f>
        <v>27</v>
      </c>
      <c r="P60" s="194">
        <f t="shared" si="3"/>
        <v>0</v>
      </c>
      <c r="Q60" s="262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5">
      <c r="A61" s="189">
        <f>'Données projet'!A69</f>
        <v>55</v>
      </c>
      <c r="B61" s="190">
        <f>'Données projet'!D69</f>
        <v>56</v>
      </c>
      <c r="C61" s="203">
        <v>15</v>
      </c>
      <c r="D61" s="188">
        <f t="shared" si="4"/>
        <v>840</v>
      </c>
      <c r="E61" s="203"/>
      <c r="F61" s="259"/>
      <c r="G61" s="219"/>
      <c r="H61" s="200"/>
      <c r="I61" s="201"/>
      <c r="J61" s="25"/>
      <c r="K61" s="180"/>
      <c r="L61" s="5"/>
      <c r="M61" s="5"/>
      <c r="N61" s="5"/>
      <c r="O61" s="204">
        <f>IF(O60+1&lt;=MIN('Données projet'!$E$9:$E$18),O60+1,"STOP")</f>
        <v>28</v>
      </c>
      <c r="P61" s="194">
        <f t="shared" si="3"/>
        <v>0</v>
      </c>
      <c r="Q61" s="262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5">
      <c r="A62" s="189">
        <f>'Données projet'!A70</f>
        <v>60</v>
      </c>
      <c r="B62" s="190">
        <f>'Données projet'!D70</f>
        <v>0</v>
      </c>
      <c r="C62" s="203">
        <v>20</v>
      </c>
      <c r="D62" s="188">
        <f t="shared" si="4"/>
        <v>0</v>
      </c>
      <c r="E62" s="203"/>
      <c r="F62" s="259"/>
      <c r="G62" s="219"/>
      <c r="H62" s="200"/>
      <c r="I62" s="201"/>
      <c r="J62" s="25"/>
      <c r="K62" s="180"/>
      <c r="L62" s="5"/>
      <c r="M62" s="5"/>
      <c r="N62" s="5"/>
      <c r="O62" s="204">
        <f>IF(O61+1&lt;=MIN('Données projet'!$E$9:$E$18),O61+1,"STOP")</f>
        <v>29</v>
      </c>
      <c r="P62" s="194">
        <f t="shared" si="3"/>
        <v>0</v>
      </c>
      <c r="Q62" s="262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5">
      <c r="A63" s="189">
        <f>'Données projet'!A71</f>
        <v>65</v>
      </c>
      <c r="B63" s="190">
        <f>'Données projet'!D71</f>
        <v>56</v>
      </c>
      <c r="C63" s="203">
        <v>20</v>
      </c>
      <c r="D63" s="188">
        <f t="shared" si="4"/>
        <v>1120</v>
      </c>
      <c r="E63" s="203"/>
      <c r="F63" s="259"/>
      <c r="G63" s="219"/>
      <c r="H63" s="200"/>
      <c r="I63" s="201"/>
      <c r="J63" s="25"/>
      <c r="K63" s="180"/>
      <c r="L63" s="5"/>
      <c r="M63" s="5"/>
      <c r="N63" s="5"/>
      <c r="O63" s="204">
        <f>IF(O62+1&lt;=MIN('Données projet'!$E$9:$E$18),O62+1,"STOP")</f>
        <v>30</v>
      </c>
      <c r="P63" s="194">
        <f t="shared" si="3"/>
        <v>0</v>
      </c>
      <c r="Q63" s="262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5">
      <c r="A64" s="189">
        <f>'Données projet'!A72</f>
        <v>70</v>
      </c>
      <c r="B64" s="190">
        <f>'Données projet'!D72</f>
        <v>0</v>
      </c>
      <c r="C64" s="203">
        <v>20</v>
      </c>
      <c r="D64" s="188">
        <f t="shared" si="4"/>
        <v>0</v>
      </c>
      <c r="E64" s="203"/>
      <c r="F64" s="259"/>
      <c r="G64" s="219"/>
      <c r="H64" s="200"/>
      <c r="I64" s="201"/>
      <c r="J64" s="220"/>
      <c r="K64" s="180"/>
      <c r="L64" s="5"/>
      <c r="M64" s="5"/>
      <c r="N64" s="5"/>
      <c r="O64" s="204">
        <f>IF(O63+1&lt;=MIN('Données projet'!$E$9:$E$18),O63+1,"STOP")</f>
        <v>31</v>
      </c>
      <c r="P64" s="194">
        <f t="shared" si="3"/>
        <v>0</v>
      </c>
      <c r="Q64" s="262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5">
      <c r="A65" s="189">
        <f>'Données projet'!A73</f>
        <v>75</v>
      </c>
      <c r="B65" s="190">
        <f>'Données projet'!D73</f>
        <v>56</v>
      </c>
      <c r="C65" s="203">
        <v>30</v>
      </c>
      <c r="D65" s="188">
        <f t="shared" si="4"/>
        <v>1680</v>
      </c>
      <c r="E65" s="203"/>
      <c r="F65" s="259"/>
      <c r="G65" s="219"/>
      <c r="H65" s="200"/>
      <c r="I65" s="201"/>
      <c r="J65" s="198"/>
      <c r="K65" s="180"/>
      <c r="L65" s="5"/>
      <c r="M65" s="5"/>
      <c r="N65" s="5"/>
      <c r="O65" s="204">
        <f>IF(O64+1&lt;=MIN('Données projet'!$E$9:$E$18),O64+1,"STOP")</f>
        <v>32</v>
      </c>
      <c r="P65" s="194">
        <f t="shared" ref="P65:P96" si="5">$P$25/(1+$M$4)^O65</f>
        <v>0</v>
      </c>
      <c r="Q65" s="262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5">
      <c r="A66" s="189">
        <f>'Données projet'!A74</f>
        <v>85</v>
      </c>
      <c r="B66" s="190">
        <f>'Données projet'!D74</f>
        <v>56</v>
      </c>
      <c r="C66" s="203">
        <v>40</v>
      </c>
      <c r="D66" s="188">
        <f t="shared" si="4"/>
        <v>2240</v>
      </c>
      <c r="E66" s="203"/>
      <c r="F66" s="259"/>
      <c r="G66" s="219"/>
      <c r="H66" s="200"/>
      <c r="I66" s="201"/>
      <c r="J66" s="198"/>
      <c r="K66" s="180"/>
      <c r="L66" s="5"/>
      <c r="M66" s="5"/>
      <c r="N66" s="5"/>
      <c r="O66" s="204">
        <f>IF(O65+1&lt;=MIN('Données projet'!$E$9:$E$18),O65+1,"STOP")</f>
        <v>33</v>
      </c>
      <c r="P66" s="194">
        <f t="shared" si="5"/>
        <v>0</v>
      </c>
      <c r="Q66" s="262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5">
      <c r="A67" s="189">
        <f>'Données projet'!A75</f>
        <v>95</v>
      </c>
      <c r="B67" s="190">
        <f>'Données projet'!D75</f>
        <v>56</v>
      </c>
      <c r="C67" s="203">
        <v>50</v>
      </c>
      <c r="D67" s="188">
        <f t="shared" si="4"/>
        <v>2800</v>
      </c>
      <c r="E67" s="203"/>
      <c r="F67" s="259"/>
      <c r="G67" s="219"/>
      <c r="H67" s="200"/>
      <c r="I67" s="201"/>
      <c r="J67" s="198"/>
      <c r="K67" s="180"/>
      <c r="L67" s="5"/>
      <c r="M67" s="5"/>
      <c r="N67" s="5"/>
      <c r="O67" s="204">
        <f>IF(O66+1&lt;=MIN('Données projet'!$E$9:$E$18),O66+1,"STOP")</f>
        <v>34</v>
      </c>
      <c r="P67" s="194">
        <f t="shared" si="5"/>
        <v>0</v>
      </c>
      <c r="Q67" s="262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5">
      <c r="A68" s="189">
        <f>'Données projet'!A76</f>
        <v>105</v>
      </c>
      <c r="B68" s="190">
        <f>'Données projet'!D76</f>
        <v>53</v>
      </c>
      <c r="C68" s="203">
        <v>60</v>
      </c>
      <c r="D68" s="188">
        <f t="shared" si="4"/>
        <v>3180</v>
      </c>
      <c r="E68" s="203"/>
      <c r="F68" s="259"/>
      <c r="G68" s="219"/>
      <c r="H68" s="200"/>
      <c r="I68" s="201"/>
      <c r="J68" s="198"/>
      <c r="K68" s="180"/>
      <c r="L68" s="5"/>
      <c r="M68" s="5"/>
      <c r="N68" s="5"/>
      <c r="O68" s="204">
        <f>IF(O67+1&lt;=MIN('Données projet'!$E$9:$E$18),O67+1,"STOP")</f>
        <v>35</v>
      </c>
      <c r="P68" s="194">
        <f t="shared" si="5"/>
        <v>0</v>
      </c>
      <c r="Q68" s="262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5">
      <c r="A69" s="189">
        <f>'Données projet'!A77</f>
        <v>115</v>
      </c>
      <c r="B69" s="190">
        <f>'Données projet'!D77</f>
        <v>49</v>
      </c>
      <c r="C69" s="203">
        <v>70</v>
      </c>
      <c r="D69" s="188">
        <f t="shared" si="4"/>
        <v>3430</v>
      </c>
      <c r="E69" s="203"/>
      <c r="F69" s="259"/>
      <c r="G69" s="219"/>
      <c r="H69" s="200"/>
      <c r="I69" s="201"/>
      <c r="J69" s="198"/>
      <c r="K69" s="180"/>
      <c r="L69" s="5"/>
      <c r="M69" s="5"/>
      <c r="N69" s="5"/>
      <c r="O69" s="204">
        <f>IF(O68+1&lt;=MIN('Données projet'!$E$9:$E$18),O68+1,"STOP")</f>
        <v>36</v>
      </c>
      <c r="P69" s="194">
        <f t="shared" si="5"/>
        <v>0</v>
      </c>
      <c r="Q69" s="262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5">
      <c r="A70" s="189">
        <f>'Données projet'!A78</f>
        <v>125</v>
      </c>
      <c r="B70" s="190">
        <f>'Données projet'!D78</f>
        <v>45</v>
      </c>
      <c r="C70" s="203">
        <v>80</v>
      </c>
      <c r="D70" s="188">
        <f t="shared" si="4"/>
        <v>3600</v>
      </c>
      <c r="E70" s="203"/>
      <c r="F70" s="259"/>
      <c r="G70" s="219"/>
      <c r="H70" s="200"/>
      <c r="I70" s="201"/>
      <c r="J70" s="198"/>
      <c r="K70" s="180"/>
      <c r="L70" s="5"/>
      <c r="M70" s="5"/>
      <c r="N70" s="5"/>
      <c r="O70" s="204">
        <f>IF(O69+1&lt;=MIN('Données projet'!$E$9:$E$18),O69+1,"STOP")</f>
        <v>37</v>
      </c>
      <c r="P70" s="194">
        <f t="shared" si="5"/>
        <v>0</v>
      </c>
      <c r="Q70" s="262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5">
      <c r="A71" s="189">
        <f>'Données projet'!A79</f>
        <v>135</v>
      </c>
      <c r="B71" s="190">
        <f>'Données projet'!D79</f>
        <v>43</v>
      </c>
      <c r="C71" s="203">
        <v>100</v>
      </c>
      <c r="D71" s="188">
        <f t="shared" si="4"/>
        <v>4300</v>
      </c>
      <c r="E71" s="203"/>
      <c r="F71" s="259"/>
      <c r="G71" s="219"/>
      <c r="H71" s="200"/>
      <c r="I71" s="201"/>
      <c r="J71" s="198"/>
      <c r="K71" s="180"/>
      <c r="L71" s="5"/>
      <c r="M71" s="5"/>
      <c r="N71" s="5"/>
      <c r="O71" s="204">
        <f>IF(O70+1&lt;=MIN('Données projet'!$E$9:$E$18),O70+1,"STOP")</f>
        <v>38</v>
      </c>
      <c r="P71" s="194">
        <f t="shared" si="5"/>
        <v>0</v>
      </c>
      <c r="Q71" s="262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5">
      <c r="A72" s="189">
        <f>'Données projet'!A80</f>
        <v>145</v>
      </c>
      <c r="B72" s="190">
        <f>'Données projet'!D80</f>
        <v>39</v>
      </c>
      <c r="C72" s="203">
        <v>150</v>
      </c>
      <c r="D72" s="188">
        <f t="shared" si="4"/>
        <v>5850</v>
      </c>
      <c r="E72" s="203"/>
      <c r="F72" s="259"/>
      <c r="G72" s="219"/>
      <c r="H72" s="200"/>
      <c r="I72" s="201"/>
      <c r="J72" s="5"/>
      <c r="K72" s="180"/>
      <c r="L72" s="5"/>
      <c r="M72" s="5"/>
      <c r="N72" s="5"/>
      <c r="O72" s="204">
        <f>IF(O71+1&lt;=MIN('Données projet'!$E$9:$E$18),O71+1,"STOP")</f>
        <v>39</v>
      </c>
      <c r="P72" s="194">
        <f t="shared" si="5"/>
        <v>0</v>
      </c>
      <c r="Q72" s="262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5">
      <c r="A73" s="189">
        <f>'Données projet'!A81</f>
        <v>150</v>
      </c>
      <c r="B73" s="190">
        <f>'Données projet'!D81</f>
        <v>335</v>
      </c>
      <c r="C73" s="203">
        <v>200</v>
      </c>
      <c r="D73" s="188">
        <f t="shared" si="4"/>
        <v>67000</v>
      </c>
      <c r="E73" s="203"/>
      <c r="F73" s="259"/>
      <c r="G73" s="219"/>
      <c r="H73" s="200"/>
      <c r="I73" s="201"/>
      <c r="J73" s="5"/>
      <c r="K73" s="180"/>
      <c r="L73" s="5"/>
      <c r="M73" s="5"/>
      <c r="N73" s="5"/>
      <c r="O73" s="204">
        <f>IF(O72+1&lt;=MIN('Données projet'!$E$9:$E$18),O72+1,"STOP")</f>
        <v>40</v>
      </c>
      <c r="P73" s="194">
        <f t="shared" si="5"/>
        <v>0</v>
      </c>
      <c r="Q73" s="262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5">
      <c r="A74" s="5"/>
      <c r="B74" s="5"/>
      <c r="C74" s="5"/>
      <c r="D74" s="5"/>
      <c r="E74" s="5"/>
      <c r="F74" s="257"/>
      <c r="G74" s="219"/>
      <c r="H74" s="200"/>
      <c r="I74" s="201"/>
      <c r="J74" s="5"/>
      <c r="K74" s="180"/>
      <c r="L74" s="5"/>
      <c r="M74" s="5"/>
      <c r="N74" s="5"/>
      <c r="O74" s="204">
        <f>IF(O73+1&lt;=MIN('Données projet'!$E$9:$E$18),O73+1,"STOP")</f>
        <v>41</v>
      </c>
      <c r="P74" s="194">
        <f t="shared" si="5"/>
        <v>0</v>
      </c>
      <c r="Q74" s="262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5">
      <c r="A75" s="5"/>
      <c r="B75" s="5"/>
      <c r="C75" s="5"/>
      <c r="D75" s="5"/>
      <c r="E75" s="5"/>
      <c r="F75" s="257"/>
      <c r="G75" s="219"/>
      <c r="H75" s="200"/>
      <c r="I75" s="201"/>
      <c r="J75" s="5"/>
      <c r="K75" s="180"/>
      <c r="L75" s="5"/>
      <c r="M75" s="5"/>
      <c r="N75" s="5"/>
      <c r="O75" s="204">
        <f>IF(O74+1&lt;=MIN('Données projet'!$E$9:$E$18),O74+1,"STOP")</f>
        <v>42</v>
      </c>
      <c r="P75" s="194">
        <f t="shared" si="5"/>
        <v>0</v>
      </c>
      <c r="Q75" s="262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5">
      <c r="A76" s="49" t="s">
        <v>167</v>
      </c>
      <c r="B76" s="183" t="str">
        <f>IF('Données projet'!B11="","",'Données projet'!B11)</f>
        <v>Charme</v>
      </c>
      <c r="C76" s="5"/>
      <c r="D76" s="5"/>
      <c r="E76" s="5"/>
      <c r="F76" s="257"/>
      <c r="G76" s="219"/>
      <c r="H76" s="200"/>
      <c r="I76" s="201"/>
      <c r="J76" s="5"/>
      <c r="K76" s="180"/>
      <c r="L76" s="5"/>
      <c r="M76" s="5"/>
      <c r="N76" s="5"/>
      <c r="O76" s="204">
        <f>IF(O75+1&lt;=MIN('Données projet'!$E$9:$E$18),O75+1,"STOP")</f>
        <v>43</v>
      </c>
      <c r="P76" s="194">
        <f t="shared" si="5"/>
        <v>0</v>
      </c>
      <c r="Q76" s="262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5">
      <c r="A77" s="5"/>
      <c r="B77" s="5"/>
      <c r="C77" s="5"/>
      <c r="D77" s="5"/>
      <c r="E77" s="5"/>
      <c r="F77" s="257"/>
      <c r="G77" s="219"/>
      <c r="H77" s="200"/>
      <c r="I77" s="201"/>
      <c r="J77" s="5"/>
      <c r="K77" s="180"/>
      <c r="L77" s="5"/>
      <c r="M77" s="5"/>
      <c r="N77" s="5"/>
      <c r="O77" s="204">
        <f>IF(O76+1&lt;=MIN('Données projet'!$E$9:$E$18),O76+1,"STOP")</f>
        <v>44</v>
      </c>
      <c r="P77" s="194">
        <f t="shared" si="5"/>
        <v>0</v>
      </c>
      <c r="Q77" s="262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5">
      <c r="A78" s="253" t="s">
        <v>180</v>
      </c>
      <c r="B78" s="51" t="s">
        <v>256</v>
      </c>
      <c r="C78" s="51" t="s">
        <v>255</v>
      </c>
      <c r="D78" s="253" t="s">
        <v>252</v>
      </c>
      <c r="E78" s="253" t="s">
        <v>320</v>
      </c>
      <c r="F78" s="258"/>
      <c r="G78" s="219"/>
      <c r="H78" s="200"/>
      <c r="I78" s="201"/>
      <c r="J78" s="5"/>
      <c r="K78" s="180"/>
      <c r="L78" s="5"/>
      <c r="M78" s="5"/>
      <c r="N78" s="5"/>
      <c r="O78" s="204">
        <f>IF(O77+1&lt;=MIN('Données projet'!$E$9:$E$18),O77+1,"STOP")</f>
        <v>45</v>
      </c>
      <c r="P78" s="194">
        <f t="shared" si="5"/>
        <v>0</v>
      </c>
      <c r="Q78" s="262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5">
      <c r="A79" s="206">
        <v>0</v>
      </c>
      <c r="B79" s="209" t="s">
        <v>132</v>
      </c>
      <c r="C79" s="208"/>
      <c r="D79" s="207" t="s">
        <v>132</v>
      </c>
      <c r="E79" s="203"/>
      <c r="F79" s="258"/>
      <c r="G79" s="219"/>
      <c r="H79" s="200"/>
      <c r="I79" s="201"/>
      <c r="J79" s="5"/>
      <c r="K79" s="180"/>
      <c r="L79" s="5"/>
      <c r="M79" s="5"/>
      <c r="N79" s="5"/>
      <c r="O79" s="204">
        <f>IF(O78+1&lt;=MIN('Données projet'!$E$9:$E$18),O78+1,"STOP")</f>
        <v>46</v>
      </c>
      <c r="P79" s="194">
        <f t="shared" si="5"/>
        <v>0</v>
      </c>
      <c r="Q79" s="262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5">
      <c r="A80" s="206">
        <v>1</v>
      </c>
      <c r="B80" s="209" t="s">
        <v>132</v>
      </c>
      <c r="C80" s="208"/>
      <c r="D80" s="207" t="s">
        <v>132</v>
      </c>
      <c r="E80" s="203"/>
      <c r="F80" s="258"/>
      <c r="G80" s="217"/>
      <c r="H80" s="200"/>
      <c r="I80" s="201"/>
      <c r="J80" s="5"/>
      <c r="K80" s="180"/>
      <c r="L80" s="5"/>
      <c r="M80" s="5"/>
      <c r="N80" s="5"/>
      <c r="O80" s="204">
        <f>IF(O79+1&lt;=MIN('Données projet'!$E$9:$E$18),O79+1,"STOP")</f>
        <v>47</v>
      </c>
      <c r="P80" s="194">
        <f t="shared" si="5"/>
        <v>0</v>
      </c>
      <c r="Q80" s="262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5">
      <c r="A81" s="206">
        <v>2</v>
      </c>
      <c r="B81" s="209" t="s">
        <v>132</v>
      </c>
      <c r="C81" s="208"/>
      <c r="D81" s="207" t="s">
        <v>132</v>
      </c>
      <c r="E81" s="203"/>
      <c r="F81" s="258"/>
      <c r="G81" s="217"/>
      <c r="H81" s="200"/>
      <c r="I81" s="201"/>
      <c r="J81" s="5"/>
      <c r="K81" s="180"/>
      <c r="L81" s="5"/>
      <c r="M81" s="5"/>
      <c r="N81" s="5"/>
      <c r="O81" s="204">
        <f>IF(O80+1&lt;=MIN('Données projet'!$E$9:$E$18),O80+1,"STOP")</f>
        <v>48</v>
      </c>
      <c r="P81" s="194">
        <f t="shared" si="5"/>
        <v>0</v>
      </c>
      <c r="Q81" s="262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5">
      <c r="A82" s="206">
        <v>3</v>
      </c>
      <c r="B82" s="209" t="s">
        <v>132</v>
      </c>
      <c r="C82" s="208"/>
      <c r="D82" s="207" t="s">
        <v>132</v>
      </c>
      <c r="E82" s="203"/>
      <c r="F82" s="258"/>
      <c r="G82" s="217"/>
      <c r="H82" s="200"/>
      <c r="I82" s="201"/>
      <c r="J82" s="5"/>
      <c r="K82" s="180"/>
      <c r="L82" s="5"/>
      <c r="M82" s="5"/>
      <c r="N82" s="5"/>
      <c r="O82" s="204">
        <f>IF(O81+1&lt;=MIN('Données projet'!$E$9:$E$18),O81+1,"STOP")</f>
        <v>49</v>
      </c>
      <c r="P82" s="194">
        <f t="shared" si="5"/>
        <v>0</v>
      </c>
      <c r="Q82" s="262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5">
      <c r="A83" s="206">
        <v>4</v>
      </c>
      <c r="B83" s="209" t="s">
        <v>132</v>
      </c>
      <c r="C83" s="208"/>
      <c r="D83" s="207" t="s">
        <v>132</v>
      </c>
      <c r="E83" s="203"/>
      <c r="F83" s="258"/>
      <c r="G83" s="217"/>
      <c r="H83" s="200"/>
      <c r="I83" s="201"/>
      <c r="J83" s="5"/>
      <c r="K83" s="180"/>
      <c r="L83" s="5"/>
      <c r="M83" s="5"/>
      <c r="N83" s="5"/>
      <c r="O83" s="204">
        <f>IF(O82+1&lt;=MIN('Données projet'!$E$9:$E$18),O82+1,"STOP")</f>
        <v>50</v>
      </c>
      <c r="P83" s="194">
        <f t="shared" si="5"/>
        <v>0</v>
      </c>
      <c r="Q83" s="262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5">
      <c r="A84" s="206">
        <v>5</v>
      </c>
      <c r="B84" s="209" t="s">
        <v>132</v>
      </c>
      <c r="C84" s="208"/>
      <c r="D84" s="207" t="s">
        <v>132</v>
      </c>
      <c r="E84" s="203"/>
      <c r="F84" s="258"/>
      <c r="G84" s="218"/>
      <c r="H84" s="200"/>
      <c r="I84" s="201"/>
      <c r="J84" s="5"/>
      <c r="K84" s="180"/>
      <c r="L84" s="5"/>
      <c r="M84" s="5"/>
      <c r="N84" s="5"/>
      <c r="O84" s="204">
        <f>IF(O83+1&lt;=MIN('Données projet'!$E$9:$E$18),O83+1,"STOP")</f>
        <v>51</v>
      </c>
      <c r="P84" s="194">
        <f t="shared" si="5"/>
        <v>0</v>
      </c>
      <c r="Q84" s="262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5">
      <c r="A85" s="189">
        <f>'Données projet'!A88</f>
        <v>10</v>
      </c>
      <c r="B85" s="190">
        <f>'Données projet'!D88</f>
        <v>0</v>
      </c>
      <c r="C85" s="201"/>
      <c r="D85" s="188">
        <f>B85*C85</f>
        <v>0</v>
      </c>
      <c r="E85" s="203"/>
      <c r="F85" s="259"/>
      <c r="G85" s="218"/>
      <c r="H85" s="200"/>
      <c r="I85" s="201"/>
      <c r="J85" s="5"/>
      <c r="K85" s="180"/>
      <c r="L85" s="5"/>
      <c r="M85" s="5"/>
      <c r="N85" s="5"/>
      <c r="O85" s="204">
        <f>IF(O84+1&lt;=MIN('Données projet'!$E$9:$E$18),O84+1,"STOP")</f>
        <v>52</v>
      </c>
      <c r="P85" s="194">
        <f t="shared" si="5"/>
        <v>0</v>
      </c>
      <c r="Q85" s="262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5">
      <c r="A86" s="189">
        <f>'Données projet'!A89</f>
        <v>15</v>
      </c>
      <c r="B86" s="190">
        <f>'Données projet'!D89</f>
        <v>0</v>
      </c>
      <c r="C86" s="201"/>
      <c r="D86" s="188">
        <f t="shared" ref="D86:D104" si="6">B86*C86</f>
        <v>0</v>
      </c>
      <c r="E86" s="203"/>
      <c r="F86" s="259"/>
      <c r="G86" s="218"/>
      <c r="H86" s="200"/>
      <c r="I86" s="201"/>
      <c r="J86" s="5"/>
      <c r="K86" s="180"/>
      <c r="L86" s="5"/>
      <c r="M86" s="5"/>
      <c r="N86" s="5"/>
      <c r="O86" s="204">
        <f>IF(O85+1&lt;=MIN('Données projet'!$E$9:$E$18),O85+1,"STOP")</f>
        <v>53</v>
      </c>
      <c r="P86" s="194">
        <f t="shared" si="5"/>
        <v>0</v>
      </c>
      <c r="Q86" s="262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5">
      <c r="A87" s="189">
        <f>'Données projet'!A90</f>
        <v>20</v>
      </c>
      <c r="B87" s="190">
        <f>'Données projet'!D90</f>
        <v>28.846153846153847</v>
      </c>
      <c r="C87" s="201">
        <v>10</v>
      </c>
      <c r="D87" s="188">
        <f t="shared" si="6"/>
        <v>288.46153846153845</v>
      </c>
      <c r="E87" s="203"/>
      <c r="F87" s="259"/>
      <c r="G87" s="218"/>
      <c r="H87" s="200"/>
      <c r="I87" s="201"/>
      <c r="J87" s="5"/>
      <c r="K87" s="180"/>
      <c r="L87" s="5"/>
      <c r="M87" s="5"/>
      <c r="N87" s="5"/>
      <c r="O87" s="204">
        <f>IF(O86+1&lt;=MIN('Données projet'!$E$9:$E$18),O86+1,"STOP")</f>
        <v>54</v>
      </c>
      <c r="P87" s="194">
        <f t="shared" si="5"/>
        <v>0</v>
      </c>
      <c r="Q87" s="262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5">
      <c r="A88" s="189">
        <f>'Données projet'!A91</f>
        <v>25</v>
      </c>
      <c r="B88" s="190">
        <f>'Données projet'!D91</f>
        <v>0</v>
      </c>
      <c r="C88" s="203"/>
      <c r="D88" s="188">
        <f t="shared" si="6"/>
        <v>0</v>
      </c>
      <c r="E88" s="203"/>
      <c r="F88" s="259"/>
      <c r="G88" s="218"/>
      <c r="H88" s="200"/>
      <c r="I88" s="201"/>
      <c r="J88" s="5"/>
      <c r="K88" s="180"/>
      <c r="L88" s="5"/>
      <c r="M88" s="5"/>
      <c r="N88" s="5"/>
      <c r="O88" s="204">
        <f>IF(O87+1&lt;=MIN('Données projet'!$E$9:$E$18),O87+1,"STOP")</f>
        <v>55</v>
      </c>
      <c r="P88" s="194">
        <f t="shared" si="5"/>
        <v>0</v>
      </c>
      <c r="Q88" s="262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5">
      <c r="A89" s="189">
        <f>'Données projet'!A92</f>
        <v>30</v>
      </c>
      <c r="B89" s="190">
        <f>'Données projet'!D92</f>
        <v>33.974358974358971</v>
      </c>
      <c r="C89" s="203">
        <v>10</v>
      </c>
      <c r="D89" s="188">
        <f t="shared" si="6"/>
        <v>339.74358974358972</v>
      </c>
      <c r="E89" s="203"/>
      <c r="F89" s="259"/>
      <c r="G89" s="218"/>
      <c r="H89" s="200"/>
      <c r="I89" s="201"/>
      <c r="J89" s="5"/>
      <c r="K89" s="180"/>
      <c r="L89" s="5"/>
      <c r="M89" s="5"/>
      <c r="N89" s="5"/>
      <c r="O89" s="204">
        <f>IF(O88+1&lt;=MIN('Données projet'!$E$9:$E$18),O88+1,"STOP")</f>
        <v>56</v>
      </c>
      <c r="P89" s="194">
        <f t="shared" si="5"/>
        <v>0</v>
      </c>
      <c r="Q89" s="262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5">
      <c r="A90" s="189">
        <f>'Données projet'!A93</f>
        <v>35</v>
      </c>
      <c r="B90" s="190">
        <f>'Données projet'!D93</f>
        <v>0</v>
      </c>
      <c r="C90" s="203"/>
      <c r="D90" s="188">
        <f t="shared" si="6"/>
        <v>0</v>
      </c>
      <c r="E90" s="203"/>
      <c r="F90" s="259"/>
      <c r="G90" s="218"/>
      <c r="H90" s="200"/>
      <c r="I90" s="201"/>
      <c r="J90" s="5"/>
      <c r="K90" s="180"/>
      <c r="L90" s="5"/>
      <c r="M90" s="5"/>
      <c r="N90" s="5"/>
      <c r="O90" s="204">
        <f>IF(O89+1&lt;=MIN('Données projet'!$E$9:$E$18),O89+1,"STOP")</f>
        <v>57</v>
      </c>
      <c r="P90" s="194">
        <f t="shared" si="5"/>
        <v>0</v>
      </c>
      <c r="Q90" s="262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5">
      <c r="A91" s="189">
        <f>'Données projet'!A94</f>
        <v>40</v>
      </c>
      <c r="B91" s="190">
        <f>'Données projet'!D94</f>
        <v>37.179487179487175</v>
      </c>
      <c r="C91" s="203">
        <v>15</v>
      </c>
      <c r="D91" s="188">
        <f t="shared" si="6"/>
        <v>557.69230769230762</v>
      </c>
      <c r="E91" s="203"/>
      <c r="F91" s="259"/>
      <c r="G91" s="219"/>
      <c r="H91" s="200"/>
      <c r="I91" s="201"/>
      <c r="J91" s="5"/>
      <c r="K91" s="180"/>
      <c r="L91" s="5"/>
      <c r="M91" s="5"/>
      <c r="N91" s="5"/>
      <c r="O91" s="204">
        <f>IF(O90+1&lt;=MIN('Données projet'!$E$9:$E$18),O90+1,"STOP")</f>
        <v>58</v>
      </c>
      <c r="P91" s="194">
        <f t="shared" si="5"/>
        <v>0</v>
      </c>
      <c r="Q91" s="262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5">
      <c r="A92" s="189">
        <f>'Données projet'!A95</f>
        <v>45</v>
      </c>
      <c r="B92" s="190">
        <f>'Données projet'!D95</f>
        <v>0</v>
      </c>
      <c r="C92" s="203"/>
      <c r="D92" s="188">
        <f t="shared" si="6"/>
        <v>0</v>
      </c>
      <c r="E92" s="203"/>
      <c r="F92" s="259"/>
      <c r="G92" s="219"/>
      <c r="H92" s="200"/>
      <c r="I92" s="201"/>
      <c r="J92" s="5"/>
      <c r="K92" s="180"/>
      <c r="L92" s="5"/>
      <c r="M92" s="5"/>
      <c r="N92" s="5"/>
      <c r="O92" s="204">
        <f>IF(O91+1&lt;=MIN('Données projet'!$E$9:$E$18),O91+1,"STOP")</f>
        <v>59</v>
      </c>
      <c r="P92" s="194">
        <f t="shared" si="5"/>
        <v>0</v>
      </c>
      <c r="Q92" s="262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5">
      <c r="A93" s="189">
        <f>'Données projet'!A96</f>
        <v>50</v>
      </c>
      <c r="B93" s="190">
        <f>'Données projet'!D96</f>
        <v>37.179487179487175</v>
      </c>
      <c r="C93" s="203">
        <v>15</v>
      </c>
      <c r="D93" s="188">
        <f t="shared" si="6"/>
        <v>557.69230769230762</v>
      </c>
      <c r="E93" s="203"/>
      <c r="F93" s="259"/>
      <c r="G93" s="219"/>
      <c r="H93" s="200"/>
      <c r="I93" s="201"/>
      <c r="J93" s="5"/>
      <c r="K93" s="180"/>
      <c r="L93" s="5"/>
      <c r="M93" s="5"/>
      <c r="N93" s="5"/>
      <c r="O93" s="204">
        <f>IF(O92+1&lt;=MIN('Données projet'!$E$9:$E$18),O92+1,"STOP")</f>
        <v>60</v>
      </c>
      <c r="P93" s="194">
        <f t="shared" si="5"/>
        <v>0</v>
      </c>
      <c r="Q93" s="262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5">
      <c r="A94" s="189">
        <f>'Données projet'!A97</f>
        <v>55</v>
      </c>
      <c r="B94" s="190">
        <f>'Données projet'!D97</f>
        <v>0</v>
      </c>
      <c r="C94" s="203"/>
      <c r="D94" s="188">
        <f t="shared" si="6"/>
        <v>0</v>
      </c>
      <c r="E94" s="203"/>
      <c r="F94" s="259"/>
      <c r="G94" s="219"/>
      <c r="H94" s="200"/>
      <c r="I94" s="201"/>
      <c r="J94" s="5"/>
      <c r="K94" s="180"/>
      <c r="L94" s="5"/>
      <c r="M94" s="5"/>
      <c r="N94" s="5"/>
      <c r="O94" s="204">
        <f>IF(O93+1&lt;=MIN('Données projet'!$E$9:$E$18),O93+1,"STOP")</f>
        <v>61</v>
      </c>
      <c r="P94" s="194">
        <f t="shared" si="5"/>
        <v>0</v>
      </c>
      <c r="Q94" s="262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5">
      <c r="A95" s="189">
        <f>'Données projet'!A98</f>
        <v>60</v>
      </c>
      <c r="B95" s="190">
        <f>'Données projet'!D98</f>
        <v>35.256410256410255</v>
      </c>
      <c r="C95" s="203">
        <v>15</v>
      </c>
      <c r="D95" s="188">
        <f t="shared" si="6"/>
        <v>528.84615384615381</v>
      </c>
      <c r="E95" s="203"/>
      <c r="F95" s="259"/>
      <c r="G95" s="219"/>
      <c r="H95" s="200"/>
      <c r="I95" s="201"/>
      <c r="J95" s="5"/>
      <c r="K95" s="180"/>
      <c r="L95" s="5"/>
      <c r="M95" s="5"/>
      <c r="N95" s="5"/>
      <c r="O95" s="204">
        <f>IF(O94+1&lt;=MIN('Données projet'!$E$9:$E$18),O94+1,"STOP")</f>
        <v>62</v>
      </c>
      <c r="P95" s="194">
        <f t="shared" si="5"/>
        <v>0</v>
      </c>
      <c r="Q95" s="262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5">
      <c r="A96" s="189">
        <f>'Données projet'!A99</f>
        <v>65</v>
      </c>
      <c r="B96" s="190">
        <f>'Données projet'!D99</f>
        <v>0</v>
      </c>
      <c r="C96" s="203"/>
      <c r="D96" s="188">
        <f t="shared" si="6"/>
        <v>0</v>
      </c>
      <c r="E96" s="203"/>
      <c r="F96" s="259"/>
      <c r="G96" s="219"/>
      <c r="H96" s="200"/>
      <c r="I96" s="201"/>
      <c r="J96" s="5"/>
      <c r="K96" s="180"/>
      <c r="L96" s="5"/>
      <c r="M96" s="5"/>
      <c r="N96" s="5"/>
      <c r="O96" s="204">
        <f>IF(O95+1&lt;=MIN('Données projet'!$E$9:$E$18),O95+1,"STOP")</f>
        <v>63</v>
      </c>
      <c r="P96" s="194">
        <f t="shared" si="5"/>
        <v>0</v>
      </c>
      <c r="Q96" s="262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5">
      <c r="A97" s="189">
        <f>'Données projet'!A100</f>
        <v>70</v>
      </c>
      <c r="B97" s="190">
        <f>'Données projet'!D100</f>
        <v>33.974358974358971</v>
      </c>
      <c r="C97" s="203">
        <v>20</v>
      </c>
      <c r="D97" s="188">
        <f t="shared" si="6"/>
        <v>679.48717948717945</v>
      </c>
      <c r="E97" s="203"/>
      <c r="F97" s="259"/>
      <c r="G97" s="219"/>
      <c r="H97" s="200"/>
      <c r="I97" s="201"/>
      <c r="J97" s="5"/>
      <c r="K97" s="180"/>
      <c r="L97" s="5"/>
      <c r="M97" s="5"/>
      <c r="N97" s="5"/>
      <c r="O97" s="204">
        <f>IF(O96+1&lt;=MIN('Données projet'!$E$9:$E$18),O96+1,"STOP")</f>
        <v>64</v>
      </c>
      <c r="P97" s="194">
        <f t="shared" ref="P97:P128" si="7">$P$25/(1+$M$4)^O97</f>
        <v>0</v>
      </c>
      <c r="Q97" s="262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5">
      <c r="A98" s="189">
        <f>'Données projet'!A101</f>
        <v>75</v>
      </c>
      <c r="B98" s="190">
        <f>'Données projet'!D101</f>
        <v>0</v>
      </c>
      <c r="C98" s="203"/>
      <c r="D98" s="188">
        <f t="shared" si="6"/>
        <v>0</v>
      </c>
      <c r="E98" s="203"/>
      <c r="F98" s="259"/>
      <c r="G98" s="219"/>
      <c r="H98" s="200"/>
      <c r="I98" s="201"/>
      <c r="J98" s="5"/>
      <c r="K98" s="180"/>
      <c r="L98" s="5"/>
      <c r="M98" s="5"/>
      <c r="N98" s="5"/>
      <c r="O98" s="204">
        <f>IF(O97+1&lt;=MIN('Données projet'!$E$9:$E$18),O97+1,"STOP")</f>
        <v>65</v>
      </c>
      <c r="P98" s="194">
        <f t="shared" si="7"/>
        <v>0</v>
      </c>
      <c r="Q98" s="262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5">
      <c r="A99" s="189">
        <f>'Données projet'!A102</f>
        <v>80</v>
      </c>
      <c r="B99" s="190">
        <f>'Données projet'!D102</f>
        <v>31.410256410256409</v>
      </c>
      <c r="C99" s="203">
        <v>25</v>
      </c>
      <c r="D99" s="188">
        <f t="shared" si="6"/>
        <v>785.25641025641016</v>
      </c>
      <c r="E99" s="203"/>
      <c r="F99" s="259"/>
      <c r="G99" s="219"/>
      <c r="H99" s="200"/>
      <c r="I99" s="201"/>
      <c r="J99" s="5"/>
      <c r="K99" s="180"/>
      <c r="L99" s="5"/>
      <c r="M99" s="5"/>
      <c r="N99" s="5"/>
      <c r="O99" s="204">
        <f>IF(O98+1&lt;=MIN('Données projet'!$E$9:$E$18),O98+1,"STOP")</f>
        <v>66</v>
      </c>
      <c r="P99" s="194">
        <f t="shared" si="7"/>
        <v>0</v>
      </c>
      <c r="Q99" s="262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5">
      <c r="A100" s="189">
        <f>'Données projet'!A103</f>
        <v>85</v>
      </c>
      <c r="B100" s="190">
        <f>'Données projet'!D103</f>
        <v>0</v>
      </c>
      <c r="C100" s="203"/>
      <c r="D100" s="188">
        <f t="shared" si="6"/>
        <v>0</v>
      </c>
      <c r="E100" s="203"/>
      <c r="F100" s="259"/>
      <c r="G100" s="219"/>
      <c r="H100" s="200"/>
      <c r="I100" s="201"/>
      <c r="J100" s="5"/>
      <c r="K100" s="180"/>
      <c r="L100" s="5"/>
      <c r="M100" s="5"/>
      <c r="N100" s="5"/>
      <c r="O100" s="204">
        <f>IF(O99+1&lt;=MIN('Données projet'!$E$9:$E$18),O99+1,"STOP")</f>
        <v>67</v>
      </c>
      <c r="P100" s="194">
        <f t="shared" si="7"/>
        <v>0</v>
      </c>
      <c r="Q100" s="262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5">
      <c r="A101" s="189">
        <f>'Données projet'!A104</f>
        <v>90</v>
      </c>
      <c r="B101" s="190">
        <f>'Données projet'!D104</f>
        <v>30.128205128205128</v>
      </c>
      <c r="C101" s="203">
        <v>30</v>
      </c>
      <c r="D101" s="188">
        <f t="shared" si="6"/>
        <v>903.84615384615381</v>
      </c>
      <c r="E101" s="203"/>
      <c r="F101" s="259"/>
      <c r="G101" s="219"/>
      <c r="H101" s="200"/>
      <c r="I101" s="201"/>
      <c r="J101" s="5"/>
      <c r="K101" s="180"/>
      <c r="L101" s="5"/>
      <c r="M101" s="5"/>
      <c r="N101" s="5"/>
      <c r="O101" s="204">
        <f>IF(O100+1&lt;=MIN('Données projet'!$E$9:$E$18),O100+1,"STOP")</f>
        <v>68</v>
      </c>
      <c r="P101" s="194">
        <f t="shared" si="7"/>
        <v>0</v>
      </c>
      <c r="Q101" s="262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5">
      <c r="A102" s="189">
        <f>'Données projet'!A105</f>
        <v>100</v>
      </c>
      <c r="B102" s="190">
        <f>'Données projet'!D105</f>
        <v>28.205128205128204</v>
      </c>
      <c r="C102" s="203">
        <v>35</v>
      </c>
      <c r="D102" s="188">
        <f t="shared" si="6"/>
        <v>987.17948717948718</v>
      </c>
      <c r="E102" s="203"/>
      <c r="F102" s="259"/>
      <c r="G102" s="219"/>
      <c r="H102" s="200"/>
      <c r="I102" s="201"/>
      <c r="J102" s="5"/>
      <c r="K102" s="180"/>
      <c r="L102" s="5"/>
      <c r="M102" s="5"/>
      <c r="N102" s="5"/>
      <c r="O102" s="204">
        <f>IF(O101+1&lt;=MIN('Données projet'!$E$9:$E$18),O101+1,"STOP")</f>
        <v>69</v>
      </c>
      <c r="P102" s="194">
        <f t="shared" si="7"/>
        <v>0</v>
      </c>
      <c r="Q102" s="262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5">
      <c r="A103" s="189">
        <f>'Données projet'!A106</f>
        <v>110</v>
      </c>
      <c r="B103" s="190">
        <f>'Données projet'!D106</f>
        <v>26.282051282051281</v>
      </c>
      <c r="C103" s="203">
        <v>40</v>
      </c>
      <c r="D103" s="188">
        <f t="shared" si="6"/>
        <v>1051.2820512820513</v>
      </c>
      <c r="E103" s="203"/>
      <c r="F103" s="259"/>
      <c r="G103" s="219"/>
      <c r="H103" s="200"/>
      <c r="I103" s="201"/>
      <c r="J103" s="5"/>
      <c r="K103" s="180"/>
      <c r="L103" s="5"/>
      <c r="M103" s="5"/>
      <c r="N103" s="5"/>
      <c r="O103" s="204">
        <f>IF(O102+1&lt;=MIN('Données projet'!$E$9:$E$18),O102+1,"STOP")</f>
        <v>70</v>
      </c>
      <c r="P103" s="194">
        <f t="shared" si="7"/>
        <v>0</v>
      </c>
      <c r="Q103" s="262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5">
      <c r="A104" s="189">
        <f>'Données projet'!A107</f>
        <v>120</v>
      </c>
      <c r="B104" s="190">
        <f>'Données projet'!D107</f>
        <v>300.64102564102564</v>
      </c>
      <c r="C104" s="203">
        <v>50</v>
      </c>
      <c r="D104" s="188">
        <f t="shared" si="6"/>
        <v>15032.051282051281</v>
      </c>
      <c r="E104" s="203"/>
      <c r="F104" s="259"/>
      <c r="G104" s="219"/>
      <c r="H104" s="200"/>
      <c r="I104" s="201"/>
      <c r="J104" s="5"/>
      <c r="K104" s="180"/>
      <c r="L104" s="5"/>
      <c r="M104" s="5"/>
      <c r="N104" s="5"/>
      <c r="O104" s="204">
        <f>IF(O103+1&lt;=MIN('Données projet'!$E$9:$E$18),O103+1,"STOP")</f>
        <v>71</v>
      </c>
      <c r="P104" s="194">
        <f t="shared" si="7"/>
        <v>0</v>
      </c>
      <c r="Q104" s="262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5">
      <c r="A105" s="5"/>
      <c r="B105" s="5"/>
      <c r="C105" s="5"/>
      <c r="D105" s="5"/>
      <c r="E105" s="5"/>
      <c r="F105" s="257"/>
      <c r="G105" s="219"/>
      <c r="H105" s="200"/>
      <c r="I105" s="201"/>
      <c r="J105" s="5"/>
      <c r="K105" s="180"/>
      <c r="L105" s="5"/>
      <c r="M105" s="5"/>
      <c r="N105" s="5"/>
      <c r="O105" s="204">
        <f>IF(O104+1&lt;=MIN('Données projet'!$E$9:$E$18),O104+1,"STOP")</f>
        <v>72</v>
      </c>
      <c r="P105" s="194">
        <f t="shared" si="7"/>
        <v>0</v>
      </c>
      <c r="Q105" s="262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5">
      <c r="A106" s="5"/>
      <c r="B106" s="5"/>
      <c r="C106" s="5"/>
      <c r="D106" s="5"/>
      <c r="E106" s="5"/>
      <c r="F106" s="257"/>
      <c r="G106" s="219"/>
      <c r="H106" s="200"/>
      <c r="I106" s="201"/>
      <c r="J106" s="5"/>
      <c r="K106" s="180"/>
      <c r="L106" s="5"/>
      <c r="M106" s="5"/>
      <c r="N106" s="5"/>
      <c r="O106" s="204">
        <f>IF(O105+1&lt;=MIN('Données projet'!$E$9:$E$18),O105+1,"STOP")</f>
        <v>73</v>
      </c>
      <c r="P106" s="194">
        <f t="shared" si="7"/>
        <v>0</v>
      </c>
      <c r="Q106" s="262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5">
      <c r="A107" s="49" t="s">
        <v>168</v>
      </c>
      <c r="B107" s="183" t="str">
        <f>IF('Données projet'!B12="","",'Données projet'!B12)</f>
        <v>Aulne à feuilles en cœur</v>
      </c>
      <c r="C107" s="5"/>
      <c r="D107" s="5"/>
      <c r="E107" s="5"/>
      <c r="F107" s="257"/>
      <c r="G107" s="219"/>
      <c r="H107" s="200"/>
      <c r="I107" s="201"/>
      <c r="J107" s="5"/>
      <c r="K107" s="180"/>
      <c r="L107" s="5"/>
      <c r="M107" s="5"/>
      <c r="N107" s="5"/>
      <c r="O107" s="204">
        <f>IF(O106+1&lt;=MIN('Données projet'!$E$9:$E$18),O106+1,"STOP")</f>
        <v>74</v>
      </c>
      <c r="P107" s="194">
        <f t="shared" si="7"/>
        <v>0</v>
      </c>
      <c r="Q107" s="262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5">
      <c r="A108" s="5"/>
      <c r="B108" s="5"/>
      <c r="C108" s="5"/>
      <c r="D108" s="5"/>
      <c r="E108" s="5"/>
      <c r="F108" s="257"/>
      <c r="G108" s="219"/>
      <c r="H108" s="200"/>
      <c r="I108" s="201"/>
      <c r="J108" s="5"/>
      <c r="K108" s="180"/>
      <c r="L108" s="5"/>
      <c r="M108" s="5"/>
      <c r="N108" s="5"/>
      <c r="O108" s="204">
        <f>IF(O107+1&lt;=MIN('Données projet'!$E$9:$E$18),O107+1,"STOP")</f>
        <v>75</v>
      </c>
      <c r="P108" s="194">
        <f t="shared" si="7"/>
        <v>0</v>
      </c>
      <c r="Q108" s="262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5">
      <c r="A109" s="253" t="s">
        <v>180</v>
      </c>
      <c r="B109" s="51" t="s">
        <v>256</v>
      </c>
      <c r="C109" s="51" t="s">
        <v>255</v>
      </c>
      <c r="D109" s="253" t="s">
        <v>252</v>
      </c>
      <c r="E109" s="253" t="s">
        <v>320</v>
      </c>
      <c r="F109" s="258"/>
      <c r="G109" s="219"/>
      <c r="H109" s="200"/>
      <c r="I109" s="201"/>
      <c r="J109" s="5"/>
      <c r="K109" s="180"/>
      <c r="L109" s="5"/>
      <c r="M109" s="5"/>
      <c r="N109" s="5"/>
      <c r="O109" s="204">
        <f>IF(O108+1&lt;=MIN('Données projet'!$E$9:$E$18),O108+1,"STOP")</f>
        <v>76</v>
      </c>
      <c r="P109" s="194">
        <f t="shared" si="7"/>
        <v>0</v>
      </c>
      <c r="Q109" s="262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5">
      <c r="A110" s="206">
        <v>0</v>
      </c>
      <c r="B110" s="209" t="s">
        <v>132</v>
      </c>
      <c r="C110" s="208"/>
      <c r="D110" s="207" t="s">
        <v>132</v>
      </c>
      <c r="E110" s="203"/>
      <c r="F110" s="258"/>
      <c r="G110" s="219"/>
      <c r="H110" s="200"/>
      <c r="I110" s="201"/>
      <c r="J110" s="5"/>
      <c r="K110" s="180"/>
      <c r="L110" s="5"/>
      <c r="M110" s="5"/>
      <c r="N110" s="5"/>
      <c r="O110" s="204">
        <f>IF(O109+1&lt;=MIN('Données projet'!$E$9:$E$18),O109+1,"STOP")</f>
        <v>77</v>
      </c>
      <c r="P110" s="194">
        <f t="shared" si="7"/>
        <v>0</v>
      </c>
      <c r="Q110" s="262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5">
      <c r="A111" s="206">
        <v>1</v>
      </c>
      <c r="B111" s="209" t="s">
        <v>132</v>
      </c>
      <c r="C111" s="208"/>
      <c r="D111" s="207" t="s">
        <v>132</v>
      </c>
      <c r="E111" s="203"/>
      <c r="F111" s="258"/>
      <c r="G111" s="217"/>
      <c r="H111" s="200"/>
      <c r="I111" s="201"/>
      <c r="J111" s="5"/>
      <c r="K111" s="180"/>
      <c r="L111" s="5"/>
      <c r="M111" s="5"/>
      <c r="N111" s="5"/>
      <c r="O111" s="204">
        <f>IF(O110+1&lt;=MIN('Données projet'!$E$9:$E$18),O110+1,"STOP")</f>
        <v>78</v>
      </c>
      <c r="P111" s="194">
        <f t="shared" si="7"/>
        <v>0</v>
      </c>
      <c r="Q111" s="262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5">
      <c r="A112" s="206">
        <v>2</v>
      </c>
      <c r="B112" s="209" t="s">
        <v>132</v>
      </c>
      <c r="C112" s="208"/>
      <c r="D112" s="207" t="s">
        <v>132</v>
      </c>
      <c r="E112" s="203"/>
      <c r="F112" s="258"/>
      <c r="G112" s="217"/>
      <c r="H112" s="200"/>
      <c r="I112" s="201"/>
      <c r="J112" s="5"/>
      <c r="K112" s="180"/>
      <c r="L112" s="5"/>
      <c r="M112" s="5"/>
      <c r="N112" s="5"/>
      <c r="O112" s="204">
        <f>IF(O111+1&lt;=MIN('Données projet'!$E$9:$E$18),O111+1,"STOP")</f>
        <v>79</v>
      </c>
      <c r="P112" s="194">
        <f t="shared" si="7"/>
        <v>0</v>
      </c>
      <c r="Q112" s="262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5">
      <c r="A113" s="206">
        <v>3</v>
      </c>
      <c r="B113" s="209" t="s">
        <v>132</v>
      </c>
      <c r="C113" s="208"/>
      <c r="D113" s="207" t="s">
        <v>132</v>
      </c>
      <c r="E113" s="203"/>
      <c r="F113" s="258"/>
      <c r="G113" s="217"/>
      <c r="H113" s="200"/>
      <c r="I113" s="201"/>
      <c r="J113" s="5"/>
      <c r="K113" s="180"/>
      <c r="L113" s="5"/>
      <c r="M113" s="5"/>
      <c r="N113" s="5"/>
      <c r="O113" s="204">
        <f>IF(O112+1&lt;=MIN('Données projet'!$E$9:$E$18),O112+1,"STOP")</f>
        <v>80</v>
      </c>
      <c r="P113" s="194">
        <f t="shared" si="7"/>
        <v>0</v>
      </c>
      <c r="Q113" s="262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5">
      <c r="A114" s="206">
        <v>4</v>
      </c>
      <c r="B114" s="209" t="s">
        <v>132</v>
      </c>
      <c r="C114" s="208"/>
      <c r="D114" s="207" t="s">
        <v>132</v>
      </c>
      <c r="E114" s="203"/>
      <c r="F114" s="258"/>
      <c r="G114" s="217"/>
      <c r="H114" s="200"/>
      <c r="I114" s="201"/>
      <c r="J114" s="5"/>
      <c r="K114" s="180"/>
      <c r="L114" s="5"/>
      <c r="M114" s="5"/>
      <c r="N114" s="5"/>
      <c r="O114" s="204">
        <f>IF(O113+1&lt;=MIN('Données projet'!$E$9:$E$18),O113+1,"STOP")</f>
        <v>81</v>
      </c>
      <c r="P114" s="194">
        <f t="shared" si="7"/>
        <v>0</v>
      </c>
      <c r="Q114" s="262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5">
      <c r="A115" s="206">
        <v>5</v>
      </c>
      <c r="B115" s="209" t="s">
        <v>132</v>
      </c>
      <c r="C115" s="208"/>
      <c r="D115" s="207" t="s">
        <v>132</v>
      </c>
      <c r="E115" s="203"/>
      <c r="F115" s="258"/>
      <c r="G115" s="218"/>
      <c r="H115" s="200"/>
      <c r="I115" s="201"/>
      <c r="J115" s="5"/>
      <c r="K115" s="180"/>
      <c r="L115" s="5"/>
      <c r="M115" s="5"/>
      <c r="N115" s="5"/>
      <c r="O115" s="204">
        <f>IF(O114+1&lt;=MIN('Données projet'!$E$9:$E$18),O114+1,"STOP")</f>
        <v>82</v>
      </c>
      <c r="P115" s="194">
        <f t="shared" si="7"/>
        <v>0</v>
      </c>
      <c r="Q115" s="262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5">
      <c r="A116" s="189">
        <f>'Données projet'!A114</f>
        <v>10</v>
      </c>
      <c r="B116" s="190">
        <f>'Données projet'!D114</f>
        <v>0</v>
      </c>
      <c r="C116" s="201"/>
      <c r="D116" s="188">
        <f>B116*C116</f>
        <v>0</v>
      </c>
      <c r="E116" s="203"/>
      <c r="F116" s="259"/>
      <c r="G116" s="218"/>
      <c r="H116" s="200"/>
      <c r="I116" s="201"/>
      <c r="J116" s="5"/>
      <c r="K116" s="180"/>
      <c r="L116" s="5"/>
      <c r="M116" s="5"/>
      <c r="N116" s="5"/>
      <c r="O116" s="204">
        <f>IF(O115+1&lt;=MIN('Données projet'!$E$9:$E$18),O115+1,"STOP")</f>
        <v>83</v>
      </c>
      <c r="P116" s="194">
        <f t="shared" si="7"/>
        <v>0</v>
      </c>
      <c r="Q116" s="262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5">
      <c r="A117" s="189">
        <f>'Données projet'!A115</f>
        <v>15</v>
      </c>
      <c r="B117" s="190">
        <f>'Données projet'!D115</f>
        <v>0</v>
      </c>
      <c r="C117" s="201"/>
      <c r="D117" s="188">
        <f t="shared" ref="D117:D135" si="8">B117*C117</f>
        <v>0</v>
      </c>
      <c r="E117" s="203"/>
      <c r="F117" s="259"/>
      <c r="G117" s="218"/>
      <c r="H117" s="200"/>
      <c r="I117" s="201"/>
      <c r="J117" s="5"/>
      <c r="K117" s="180"/>
      <c r="L117" s="5"/>
      <c r="M117" s="5"/>
      <c r="N117" s="5"/>
      <c r="O117" s="204">
        <f>IF(O116+1&lt;=MIN('Données projet'!$E$9:$E$18),O116+1,"STOP")</f>
        <v>84</v>
      </c>
      <c r="P117" s="194">
        <f t="shared" si="7"/>
        <v>0</v>
      </c>
      <c r="Q117" s="262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5">
      <c r="A118" s="189">
        <f>'Données projet'!A116</f>
        <v>20</v>
      </c>
      <c r="B118" s="190">
        <f>'Données projet'!D116</f>
        <v>15</v>
      </c>
      <c r="C118" s="203">
        <v>5</v>
      </c>
      <c r="D118" s="188">
        <f t="shared" si="8"/>
        <v>75</v>
      </c>
      <c r="E118" s="203"/>
      <c r="F118" s="259"/>
      <c r="G118" s="218"/>
      <c r="H118" s="200"/>
      <c r="I118" s="201"/>
      <c r="J118" s="5"/>
      <c r="K118" s="180"/>
      <c r="L118" s="5"/>
      <c r="M118" s="5"/>
      <c r="N118" s="5"/>
      <c r="O118" s="204">
        <f>IF(O117+1&lt;=MIN('Données projet'!$E$9:$E$18),O117+1,"STOP")</f>
        <v>85</v>
      </c>
      <c r="P118" s="194">
        <f t="shared" si="7"/>
        <v>0</v>
      </c>
      <c r="Q118" s="262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5">
      <c r="A119" s="189">
        <f>'Données projet'!A117</f>
        <v>25</v>
      </c>
      <c r="B119" s="190">
        <f>'Données projet'!D117</f>
        <v>0</v>
      </c>
      <c r="C119" s="203"/>
      <c r="D119" s="188">
        <f t="shared" si="8"/>
        <v>0</v>
      </c>
      <c r="E119" s="203"/>
      <c r="F119" s="259"/>
      <c r="G119" s="218"/>
      <c r="H119" s="200"/>
      <c r="I119" s="201"/>
      <c r="J119" s="5"/>
      <c r="K119" s="180"/>
      <c r="L119" s="5"/>
      <c r="M119" s="5"/>
      <c r="N119" s="5"/>
      <c r="O119" s="204">
        <f>IF(O118+1&lt;=MIN('Données projet'!$E$9:$E$18),O118+1,"STOP")</f>
        <v>86</v>
      </c>
      <c r="P119" s="194">
        <f t="shared" si="7"/>
        <v>0</v>
      </c>
      <c r="Q119" s="262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5">
      <c r="A120" s="189">
        <f>'Données projet'!A118</f>
        <v>30</v>
      </c>
      <c r="B120" s="190">
        <f>'Données projet'!D118</f>
        <v>44</v>
      </c>
      <c r="C120" s="203">
        <v>10</v>
      </c>
      <c r="D120" s="188">
        <f t="shared" si="8"/>
        <v>440</v>
      </c>
      <c r="E120" s="203"/>
      <c r="F120" s="259"/>
      <c r="G120" s="218"/>
      <c r="H120" s="200"/>
      <c r="I120" s="201"/>
      <c r="J120" s="5"/>
      <c r="K120" s="180"/>
      <c r="L120" s="5"/>
      <c r="M120" s="5"/>
      <c r="N120" s="5"/>
      <c r="O120" s="204">
        <f>IF(O119+1&lt;=MIN('Données projet'!$E$9:$E$18),O119+1,"STOP")</f>
        <v>87</v>
      </c>
      <c r="P120" s="194">
        <f t="shared" si="7"/>
        <v>0</v>
      </c>
      <c r="Q120" s="262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5">
      <c r="A121" s="189">
        <f>'Données projet'!A119</f>
        <v>35</v>
      </c>
      <c r="B121" s="190">
        <f>'Données projet'!D119</f>
        <v>0</v>
      </c>
      <c r="C121" s="203"/>
      <c r="D121" s="188">
        <f t="shared" si="8"/>
        <v>0</v>
      </c>
      <c r="E121" s="203"/>
      <c r="F121" s="259"/>
      <c r="G121" s="218"/>
      <c r="H121" s="200"/>
      <c r="I121" s="201"/>
      <c r="J121" s="5"/>
      <c r="K121" s="180"/>
      <c r="L121" s="5"/>
      <c r="M121" s="5"/>
      <c r="N121" s="5"/>
      <c r="O121" s="204">
        <f>IF(O120+1&lt;=MIN('Données projet'!$E$9:$E$18),O120+1,"STOP")</f>
        <v>88</v>
      </c>
      <c r="P121" s="194">
        <f t="shared" si="7"/>
        <v>0</v>
      </c>
      <c r="Q121" s="262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5">
      <c r="A122" s="189">
        <f>'Données projet'!A120</f>
        <v>40</v>
      </c>
      <c r="B122" s="190">
        <f>'Données projet'!D120</f>
        <v>50</v>
      </c>
      <c r="C122" s="203">
        <v>10</v>
      </c>
      <c r="D122" s="188">
        <f t="shared" si="8"/>
        <v>500</v>
      </c>
      <c r="E122" s="203"/>
      <c r="F122" s="259"/>
      <c r="G122" s="219"/>
      <c r="H122" s="200"/>
      <c r="I122" s="201"/>
      <c r="J122" s="5"/>
      <c r="K122" s="180"/>
      <c r="L122" s="5"/>
      <c r="M122" s="5"/>
      <c r="N122" s="5"/>
      <c r="O122" s="204">
        <f>IF(O121+1&lt;=MIN('Données projet'!$E$9:$E$18),O121+1,"STOP")</f>
        <v>89</v>
      </c>
      <c r="P122" s="194">
        <f t="shared" si="7"/>
        <v>0</v>
      </c>
      <c r="Q122" s="262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5">
      <c r="A123" s="189">
        <f>'Données projet'!A121</f>
        <v>45</v>
      </c>
      <c r="B123" s="190">
        <f>'Données projet'!D121</f>
        <v>0</v>
      </c>
      <c r="C123" s="203"/>
      <c r="D123" s="188">
        <f t="shared" si="8"/>
        <v>0</v>
      </c>
      <c r="E123" s="203"/>
      <c r="F123" s="259"/>
      <c r="G123" s="219"/>
      <c r="H123" s="200"/>
      <c r="I123" s="201"/>
      <c r="J123" s="5"/>
      <c r="K123" s="180"/>
      <c r="L123" s="5"/>
      <c r="M123" s="5"/>
      <c r="N123" s="5"/>
      <c r="O123" s="204">
        <f>IF(O122+1&lt;=MIN('Données projet'!$E$9:$E$18),O122+1,"STOP")</f>
        <v>90</v>
      </c>
      <c r="P123" s="194">
        <f t="shared" si="7"/>
        <v>0</v>
      </c>
      <c r="Q123" s="262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5">
      <c r="A124" s="189">
        <f>'Données projet'!A122</f>
        <v>50</v>
      </c>
      <c r="B124" s="190">
        <f>'Données projet'!D122</f>
        <v>43</v>
      </c>
      <c r="C124" s="203">
        <v>15</v>
      </c>
      <c r="D124" s="188">
        <f t="shared" si="8"/>
        <v>645</v>
      </c>
      <c r="E124" s="203"/>
      <c r="F124" s="259"/>
      <c r="G124" s="219"/>
      <c r="H124" s="200"/>
      <c r="I124" s="201"/>
      <c r="J124" s="5"/>
      <c r="K124" s="180"/>
      <c r="L124" s="5"/>
      <c r="M124" s="5"/>
      <c r="N124" s="5"/>
      <c r="O124" s="204" t="str">
        <f>IF(O123+1&lt;=MIN('Données projet'!$E$9:$E$18),O123+1,"STOP")</f>
        <v>STOP</v>
      </c>
      <c r="P124" s="194" t="e">
        <f t="shared" si="7"/>
        <v>#VALUE!</v>
      </c>
      <c r="Q124" s="262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5">
      <c r="A125" s="189">
        <f>'Données projet'!A123</f>
        <v>55</v>
      </c>
      <c r="B125" s="190">
        <f>'Données projet'!D123</f>
        <v>0</v>
      </c>
      <c r="C125" s="203"/>
      <c r="D125" s="188">
        <f t="shared" si="8"/>
        <v>0</v>
      </c>
      <c r="E125" s="203"/>
      <c r="F125" s="259"/>
      <c r="G125" s="219"/>
      <c r="H125" s="200"/>
      <c r="I125" s="201"/>
      <c r="J125" s="5"/>
      <c r="K125" s="180"/>
      <c r="L125" s="5"/>
      <c r="M125" s="5"/>
      <c r="N125" s="5"/>
      <c r="O125" s="204" t="e">
        <f>IF(O124+1&lt;=MIN('Données projet'!$E$9:$E$18),O124+1,"STOP")</f>
        <v>#VALUE!</v>
      </c>
      <c r="P125" s="194" t="e">
        <f t="shared" si="7"/>
        <v>#VALUE!</v>
      </c>
      <c r="Q125" s="262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5">
      <c r="A126" s="189">
        <f>'Données projet'!A124</f>
        <v>60</v>
      </c>
      <c r="B126" s="190">
        <f>'Données projet'!D124</f>
        <v>45</v>
      </c>
      <c r="C126" s="203">
        <v>20</v>
      </c>
      <c r="D126" s="188">
        <f t="shared" si="8"/>
        <v>900</v>
      </c>
      <c r="E126" s="203"/>
      <c r="F126" s="259"/>
      <c r="G126" s="219"/>
      <c r="H126" s="200"/>
      <c r="I126" s="201"/>
      <c r="J126" s="5"/>
      <c r="K126" s="180"/>
      <c r="L126" s="5"/>
      <c r="M126" s="5"/>
      <c r="N126" s="5"/>
      <c r="O126" s="204" t="e">
        <f>IF(O125+1&lt;=MIN('Données projet'!$E$9:$E$18),O125+1,"STOP")</f>
        <v>#VALUE!</v>
      </c>
      <c r="P126" s="194" t="e">
        <f t="shared" si="7"/>
        <v>#VALUE!</v>
      </c>
      <c r="Q126" s="262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5">
      <c r="A127" s="189">
        <f>'Données projet'!A125</f>
        <v>65</v>
      </c>
      <c r="B127" s="190">
        <f>'Données projet'!D125</f>
        <v>0</v>
      </c>
      <c r="C127" s="203"/>
      <c r="D127" s="188">
        <f t="shared" si="8"/>
        <v>0</v>
      </c>
      <c r="E127" s="203"/>
      <c r="F127" s="259"/>
      <c r="G127" s="219"/>
      <c r="H127" s="200"/>
      <c r="I127" s="201"/>
      <c r="J127" s="5"/>
      <c r="K127" s="180"/>
      <c r="L127" s="5"/>
      <c r="M127" s="5"/>
      <c r="N127" s="5"/>
      <c r="O127" s="204" t="e">
        <f>IF(O126+1&lt;=MIN('Données projet'!$E$9:$E$18),O126+1,"STOP")</f>
        <v>#VALUE!</v>
      </c>
      <c r="P127" s="194" t="e">
        <f t="shared" si="7"/>
        <v>#VALUE!</v>
      </c>
      <c r="Q127" s="262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5">
      <c r="A128" s="189">
        <f>'Données projet'!A126</f>
        <v>70</v>
      </c>
      <c r="B128" s="190">
        <f>'Données projet'!D126</f>
        <v>34</v>
      </c>
      <c r="C128" s="203">
        <v>30</v>
      </c>
      <c r="D128" s="188">
        <f t="shared" si="8"/>
        <v>1020</v>
      </c>
      <c r="E128" s="203"/>
      <c r="F128" s="259"/>
      <c r="G128" s="219"/>
      <c r="H128" s="200"/>
      <c r="I128" s="201"/>
      <c r="J128" s="5"/>
      <c r="K128" s="180"/>
      <c r="L128" s="5"/>
      <c r="M128" s="5"/>
      <c r="N128" s="5"/>
      <c r="O128" s="204" t="e">
        <f>IF(O127+1&lt;=MIN('Données projet'!$E$9:$E$18),O127+1,"STOP")</f>
        <v>#VALUE!</v>
      </c>
      <c r="P128" s="194" t="e">
        <f t="shared" si="7"/>
        <v>#VALUE!</v>
      </c>
      <c r="Q128" s="262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5">
      <c r="A129" s="189">
        <f>'Données projet'!A127</f>
        <v>75</v>
      </c>
      <c r="B129" s="190">
        <f>'Données projet'!D127</f>
        <v>0</v>
      </c>
      <c r="C129" s="203"/>
      <c r="D129" s="188">
        <f t="shared" si="8"/>
        <v>0</v>
      </c>
      <c r="E129" s="203"/>
      <c r="F129" s="259"/>
      <c r="G129" s="219"/>
      <c r="H129" s="200"/>
      <c r="I129" s="201"/>
      <c r="J129" s="5"/>
      <c r="K129" s="180"/>
      <c r="L129" s="5"/>
      <c r="M129" s="5"/>
      <c r="N129" s="5"/>
      <c r="O129" s="204" t="e">
        <f>IF(O128+1&lt;=MIN('Données projet'!$E$9:$E$18),O128+1,"STOP")</f>
        <v>#VALUE!</v>
      </c>
      <c r="P129" s="194" t="e">
        <f t="shared" ref="P129:P132" si="9">$P$25/(1+$M$4)^O129</f>
        <v>#VALUE!</v>
      </c>
      <c r="Q129" s="262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5">
      <c r="A130" s="189">
        <f>'Données projet'!A128</f>
        <v>80</v>
      </c>
      <c r="B130" s="190">
        <f>'Données projet'!D128</f>
        <v>34</v>
      </c>
      <c r="C130" s="203">
        <v>40</v>
      </c>
      <c r="D130" s="188">
        <f t="shared" si="8"/>
        <v>1360</v>
      </c>
      <c r="E130" s="203"/>
      <c r="F130" s="259"/>
      <c r="G130" s="219"/>
      <c r="H130" s="200"/>
      <c r="I130" s="201"/>
      <c r="J130" s="5"/>
      <c r="K130" s="180"/>
      <c r="L130" s="5"/>
      <c r="M130" s="5"/>
      <c r="N130" s="5"/>
      <c r="O130" s="204" t="e">
        <f>IF(O129+1&lt;=MIN('Données projet'!$E$9:$E$18),O129+1,"STOP")</f>
        <v>#VALUE!</v>
      </c>
      <c r="P130" s="194" t="e">
        <f t="shared" si="9"/>
        <v>#VALUE!</v>
      </c>
      <c r="Q130" s="262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5">
      <c r="A131" s="189">
        <f>'Données projet'!A129</f>
        <v>85</v>
      </c>
      <c r="B131" s="190">
        <f>'Données projet'!D129</f>
        <v>0</v>
      </c>
      <c r="C131" s="203"/>
      <c r="D131" s="188">
        <f t="shared" si="8"/>
        <v>0</v>
      </c>
      <c r="E131" s="203"/>
      <c r="F131" s="259"/>
      <c r="G131" s="219"/>
      <c r="H131" s="200"/>
      <c r="I131" s="201"/>
      <c r="J131" s="5"/>
      <c r="K131" s="180"/>
      <c r="L131" s="5"/>
      <c r="M131" s="5"/>
      <c r="N131" s="5"/>
      <c r="O131" s="204" t="e">
        <f>IF(O130+1&lt;=MIN('Données projet'!$E$9:$E$18),O130+1,"STOP")</f>
        <v>#VALUE!</v>
      </c>
      <c r="P131" s="194" t="e">
        <f t="shared" si="9"/>
        <v>#VALUE!</v>
      </c>
      <c r="Q131" s="262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5">
      <c r="A132" s="189">
        <f>'Données projet'!A130</f>
        <v>90</v>
      </c>
      <c r="B132" s="190">
        <f>'Données projet'!D130</f>
        <v>265</v>
      </c>
      <c r="C132" s="203">
        <v>50</v>
      </c>
      <c r="D132" s="188">
        <f t="shared" si="8"/>
        <v>13250</v>
      </c>
      <c r="E132" s="203"/>
      <c r="F132" s="259"/>
      <c r="G132" s="219"/>
      <c r="H132" s="200"/>
      <c r="I132" s="201"/>
      <c r="J132" s="5"/>
      <c r="K132" s="180"/>
      <c r="L132" s="5"/>
      <c r="M132" s="5"/>
      <c r="N132" s="5"/>
      <c r="O132" s="204" t="e">
        <f>IF(O131+1&lt;=MIN('Données projet'!$E$9:$E$18),O131+1,"STOP")</f>
        <v>#VALUE!</v>
      </c>
      <c r="P132" s="194" t="e">
        <f t="shared" si="9"/>
        <v>#VALUE!</v>
      </c>
      <c r="Q132" s="262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5">
      <c r="A133" s="189">
        <f>'Données projet'!A131</f>
        <v>0</v>
      </c>
      <c r="B133" s="190">
        <f>'Données projet'!D131</f>
        <v>0</v>
      </c>
      <c r="C133" s="203"/>
      <c r="D133" s="188">
        <f t="shared" si="8"/>
        <v>0</v>
      </c>
      <c r="E133" s="203"/>
      <c r="F133" s="259"/>
      <c r="G133" s="219"/>
      <c r="H133" s="200"/>
      <c r="I133" s="201"/>
      <c r="J133" s="5"/>
      <c r="K133" s="180"/>
      <c r="Q133" s="262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5">
      <c r="A134" s="189">
        <f>'Données projet'!A132</f>
        <v>0</v>
      </c>
      <c r="B134" s="190">
        <f>'Données projet'!D132</f>
        <v>0</v>
      </c>
      <c r="C134" s="203"/>
      <c r="D134" s="188">
        <f t="shared" si="8"/>
        <v>0</v>
      </c>
      <c r="E134" s="203"/>
      <c r="F134" s="259"/>
      <c r="G134" s="219"/>
      <c r="H134" s="200"/>
      <c r="I134" s="201"/>
      <c r="J134" s="5"/>
      <c r="K134" s="180"/>
      <c r="Q134" s="262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5">
      <c r="A135" s="189">
        <f>'Données projet'!A133</f>
        <v>0</v>
      </c>
      <c r="B135" s="190">
        <f>'Données projet'!D133</f>
        <v>0</v>
      </c>
      <c r="C135" s="203"/>
      <c r="D135" s="188">
        <f t="shared" si="8"/>
        <v>0</v>
      </c>
      <c r="E135" s="203"/>
      <c r="F135" s="259"/>
      <c r="G135" s="219"/>
      <c r="H135" s="200"/>
      <c r="I135" s="201"/>
      <c r="J135" s="5"/>
      <c r="K135" s="180"/>
      <c r="Q135" s="262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5">
      <c r="A136" s="5"/>
      <c r="B136" s="5"/>
      <c r="C136" s="5"/>
      <c r="D136" s="5"/>
      <c r="E136" s="5"/>
      <c r="F136" s="257"/>
      <c r="G136" s="219"/>
      <c r="H136" s="200"/>
      <c r="I136" s="201"/>
      <c r="J136" s="5"/>
      <c r="K136" s="180"/>
      <c r="L136" s="5"/>
      <c r="M136" s="5"/>
      <c r="N136" s="5"/>
      <c r="Q136" s="262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5">
      <c r="A137" s="5"/>
      <c r="B137" s="5"/>
      <c r="C137" s="5"/>
      <c r="D137" s="5"/>
      <c r="E137" s="5"/>
      <c r="F137" s="257"/>
      <c r="G137" s="219"/>
      <c r="H137" s="200"/>
      <c r="I137" s="201"/>
      <c r="J137" s="5"/>
      <c r="K137" s="180"/>
      <c r="L137" s="5"/>
      <c r="M137" s="5"/>
      <c r="N137" s="5"/>
      <c r="Q137" s="262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5">
      <c r="A138" s="49" t="s">
        <v>169</v>
      </c>
      <c r="B138" s="183" t="str">
        <f>IF('Données projet'!B13="","",'Données projet'!B13)</f>
        <v>Alisier torminal</v>
      </c>
      <c r="C138" s="5"/>
      <c r="D138" s="5"/>
      <c r="E138" s="5"/>
      <c r="F138" s="257"/>
      <c r="G138" s="219"/>
      <c r="H138" s="200"/>
      <c r="I138" s="201"/>
      <c r="J138" s="5"/>
      <c r="K138" s="180"/>
      <c r="L138" s="5"/>
      <c r="M138" s="5"/>
      <c r="N138" s="5"/>
      <c r="Q138" s="262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5">
      <c r="A139" s="5"/>
      <c r="B139" s="5"/>
      <c r="C139" s="5"/>
      <c r="D139" s="5"/>
      <c r="E139" s="5"/>
      <c r="F139" s="257"/>
      <c r="G139" s="219"/>
      <c r="H139" s="200"/>
      <c r="I139" s="201"/>
      <c r="J139" s="5"/>
      <c r="K139" s="180"/>
      <c r="L139" s="5"/>
      <c r="M139" s="5"/>
      <c r="N139" s="5"/>
      <c r="Q139" s="262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5">
      <c r="A140" s="253" t="s">
        <v>180</v>
      </c>
      <c r="B140" s="51" t="s">
        <v>256</v>
      </c>
      <c r="C140" s="51" t="s">
        <v>255</v>
      </c>
      <c r="D140" s="253" t="s">
        <v>252</v>
      </c>
      <c r="E140" s="253" t="s">
        <v>320</v>
      </c>
      <c r="F140" s="258"/>
      <c r="G140" s="219"/>
      <c r="H140" s="200"/>
      <c r="I140" s="201"/>
      <c r="J140" s="5"/>
      <c r="K140" s="180"/>
      <c r="L140" s="5"/>
      <c r="M140" s="5"/>
      <c r="N140" s="5"/>
      <c r="Q140" s="262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5">
      <c r="A141" s="206">
        <v>0</v>
      </c>
      <c r="B141" s="209" t="s">
        <v>132</v>
      </c>
      <c r="C141" s="208"/>
      <c r="D141" s="207" t="s">
        <v>132</v>
      </c>
      <c r="E141" s="203"/>
      <c r="F141" s="258"/>
      <c r="G141" s="219"/>
      <c r="H141" s="200"/>
      <c r="I141" s="201"/>
      <c r="J141" s="5"/>
      <c r="K141" s="180"/>
      <c r="L141" s="5"/>
      <c r="M141" s="5"/>
      <c r="N141" s="5"/>
      <c r="Q141" s="262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5">
      <c r="A142" s="206">
        <v>1</v>
      </c>
      <c r="B142" s="209" t="s">
        <v>132</v>
      </c>
      <c r="C142" s="208"/>
      <c r="D142" s="207" t="s">
        <v>132</v>
      </c>
      <c r="E142" s="203"/>
      <c r="F142" s="258"/>
      <c r="G142" s="217"/>
      <c r="H142" s="200"/>
      <c r="I142" s="201"/>
      <c r="J142" s="5"/>
      <c r="K142" s="180"/>
      <c r="L142" s="5"/>
      <c r="M142" s="5"/>
      <c r="N142" s="5"/>
      <c r="Q142" s="262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5">
      <c r="A143" s="206">
        <v>2</v>
      </c>
      <c r="B143" s="209" t="s">
        <v>132</v>
      </c>
      <c r="C143" s="208"/>
      <c r="D143" s="207" t="s">
        <v>132</v>
      </c>
      <c r="E143" s="203"/>
      <c r="F143" s="258"/>
      <c r="G143" s="217"/>
      <c r="H143" s="200"/>
      <c r="I143" s="201"/>
      <c r="J143" s="5"/>
      <c r="K143" s="180"/>
      <c r="L143" s="5"/>
      <c r="M143" s="5"/>
      <c r="N143" s="5"/>
      <c r="Q143" s="262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5">
      <c r="A144" s="206">
        <v>3</v>
      </c>
      <c r="B144" s="209" t="s">
        <v>132</v>
      </c>
      <c r="C144" s="208"/>
      <c r="D144" s="207" t="s">
        <v>132</v>
      </c>
      <c r="E144" s="203"/>
      <c r="F144" s="258"/>
      <c r="G144" s="217"/>
      <c r="H144" s="200"/>
      <c r="I144" s="201"/>
      <c r="J144" s="5"/>
      <c r="K144" s="180"/>
      <c r="L144" s="5"/>
      <c r="M144" s="5"/>
      <c r="N144" s="5"/>
      <c r="Q144" s="262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5">
      <c r="A145" s="206">
        <v>4</v>
      </c>
      <c r="B145" s="209" t="s">
        <v>132</v>
      </c>
      <c r="C145" s="208"/>
      <c r="D145" s="207" t="s">
        <v>132</v>
      </c>
      <c r="E145" s="203"/>
      <c r="F145" s="258"/>
      <c r="G145" s="217"/>
      <c r="H145" s="200"/>
      <c r="I145" s="201"/>
      <c r="J145" s="5"/>
      <c r="K145" s="180"/>
      <c r="L145" s="5"/>
      <c r="M145" s="5"/>
      <c r="N145" s="5"/>
      <c r="Q145" s="262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5">
      <c r="A146" s="206">
        <v>5</v>
      </c>
      <c r="B146" s="209" t="s">
        <v>132</v>
      </c>
      <c r="C146" s="201"/>
      <c r="D146" s="207" t="s">
        <v>132</v>
      </c>
      <c r="E146" s="203"/>
      <c r="F146" s="258"/>
      <c r="G146" s="218"/>
      <c r="H146" s="200"/>
      <c r="I146" s="201"/>
      <c r="J146" s="5"/>
      <c r="K146" s="180"/>
      <c r="L146" s="5"/>
      <c r="M146" s="5"/>
      <c r="N146" s="5"/>
      <c r="Q146" s="262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5">
      <c r="A147" s="45">
        <f>'Données projet'!A140</f>
        <v>15</v>
      </c>
      <c r="B147" s="184">
        <f>'Données projet'!D140</f>
        <v>0</v>
      </c>
      <c r="C147" s="201"/>
      <c r="D147" s="191">
        <f>B147*C147</f>
        <v>0</v>
      </c>
      <c r="E147" s="203"/>
      <c r="F147" s="260"/>
      <c r="G147" s="218"/>
      <c r="H147" s="200"/>
      <c r="I147" s="201"/>
      <c r="J147" s="5"/>
      <c r="K147" s="180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5">
      <c r="A148" s="45">
        <f>'Données projet'!A141</f>
        <v>20</v>
      </c>
      <c r="B148" s="184">
        <f>'Données projet'!D141</f>
        <v>0</v>
      </c>
      <c r="C148" s="201"/>
      <c r="D148" s="191">
        <f t="shared" ref="D148:D166" si="10">B148*C148</f>
        <v>0</v>
      </c>
      <c r="E148" s="203"/>
      <c r="F148" s="260"/>
      <c r="G148" s="218"/>
      <c r="H148" s="200"/>
      <c r="I148" s="201"/>
      <c r="J148" s="5"/>
      <c r="K148" s="180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5">
      <c r="A149" s="45">
        <f>'Données projet'!A142</f>
        <v>25</v>
      </c>
      <c r="B149" s="184">
        <f>'Données projet'!D142</f>
        <v>36</v>
      </c>
      <c r="C149" s="201">
        <v>10</v>
      </c>
      <c r="D149" s="191">
        <f t="shared" si="10"/>
        <v>360</v>
      </c>
      <c r="E149" s="203"/>
      <c r="F149" s="260"/>
      <c r="G149" s="218"/>
      <c r="H149" s="200"/>
      <c r="I149" s="201"/>
      <c r="J149" s="5"/>
      <c r="K149" s="180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5">
      <c r="A150" s="45">
        <f>'Données projet'!A143</f>
        <v>30</v>
      </c>
      <c r="B150" s="184">
        <f>'Données projet'!D143</f>
        <v>0</v>
      </c>
      <c r="C150" s="201">
        <v>10</v>
      </c>
      <c r="D150" s="191">
        <f t="shared" si="10"/>
        <v>0</v>
      </c>
      <c r="E150" s="203"/>
      <c r="F150" s="260"/>
      <c r="G150" s="218"/>
      <c r="H150" s="200"/>
      <c r="I150" s="201"/>
      <c r="J150" s="5"/>
      <c r="K150" s="180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5">
      <c r="A151" s="45">
        <f>'Données projet'!A144</f>
        <v>35</v>
      </c>
      <c r="B151" s="184">
        <f>'Données projet'!D144</f>
        <v>44</v>
      </c>
      <c r="C151" s="201">
        <v>15</v>
      </c>
      <c r="D151" s="191">
        <f t="shared" si="10"/>
        <v>660</v>
      </c>
      <c r="E151" s="203"/>
      <c r="F151" s="260"/>
      <c r="G151" s="218"/>
      <c r="H151" s="200"/>
      <c r="I151" s="201"/>
      <c r="J151" s="5"/>
      <c r="K151" s="180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5">
      <c r="A152" s="45">
        <f>'Données projet'!A145</f>
        <v>40</v>
      </c>
      <c r="B152" s="184">
        <f>'Données projet'!D145</f>
        <v>0</v>
      </c>
      <c r="C152" s="201">
        <v>15</v>
      </c>
      <c r="D152" s="191">
        <f t="shared" si="10"/>
        <v>0</v>
      </c>
      <c r="E152" s="203"/>
      <c r="F152" s="260"/>
      <c r="G152" s="218"/>
      <c r="H152" s="200"/>
      <c r="I152" s="201"/>
      <c r="J152" s="5"/>
      <c r="K152" s="180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5">
      <c r="A153" s="45">
        <f>'Données projet'!A146</f>
        <v>45</v>
      </c>
      <c r="B153" s="184">
        <f>'Données projet'!D146</f>
        <v>51</v>
      </c>
      <c r="C153" s="201">
        <v>20</v>
      </c>
      <c r="D153" s="191">
        <f t="shared" si="10"/>
        <v>1020</v>
      </c>
      <c r="E153" s="203"/>
      <c r="F153" s="260"/>
      <c r="G153" s="214"/>
      <c r="H153" s="200"/>
      <c r="I153" s="201"/>
      <c r="J153" s="5"/>
      <c r="K153" s="180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5">
      <c r="A154" s="45">
        <f>'Données projet'!A147</f>
        <v>50</v>
      </c>
      <c r="B154" s="184">
        <f>'Données projet'!D147</f>
        <v>0</v>
      </c>
      <c r="C154" s="201">
        <v>20</v>
      </c>
      <c r="D154" s="191">
        <f t="shared" si="10"/>
        <v>0</v>
      </c>
      <c r="E154" s="203"/>
      <c r="F154" s="260"/>
      <c r="G154" s="214"/>
      <c r="H154" s="200"/>
      <c r="I154" s="201"/>
      <c r="J154" s="5"/>
      <c r="K154" s="180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5">
      <c r="A155" s="45">
        <f>'Données projet'!A148</f>
        <v>55</v>
      </c>
      <c r="B155" s="184">
        <f>'Données projet'!D148</f>
        <v>54</v>
      </c>
      <c r="C155" s="201">
        <v>30</v>
      </c>
      <c r="D155" s="191">
        <f t="shared" si="10"/>
        <v>1620</v>
      </c>
      <c r="E155" s="203"/>
      <c r="F155" s="260"/>
      <c r="G155" s="214"/>
      <c r="H155" s="200"/>
      <c r="I155" s="201"/>
      <c r="J155" s="5"/>
      <c r="K155" s="180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5">
      <c r="A156" s="45">
        <f>'Données projet'!A149</f>
        <v>60</v>
      </c>
      <c r="B156" s="184">
        <f>'Données projet'!D149</f>
        <v>0</v>
      </c>
      <c r="C156" s="201">
        <v>30</v>
      </c>
      <c r="D156" s="191">
        <f t="shared" si="10"/>
        <v>0</v>
      </c>
      <c r="E156" s="203"/>
      <c r="F156" s="260"/>
      <c r="G156" s="214"/>
      <c r="H156" s="200"/>
      <c r="I156" s="201"/>
      <c r="J156" s="5"/>
      <c r="K156" s="180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5">
      <c r="A157" s="45">
        <f>'Données projet'!A150</f>
        <v>65</v>
      </c>
      <c r="B157" s="184">
        <f>'Données projet'!D150</f>
        <v>54</v>
      </c>
      <c r="C157" s="201">
        <v>40</v>
      </c>
      <c r="D157" s="191">
        <f t="shared" si="10"/>
        <v>2160</v>
      </c>
      <c r="E157" s="203"/>
      <c r="F157" s="260"/>
      <c r="G157" s="214"/>
      <c r="H157" s="200"/>
      <c r="I157" s="201"/>
      <c r="J157" s="5"/>
      <c r="K157" s="180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5">
      <c r="A158" s="45">
        <f>'Données projet'!A151</f>
        <v>70</v>
      </c>
      <c r="B158" s="184">
        <f>'Données projet'!D151</f>
        <v>0</v>
      </c>
      <c r="C158" s="201">
        <v>40</v>
      </c>
      <c r="D158" s="191">
        <f t="shared" si="10"/>
        <v>0</v>
      </c>
      <c r="E158" s="203"/>
      <c r="F158" s="260"/>
      <c r="G158" s="214"/>
      <c r="H158" s="200"/>
      <c r="I158" s="201"/>
      <c r="J158" s="5"/>
      <c r="K158" s="180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5">
      <c r="A159" s="45">
        <f>'Données projet'!A152</f>
        <v>75</v>
      </c>
      <c r="B159" s="184">
        <f>'Données projet'!D152</f>
        <v>52</v>
      </c>
      <c r="C159" s="201">
        <v>50</v>
      </c>
      <c r="D159" s="191">
        <f t="shared" si="10"/>
        <v>2600</v>
      </c>
      <c r="E159" s="203"/>
      <c r="F159" s="260"/>
      <c r="G159" s="214"/>
      <c r="H159" s="200"/>
      <c r="I159" s="201"/>
      <c r="J159" s="5"/>
      <c r="K159" s="180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5">
      <c r="A160" s="45">
        <f>'Données projet'!A153</f>
        <v>80</v>
      </c>
      <c r="B160" s="184">
        <f>'Données projet'!D153</f>
        <v>0</v>
      </c>
      <c r="C160" s="201">
        <v>50</v>
      </c>
      <c r="D160" s="191">
        <f t="shared" si="10"/>
        <v>0</v>
      </c>
      <c r="E160" s="203"/>
      <c r="F160" s="260"/>
      <c r="G160" s="214"/>
      <c r="H160" s="200"/>
      <c r="I160" s="201"/>
      <c r="J160" s="5"/>
      <c r="K160" s="180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5">
      <c r="A161" s="45">
        <f>'Données projet'!A154</f>
        <v>85</v>
      </c>
      <c r="B161" s="184">
        <f>'Données projet'!D154</f>
        <v>49</v>
      </c>
      <c r="C161" s="201">
        <v>60</v>
      </c>
      <c r="D161" s="191">
        <f t="shared" si="10"/>
        <v>2940</v>
      </c>
      <c r="E161" s="203"/>
      <c r="F161" s="260"/>
      <c r="G161" s="214"/>
      <c r="H161" s="200"/>
      <c r="I161" s="201"/>
      <c r="J161" s="5"/>
      <c r="K161" s="180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5">
      <c r="A162" s="45">
        <f>'Données projet'!A155</f>
        <v>90</v>
      </c>
      <c r="B162" s="184">
        <f>'Données projet'!D155</f>
        <v>0</v>
      </c>
      <c r="C162" s="201">
        <v>60</v>
      </c>
      <c r="D162" s="191">
        <f t="shared" si="10"/>
        <v>0</v>
      </c>
      <c r="E162" s="203"/>
      <c r="F162" s="260"/>
      <c r="G162" s="214"/>
      <c r="H162" s="200"/>
      <c r="I162" s="201"/>
      <c r="J162" s="5"/>
      <c r="K162" s="180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5">
      <c r="A163" s="45">
        <f>'Données projet'!A156</f>
        <v>95</v>
      </c>
      <c r="B163" s="184">
        <f>'Données projet'!D156</f>
        <v>45</v>
      </c>
      <c r="C163" s="201">
        <v>80</v>
      </c>
      <c r="D163" s="191">
        <f t="shared" si="10"/>
        <v>3600</v>
      </c>
      <c r="E163" s="203"/>
      <c r="F163" s="260"/>
      <c r="G163" s="214"/>
      <c r="H163" s="200"/>
      <c r="I163" s="201"/>
      <c r="J163" s="5"/>
      <c r="K163" s="180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5">
      <c r="A164" s="45">
        <f>'Données projet'!A157</f>
        <v>105</v>
      </c>
      <c r="B164" s="184">
        <f>'Données projet'!D157</f>
        <v>41</v>
      </c>
      <c r="C164" s="201">
        <v>100</v>
      </c>
      <c r="D164" s="191">
        <f t="shared" si="10"/>
        <v>4100</v>
      </c>
      <c r="E164" s="203"/>
      <c r="F164" s="260"/>
      <c r="G164" s="214"/>
      <c r="H164" s="200"/>
      <c r="I164" s="201"/>
      <c r="J164" s="5"/>
      <c r="K164" s="180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5">
      <c r="A165" s="45">
        <f>'Données projet'!A158</f>
        <v>115</v>
      </c>
      <c r="B165" s="184">
        <f>'Données projet'!D158</f>
        <v>39</v>
      </c>
      <c r="C165" s="201">
        <v>150</v>
      </c>
      <c r="D165" s="191">
        <f t="shared" si="10"/>
        <v>5850</v>
      </c>
      <c r="E165" s="203"/>
      <c r="F165" s="260"/>
      <c r="G165" s="214"/>
      <c r="H165" s="200"/>
      <c r="I165" s="201"/>
      <c r="J165" s="5"/>
      <c r="K165" s="180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5">
      <c r="A166" s="45">
        <f>'Données projet'!A159</f>
        <v>120</v>
      </c>
      <c r="B166" s="184">
        <f>'Données projet'!D159</f>
        <v>318</v>
      </c>
      <c r="C166" s="201">
        <v>200</v>
      </c>
      <c r="D166" s="191">
        <f t="shared" si="10"/>
        <v>63600</v>
      </c>
      <c r="E166" s="203"/>
      <c r="F166" s="260"/>
      <c r="G166" s="214"/>
      <c r="H166" s="200"/>
      <c r="I166" s="201"/>
      <c r="J166" s="5"/>
      <c r="K166" s="180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5">
      <c r="A167" s="5"/>
      <c r="B167" s="5"/>
      <c r="C167" s="5"/>
      <c r="D167" s="5"/>
      <c r="E167" s="5"/>
      <c r="F167" s="257"/>
      <c r="G167" s="214"/>
      <c r="H167" s="200"/>
      <c r="I167" s="201"/>
      <c r="J167" s="5"/>
      <c r="K167" s="180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5">
      <c r="A168" s="5"/>
      <c r="B168" s="5"/>
      <c r="C168" s="5"/>
      <c r="D168" s="5"/>
      <c r="E168" s="5"/>
      <c r="F168" s="257"/>
      <c r="G168" s="214"/>
      <c r="H168" s="200"/>
      <c r="I168" s="201"/>
      <c r="J168" s="5"/>
      <c r="K168" s="180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5">
      <c r="A169" s="49" t="s">
        <v>170</v>
      </c>
      <c r="B169" s="183" t="str">
        <f>IF('Données projet'!B14="","",'Données projet'!B14)</f>
        <v>Cormier</v>
      </c>
      <c r="C169" s="5"/>
      <c r="D169" s="5"/>
      <c r="E169" s="5"/>
      <c r="F169" s="257"/>
      <c r="G169" s="214"/>
      <c r="H169" s="200"/>
      <c r="I169" s="201"/>
      <c r="J169" s="5"/>
      <c r="K169" s="180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5">
      <c r="A170" s="5"/>
      <c r="B170" s="5"/>
      <c r="C170" s="5"/>
      <c r="D170" s="5"/>
      <c r="E170" s="5"/>
      <c r="F170" s="257"/>
      <c r="G170" s="214"/>
      <c r="H170" s="200"/>
      <c r="I170" s="201"/>
      <c r="J170" s="5"/>
      <c r="K170" s="180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5">
      <c r="A171" s="253" t="s">
        <v>180</v>
      </c>
      <c r="B171" s="51" t="s">
        <v>256</v>
      </c>
      <c r="C171" s="51" t="s">
        <v>255</v>
      </c>
      <c r="D171" s="253" t="s">
        <v>252</v>
      </c>
      <c r="E171" s="253" t="s">
        <v>320</v>
      </c>
      <c r="F171" s="258"/>
      <c r="G171" s="214"/>
      <c r="H171" s="200"/>
      <c r="I171" s="201"/>
      <c r="J171" s="5"/>
      <c r="K171" s="180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5">
      <c r="A172" s="206">
        <v>0</v>
      </c>
      <c r="B172" s="209" t="s">
        <v>132</v>
      </c>
      <c r="C172" s="208"/>
      <c r="D172" s="207" t="s">
        <v>132</v>
      </c>
      <c r="E172" s="203"/>
      <c r="F172" s="258"/>
      <c r="G172" s="214"/>
      <c r="H172" s="200"/>
      <c r="I172" s="201"/>
      <c r="J172" s="5"/>
      <c r="K172" s="180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5">
      <c r="A173" s="206">
        <v>1</v>
      </c>
      <c r="B173" s="209" t="s">
        <v>132</v>
      </c>
      <c r="C173" s="208"/>
      <c r="D173" s="207" t="s">
        <v>132</v>
      </c>
      <c r="E173" s="203"/>
      <c r="F173" s="258"/>
      <c r="G173" s="217"/>
      <c r="H173" s="200"/>
      <c r="I173" s="201"/>
      <c r="J173" s="5"/>
      <c r="K173" s="180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5">
      <c r="A174" s="206">
        <v>2</v>
      </c>
      <c r="B174" s="209" t="s">
        <v>132</v>
      </c>
      <c r="C174" s="208"/>
      <c r="D174" s="207" t="s">
        <v>132</v>
      </c>
      <c r="E174" s="203"/>
      <c r="F174" s="258"/>
      <c r="G174" s="217"/>
      <c r="H174" s="200"/>
      <c r="I174" s="201"/>
      <c r="J174" s="5"/>
      <c r="K174" s="180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5">
      <c r="A175" s="206">
        <v>3</v>
      </c>
      <c r="B175" s="209" t="s">
        <v>132</v>
      </c>
      <c r="C175" s="208"/>
      <c r="D175" s="207" t="s">
        <v>132</v>
      </c>
      <c r="E175" s="203"/>
      <c r="F175" s="258"/>
      <c r="G175" s="217"/>
      <c r="H175" s="200"/>
      <c r="I175" s="201"/>
      <c r="J175" s="5"/>
      <c r="K175" s="180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5">
      <c r="A176" s="206">
        <v>4</v>
      </c>
      <c r="B176" s="209" t="s">
        <v>132</v>
      </c>
      <c r="C176" s="208"/>
      <c r="D176" s="207" t="s">
        <v>132</v>
      </c>
      <c r="E176" s="203"/>
      <c r="F176" s="258"/>
      <c r="G176" s="217"/>
      <c r="H176" s="200"/>
      <c r="I176" s="201"/>
      <c r="J176" s="5"/>
      <c r="K176" s="180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5">
      <c r="A177" s="206">
        <v>5</v>
      </c>
      <c r="B177" s="209" t="s">
        <v>132</v>
      </c>
      <c r="C177" s="208"/>
      <c r="D177" s="207" t="s">
        <v>132</v>
      </c>
      <c r="E177" s="203"/>
      <c r="F177" s="258"/>
      <c r="G177" s="218"/>
      <c r="H177" s="200"/>
      <c r="I177" s="201"/>
      <c r="J177" s="5"/>
      <c r="K177" s="180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5">
      <c r="A178" s="189">
        <f>'Données projet'!A166</f>
        <v>15</v>
      </c>
      <c r="B178" s="190">
        <f>'Données projet'!D166</f>
        <v>0</v>
      </c>
      <c r="C178" s="203"/>
      <c r="D178" s="188">
        <f>B178*C178</f>
        <v>0</v>
      </c>
      <c r="E178" s="203"/>
      <c r="F178" s="259"/>
      <c r="G178" s="218"/>
      <c r="H178" s="200"/>
      <c r="I178" s="201"/>
      <c r="J178" s="5"/>
      <c r="K178" s="180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5">
      <c r="A179" s="189">
        <f>'Données projet'!A167</f>
        <v>20</v>
      </c>
      <c r="B179" s="190">
        <f>'Données projet'!D167</f>
        <v>0</v>
      </c>
      <c r="C179" s="203"/>
      <c r="D179" s="188">
        <f t="shared" ref="D179:D197" si="11">B179*C179</f>
        <v>0</v>
      </c>
      <c r="E179" s="203"/>
      <c r="F179" s="259"/>
      <c r="G179" s="218"/>
      <c r="H179" s="200"/>
      <c r="I179" s="201"/>
      <c r="J179" s="5"/>
      <c r="K179" s="180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5">
      <c r="A180" s="189">
        <f>'Données projet'!A168</f>
        <v>25</v>
      </c>
      <c r="B180" s="190">
        <f>'Données projet'!D168</f>
        <v>36</v>
      </c>
      <c r="C180" s="201">
        <v>10</v>
      </c>
      <c r="D180" s="188">
        <f t="shared" si="11"/>
        <v>360</v>
      </c>
      <c r="E180" s="203"/>
      <c r="F180" s="259"/>
      <c r="G180" s="218"/>
      <c r="H180" s="200"/>
      <c r="I180" s="201"/>
      <c r="J180" s="5"/>
      <c r="K180" s="180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5">
      <c r="A181" s="189">
        <f>'Données projet'!A169</f>
        <v>30</v>
      </c>
      <c r="B181" s="190">
        <f>'Données projet'!D169</f>
        <v>0</v>
      </c>
      <c r="C181" s="201">
        <v>10</v>
      </c>
      <c r="D181" s="188">
        <f t="shared" si="11"/>
        <v>0</v>
      </c>
      <c r="E181" s="203"/>
      <c r="F181" s="259"/>
      <c r="G181" s="218"/>
      <c r="H181" s="200"/>
      <c r="I181" s="201"/>
      <c r="J181" s="5"/>
      <c r="K181" s="180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5">
      <c r="A182" s="189">
        <f>'Données projet'!A170</f>
        <v>35</v>
      </c>
      <c r="B182" s="190">
        <f>'Données projet'!D170</f>
        <v>44</v>
      </c>
      <c r="C182" s="201">
        <v>15</v>
      </c>
      <c r="D182" s="188">
        <f t="shared" si="11"/>
        <v>660</v>
      </c>
      <c r="E182" s="203"/>
      <c r="F182" s="259"/>
      <c r="G182" s="218"/>
      <c r="H182" s="200"/>
      <c r="I182" s="201"/>
      <c r="J182" s="5"/>
      <c r="K182" s="180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5">
      <c r="A183" s="189">
        <f>'Données projet'!A171</f>
        <v>40</v>
      </c>
      <c r="B183" s="190">
        <f>'Données projet'!D171</f>
        <v>0</v>
      </c>
      <c r="C183" s="201">
        <v>15</v>
      </c>
      <c r="D183" s="188">
        <f t="shared" si="11"/>
        <v>0</v>
      </c>
      <c r="E183" s="203"/>
      <c r="F183" s="259"/>
      <c r="G183" s="218"/>
      <c r="H183" s="200"/>
      <c r="I183" s="201"/>
      <c r="J183" s="5"/>
      <c r="K183" s="180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5">
      <c r="A184" s="189">
        <f>'Données projet'!A172</f>
        <v>45</v>
      </c>
      <c r="B184" s="190">
        <f>'Données projet'!D172</f>
        <v>51</v>
      </c>
      <c r="C184" s="201">
        <v>20</v>
      </c>
      <c r="D184" s="188">
        <f t="shared" si="11"/>
        <v>1020</v>
      </c>
      <c r="E184" s="203"/>
      <c r="F184" s="259"/>
      <c r="G184" s="219"/>
      <c r="H184" s="200"/>
      <c r="I184" s="201"/>
      <c r="J184" s="5"/>
      <c r="K184" s="180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5">
      <c r="A185" s="189">
        <f>'Données projet'!A173</f>
        <v>50</v>
      </c>
      <c r="B185" s="190">
        <f>'Données projet'!D173</f>
        <v>0</v>
      </c>
      <c r="C185" s="201">
        <v>20</v>
      </c>
      <c r="D185" s="188">
        <f t="shared" si="11"/>
        <v>0</v>
      </c>
      <c r="E185" s="203"/>
      <c r="F185" s="259"/>
      <c r="G185" s="219"/>
      <c r="H185" s="200"/>
      <c r="I185" s="201"/>
      <c r="J185" s="5"/>
      <c r="K185" s="180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5">
      <c r="A186" s="189">
        <f>'Données projet'!A174</f>
        <v>55</v>
      </c>
      <c r="B186" s="190">
        <f>'Données projet'!D174</f>
        <v>54</v>
      </c>
      <c r="C186" s="201">
        <v>30</v>
      </c>
      <c r="D186" s="188">
        <f t="shared" si="11"/>
        <v>1620</v>
      </c>
      <c r="E186" s="203"/>
      <c r="F186" s="259"/>
      <c r="G186" s="219"/>
      <c r="H186" s="200"/>
      <c r="I186" s="201"/>
      <c r="J186" s="5"/>
      <c r="K186" s="180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5">
      <c r="A187" s="189">
        <f>'Données projet'!A175</f>
        <v>60</v>
      </c>
      <c r="B187" s="190">
        <f>'Données projet'!D175</f>
        <v>0</v>
      </c>
      <c r="C187" s="201">
        <v>30</v>
      </c>
      <c r="D187" s="188">
        <f t="shared" si="11"/>
        <v>0</v>
      </c>
      <c r="E187" s="203"/>
      <c r="F187" s="259"/>
      <c r="G187" s="219"/>
      <c r="H187" s="200"/>
      <c r="I187" s="201"/>
      <c r="J187" s="5"/>
      <c r="K187" s="180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5">
      <c r="A188" s="189">
        <f>'Données projet'!A176</f>
        <v>65</v>
      </c>
      <c r="B188" s="190">
        <f>'Données projet'!D176</f>
        <v>54</v>
      </c>
      <c r="C188" s="201">
        <v>40</v>
      </c>
      <c r="D188" s="188">
        <f t="shared" si="11"/>
        <v>2160</v>
      </c>
      <c r="E188" s="203"/>
      <c r="F188" s="259"/>
      <c r="G188" s="219"/>
      <c r="H188" s="200"/>
      <c r="I188" s="201"/>
      <c r="J188" s="5"/>
      <c r="K188" s="180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5">
      <c r="A189" s="189">
        <f>'Données projet'!A177</f>
        <v>70</v>
      </c>
      <c r="B189" s="190">
        <f>'Données projet'!D177</f>
        <v>0</v>
      </c>
      <c r="C189" s="201">
        <v>40</v>
      </c>
      <c r="D189" s="188">
        <f t="shared" si="11"/>
        <v>0</v>
      </c>
      <c r="E189" s="203"/>
      <c r="F189" s="259"/>
      <c r="G189" s="219"/>
      <c r="H189" s="200"/>
      <c r="I189" s="201"/>
      <c r="J189" s="5"/>
      <c r="K189" s="180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5">
      <c r="A190" s="189">
        <f>'Données projet'!A178</f>
        <v>75</v>
      </c>
      <c r="B190" s="190">
        <f>'Données projet'!D178</f>
        <v>52</v>
      </c>
      <c r="C190" s="201">
        <v>50</v>
      </c>
      <c r="D190" s="188">
        <f t="shared" si="11"/>
        <v>2600</v>
      </c>
      <c r="E190" s="203"/>
      <c r="F190" s="259"/>
      <c r="G190" s="219"/>
      <c r="H190" s="200"/>
      <c r="I190" s="201"/>
      <c r="J190" s="5"/>
      <c r="K190" s="180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5">
      <c r="A191" s="189">
        <f>'Données projet'!A179</f>
        <v>80</v>
      </c>
      <c r="B191" s="190">
        <f>'Données projet'!D179</f>
        <v>0</v>
      </c>
      <c r="C191" s="201">
        <v>50</v>
      </c>
      <c r="D191" s="188">
        <f t="shared" si="11"/>
        <v>0</v>
      </c>
      <c r="E191" s="203"/>
      <c r="F191" s="259"/>
      <c r="G191" s="219"/>
      <c r="H191" s="200"/>
      <c r="I191" s="201"/>
      <c r="J191" s="5"/>
      <c r="K191" s="180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5">
      <c r="A192" s="189">
        <f>'Données projet'!A180</f>
        <v>85</v>
      </c>
      <c r="B192" s="190">
        <f>'Données projet'!D180</f>
        <v>49</v>
      </c>
      <c r="C192" s="201">
        <v>60</v>
      </c>
      <c r="D192" s="188">
        <f t="shared" si="11"/>
        <v>2940</v>
      </c>
      <c r="E192" s="203"/>
      <c r="F192" s="259"/>
      <c r="G192" s="219"/>
      <c r="H192" s="200"/>
      <c r="I192" s="201"/>
      <c r="J192" s="5"/>
      <c r="K192" s="180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5">
      <c r="A193" s="189">
        <f>'Données projet'!A181</f>
        <v>90</v>
      </c>
      <c r="B193" s="190">
        <f>'Données projet'!D181</f>
        <v>0</v>
      </c>
      <c r="C193" s="201">
        <v>60</v>
      </c>
      <c r="D193" s="188">
        <f t="shared" si="11"/>
        <v>0</v>
      </c>
      <c r="E193" s="203"/>
      <c r="F193" s="259"/>
      <c r="G193" s="219"/>
      <c r="H193" s="200"/>
      <c r="I193" s="201"/>
      <c r="J193" s="5"/>
      <c r="K193" s="180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5">
      <c r="A194" s="189">
        <f>'Données projet'!A182</f>
        <v>95</v>
      </c>
      <c r="B194" s="190">
        <f>'Données projet'!D182</f>
        <v>45</v>
      </c>
      <c r="C194" s="201">
        <v>80</v>
      </c>
      <c r="D194" s="188">
        <f t="shared" si="11"/>
        <v>3600</v>
      </c>
      <c r="E194" s="203"/>
      <c r="F194" s="259"/>
      <c r="G194" s="219"/>
      <c r="H194" s="200"/>
      <c r="I194" s="201"/>
      <c r="J194" s="5"/>
      <c r="K194" s="180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5">
      <c r="A195" s="189">
        <f>'Données projet'!A183</f>
        <v>105</v>
      </c>
      <c r="B195" s="190">
        <f>'Données projet'!D183</f>
        <v>41</v>
      </c>
      <c r="C195" s="201">
        <v>100</v>
      </c>
      <c r="D195" s="188">
        <f t="shared" si="11"/>
        <v>4100</v>
      </c>
      <c r="E195" s="203"/>
      <c r="F195" s="259"/>
      <c r="G195" s="219"/>
      <c r="H195" s="200"/>
      <c r="I195" s="201"/>
      <c r="J195" s="5"/>
      <c r="K195" s="180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5">
      <c r="A196" s="189">
        <f>'Données projet'!A184</f>
        <v>115</v>
      </c>
      <c r="B196" s="190">
        <f>'Données projet'!D184</f>
        <v>39</v>
      </c>
      <c r="C196" s="201">
        <v>150</v>
      </c>
      <c r="D196" s="188">
        <f t="shared" si="11"/>
        <v>5850</v>
      </c>
      <c r="E196" s="203"/>
      <c r="F196" s="259"/>
      <c r="G196" s="219"/>
      <c r="H196" s="200"/>
      <c r="I196" s="201"/>
      <c r="J196" s="5"/>
      <c r="K196" s="180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5">
      <c r="A197" s="189">
        <f>'Données projet'!A185</f>
        <v>120</v>
      </c>
      <c r="B197" s="190">
        <f>'Données projet'!D185</f>
        <v>318</v>
      </c>
      <c r="C197" s="201">
        <v>200</v>
      </c>
      <c r="D197" s="188">
        <f t="shared" si="11"/>
        <v>63600</v>
      </c>
      <c r="E197" s="203"/>
      <c r="F197" s="259"/>
      <c r="G197" s="219"/>
      <c r="H197" s="200"/>
      <c r="I197" s="201"/>
      <c r="J197" s="5"/>
      <c r="K197" s="180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5">
      <c r="A198" s="5"/>
      <c r="B198" s="5"/>
      <c r="C198" s="5"/>
      <c r="D198" s="5"/>
      <c r="E198" s="5"/>
      <c r="F198" s="257"/>
      <c r="G198" s="219"/>
      <c r="H198" s="200"/>
      <c r="I198" s="201"/>
      <c r="J198" s="5"/>
      <c r="K198" s="180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5">
      <c r="A199" s="5"/>
      <c r="B199" s="5"/>
      <c r="C199" s="5"/>
      <c r="D199" s="5"/>
      <c r="E199" s="5"/>
      <c r="F199" s="257"/>
      <c r="G199" s="219"/>
      <c r="H199" s="200"/>
      <c r="I199" s="201"/>
      <c r="J199" s="5"/>
      <c r="K199" s="180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5">
      <c r="A200" s="49" t="s">
        <v>171</v>
      </c>
      <c r="B200" s="183" t="str">
        <f>IF('Données projet'!$B$15="","",'Données projet'!$B$15)</f>
        <v>Orme</v>
      </c>
      <c r="C200" s="5"/>
      <c r="D200" s="5"/>
      <c r="E200" s="5"/>
      <c r="F200" s="257"/>
      <c r="G200" s="219"/>
      <c r="H200" s="200"/>
      <c r="I200" s="201"/>
      <c r="J200" s="5"/>
      <c r="K200" s="180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5">
      <c r="A201" s="49"/>
      <c r="B201" s="5"/>
      <c r="C201" s="5"/>
      <c r="D201" s="5"/>
      <c r="E201" s="5"/>
      <c r="F201" s="257"/>
      <c r="G201" s="219"/>
      <c r="H201" s="200"/>
      <c r="I201" s="201"/>
      <c r="J201" s="5"/>
      <c r="K201" s="180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5">
      <c r="A202" s="253" t="s">
        <v>180</v>
      </c>
      <c r="B202" s="51" t="s">
        <v>256</v>
      </c>
      <c r="C202" s="51" t="s">
        <v>255</v>
      </c>
      <c r="D202" s="253" t="s">
        <v>252</v>
      </c>
      <c r="E202" s="253" t="s">
        <v>320</v>
      </c>
      <c r="F202" s="258"/>
      <c r="G202" s="219"/>
      <c r="H202" s="200"/>
      <c r="I202" s="201"/>
      <c r="J202" s="5"/>
      <c r="K202" s="180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5">
      <c r="A203" s="206">
        <v>0</v>
      </c>
      <c r="B203" s="209" t="s">
        <v>132</v>
      </c>
      <c r="C203" s="208"/>
      <c r="D203" s="207" t="s">
        <v>132</v>
      </c>
      <c r="E203" s="203"/>
      <c r="F203" s="258"/>
      <c r="G203" s="219"/>
      <c r="H203" s="200"/>
      <c r="I203" s="201"/>
      <c r="J203" s="5"/>
      <c r="K203" s="180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5">
      <c r="A204" s="206">
        <v>1</v>
      </c>
      <c r="B204" s="209" t="s">
        <v>132</v>
      </c>
      <c r="C204" s="208"/>
      <c r="D204" s="207" t="s">
        <v>132</v>
      </c>
      <c r="E204" s="203"/>
      <c r="F204" s="258"/>
      <c r="G204" s="217"/>
      <c r="H204" s="200"/>
      <c r="I204" s="201"/>
      <c r="J204" s="5"/>
      <c r="K204" s="180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5">
      <c r="A205" s="206">
        <v>2</v>
      </c>
      <c r="B205" s="209" t="s">
        <v>132</v>
      </c>
      <c r="C205" s="208"/>
      <c r="D205" s="207" t="s">
        <v>132</v>
      </c>
      <c r="E205" s="203"/>
      <c r="F205" s="258"/>
      <c r="G205" s="217"/>
      <c r="H205" s="200"/>
      <c r="I205" s="201"/>
      <c r="J205" s="5"/>
      <c r="K205" s="180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5">
      <c r="A206" s="206">
        <v>3</v>
      </c>
      <c r="B206" s="209" t="s">
        <v>132</v>
      </c>
      <c r="C206" s="208"/>
      <c r="D206" s="207" t="s">
        <v>132</v>
      </c>
      <c r="E206" s="203"/>
      <c r="F206" s="258"/>
      <c r="G206" s="217"/>
      <c r="H206" s="200"/>
      <c r="I206" s="201"/>
      <c r="J206" s="5"/>
      <c r="K206" s="180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5">
      <c r="A207" s="206">
        <v>4</v>
      </c>
      <c r="B207" s="209" t="s">
        <v>132</v>
      </c>
      <c r="C207" s="208"/>
      <c r="D207" s="207" t="s">
        <v>132</v>
      </c>
      <c r="E207" s="203"/>
      <c r="F207" s="258"/>
      <c r="G207" s="217"/>
      <c r="H207" s="200"/>
      <c r="I207" s="201"/>
      <c r="J207" s="5"/>
      <c r="K207" s="180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5">
      <c r="A208" s="206">
        <v>5</v>
      </c>
      <c r="B208" s="209" t="s">
        <v>132</v>
      </c>
      <c r="C208" s="208"/>
      <c r="D208" s="207" t="s">
        <v>132</v>
      </c>
      <c r="E208" s="203"/>
      <c r="F208" s="258"/>
      <c r="G208" s="218"/>
      <c r="H208" s="200"/>
      <c r="I208" s="201"/>
      <c r="J208" s="5"/>
      <c r="K208" s="180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5">
      <c r="A209" s="189">
        <f>'Données projet'!A192</f>
        <v>20</v>
      </c>
      <c r="B209" s="190">
        <f>'Données projet'!D192</f>
        <v>0</v>
      </c>
      <c r="C209" s="201"/>
      <c r="D209" s="188">
        <f>B209*C209</f>
        <v>0</v>
      </c>
      <c r="E209" s="203"/>
      <c r="F209" s="259"/>
      <c r="G209" s="218"/>
      <c r="H209" s="200"/>
      <c r="I209" s="201"/>
      <c r="J209" s="5"/>
      <c r="K209" s="180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5">
      <c r="A210" s="189">
        <f>'Données projet'!A193</f>
        <v>25</v>
      </c>
      <c r="B210" s="190">
        <f>'Données projet'!D193</f>
        <v>0</v>
      </c>
      <c r="C210" s="201"/>
      <c r="D210" s="188">
        <f t="shared" ref="D210:D228" si="12">B210*C210</f>
        <v>0</v>
      </c>
      <c r="E210" s="203"/>
      <c r="F210" s="259"/>
      <c r="G210" s="218"/>
      <c r="H210" s="200"/>
      <c r="I210" s="201"/>
      <c r="J210" s="5"/>
      <c r="K210" s="180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5">
      <c r="A211" s="189">
        <f>'Données projet'!A194</f>
        <v>30</v>
      </c>
      <c r="B211" s="190">
        <f>'Données projet'!D194</f>
        <v>35</v>
      </c>
      <c r="C211" s="201">
        <v>15</v>
      </c>
      <c r="D211" s="188">
        <f t="shared" si="12"/>
        <v>525</v>
      </c>
      <c r="E211" s="203"/>
      <c r="F211" s="259"/>
      <c r="G211" s="218"/>
      <c r="H211" s="200"/>
      <c r="I211" s="201"/>
      <c r="J211" s="5"/>
      <c r="K211" s="180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5">
      <c r="A212" s="189">
        <f>'Données projet'!A195</f>
        <v>35</v>
      </c>
      <c r="B212" s="190">
        <f>'Données projet'!D195</f>
        <v>0</v>
      </c>
      <c r="C212" s="201">
        <v>15</v>
      </c>
      <c r="D212" s="188">
        <f t="shared" si="12"/>
        <v>0</v>
      </c>
      <c r="E212" s="203"/>
      <c r="F212" s="259"/>
      <c r="G212" s="218"/>
      <c r="H212" s="200"/>
      <c r="I212" s="201"/>
      <c r="J212" s="5"/>
      <c r="K212" s="180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5">
      <c r="A213" s="189">
        <f>'Données projet'!A196</f>
        <v>40</v>
      </c>
      <c r="B213" s="190">
        <f>'Données projet'!D196</f>
        <v>56</v>
      </c>
      <c r="C213" s="201">
        <v>20</v>
      </c>
      <c r="D213" s="188">
        <f t="shared" si="12"/>
        <v>1120</v>
      </c>
      <c r="E213" s="203"/>
      <c r="F213" s="259"/>
      <c r="G213" s="218"/>
      <c r="H213" s="200"/>
      <c r="I213" s="201"/>
      <c r="J213" s="5"/>
      <c r="K213" s="180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5">
      <c r="A214" s="189">
        <f>'Données projet'!A197</f>
        <v>45</v>
      </c>
      <c r="B214" s="190">
        <f>'Données projet'!D197</f>
        <v>0</v>
      </c>
      <c r="C214" s="201">
        <v>20</v>
      </c>
      <c r="D214" s="188">
        <f>B214*C214</f>
        <v>0</v>
      </c>
      <c r="E214" s="203"/>
      <c r="F214" s="259"/>
      <c r="G214" s="218"/>
      <c r="H214" s="200"/>
      <c r="I214" s="201"/>
      <c r="J214" s="5"/>
      <c r="K214" s="180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5">
      <c r="A215" s="189">
        <f>'Données projet'!A198</f>
        <v>50</v>
      </c>
      <c r="B215" s="190">
        <f>'Données projet'!D198</f>
        <v>56</v>
      </c>
      <c r="C215" s="201">
        <v>30</v>
      </c>
      <c r="D215" s="188">
        <f t="shared" si="12"/>
        <v>1680</v>
      </c>
      <c r="E215" s="203"/>
      <c r="F215" s="259"/>
      <c r="G215" s="219"/>
      <c r="H215" s="200"/>
      <c r="I215" s="201"/>
      <c r="J215" s="5"/>
      <c r="K215" s="180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5">
      <c r="A216" s="189">
        <f>'Données projet'!A199</f>
        <v>55</v>
      </c>
      <c r="B216" s="190">
        <f>'Données projet'!D199</f>
        <v>0</v>
      </c>
      <c r="C216" s="201">
        <v>30</v>
      </c>
      <c r="D216" s="188">
        <f t="shared" si="12"/>
        <v>0</v>
      </c>
      <c r="E216" s="203"/>
      <c r="F216" s="259"/>
      <c r="G216" s="219"/>
      <c r="H216" s="200"/>
      <c r="I216" s="201"/>
      <c r="J216" s="5"/>
      <c r="K216" s="180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5">
      <c r="A217" s="189">
        <f>'Données projet'!A200</f>
        <v>60</v>
      </c>
      <c r="B217" s="190">
        <f>'Données projet'!D200</f>
        <v>56</v>
      </c>
      <c r="C217" s="203">
        <v>40</v>
      </c>
      <c r="D217" s="188">
        <f>B217*C217</f>
        <v>2240</v>
      </c>
      <c r="E217" s="203"/>
      <c r="F217" s="259"/>
      <c r="G217" s="219"/>
      <c r="H217" s="200"/>
      <c r="I217" s="201"/>
      <c r="J217" s="5"/>
      <c r="K217" s="180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5">
      <c r="A218" s="189">
        <f>'Données projet'!A201</f>
        <v>65</v>
      </c>
      <c r="B218" s="190">
        <f>'Données projet'!D201</f>
        <v>0</v>
      </c>
      <c r="C218" s="203">
        <v>40</v>
      </c>
      <c r="D218" s="188">
        <f t="shared" si="12"/>
        <v>0</v>
      </c>
      <c r="E218" s="203"/>
      <c r="F218" s="259"/>
      <c r="G218" s="219"/>
      <c r="H218" s="200"/>
      <c r="I218" s="201"/>
      <c r="J218" s="5"/>
      <c r="K218" s="180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5">
      <c r="A219" s="189">
        <f>'Données projet'!A202</f>
        <v>70</v>
      </c>
      <c r="B219" s="190">
        <f>'Données projet'!D202</f>
        <v>56</v>
      </c>
      <c r="C219" s="203">
        <v>50</v>
      </c>
      <c r="D219" s="188">
        <f t="shared" si="12"/>
        <v>2800</v>
      </c>
      <c r="E219" s="203"/>
      <c r="F219" s="259"/>
      <c r="G219" s="219"/>
      <c r="H219" s="200"/>
      <c r="I219" s="201"/>
      <c r="J219" s="5"/>
      <c r="K219" s="180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5">
      <c r="A220" s="189">
        <f>'Données projet'!A203</f>
        <v>75</v>
      </c>
      <c r="B220" s="190">
        <f>'Données projet'!D203</f>
        <v>0</v>
      </c>
      <c r="C220" s="203">
        <v>50</v>
      </c>
      <c r="D220" s="188">
        <f t="shared" si="12"/>
        <v>0</v>
      </c>
      <c r="E220" s="203"/>
      <c r="F220" s="259"/>
      <c r="G220" s="219"/>
      <c r="H220" s="5"/>
      <c r="I220" s="5"/>
      <c r="J220" s="5"/>
      <c r="K220" s="180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5">
      <c r="A221" s="189">
        <f>'Données projet'!A204</f>
        <v>80</v>
      </c>
      <c r="B221" s="190">
        <f>'Données projet'!D204</f>
        <v>56</v>
      </c>
      <c r="C221" s="203">
        <v>60</v>
      </c>
      <c r="D221" s="188">
        <f t="shared" si="12"/>
        <v>3360</v>
      </c>
      <c r="E221" s="203"/>
      <c r="F221" s="259"/>
      <c r="G221" s="219"/>
      <c r="H221" s="5"/>
      <c r="I221" s="5"/>
      <c r="J221" s="5"/>
      <c r="K221" s="180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5">
      <c r="A222" s="189">
        <f>'Données projet'!A205</f>
        <v>90</v>
      </c>
      <c r="B222" s="190">
        <f>'Données projet'!D205</f>
        <v>53</v>
      </c>
      <c r="C222" s="203">
        <v>60</v>
      </c>
      <c r="D222" s="188">
        <f t="shared" si="12"/>
        <v>3180</v>
      </c>
      <c r="E222" s="203"/>
      <c r="F222" s="259"/>
      <c r="G222" s="219"/>
      <c r="H222" s="5"/>
      <c r="I222" s="5"/>
      <c r="J222" s="5"/>
      <c r="K222" s="180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5">
      <c r="A223" s="189">
        <f>'Données projet'!A206</f>
        <v>100</v>
      </c>
      <c r="B223" s="190">
        <f>'Données projet'!D206</f>
        <v>49</v>
      </c>
      <c r="C223" s="201">
        <v>70</v>
      </c>
      <c r="D223" s="188">
        <f t="shared" si="12"/>
        <v>3430</v>
      </c>
      <c r="E223" s="203"/>
      <c r="F223" s="259"/>
      <c r="G223" s="219"/>
      <c r="H223" s="5"/>
      <c r="I223" s="5"/>
      <c r="J223" s="5"/>
      <c r="K223" s="180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5">
      <c r="A224" s="189">
        <f>'Données projet'!A207</f>
        <v>110</v>
      </c>
      <c r="B224" s="190">
        <f>'Données projet'!D207</f>
        <v>45</v>
      </c>
      <c r="C224" s="203">
        <v>80</v>
      </c>
      <c r="D224" s="188">
        <f t="shared" si="12"/>
        <v>3600</v>
      </c>
      <c r="E224" s="203"/>
      <c r="F224" s="259"/>
      <c r="G224" s="219"/>
      <c r="H224" s="5"/>
      <c r="I224" s="5"/>
      <c r="J224" s="5"/>
      <c r="K224" s="180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5">
      <c r="A225" s="189">
        <f>'Données projet'!A208</f>
        <v>120</v>
      </c>
      <c r="B225" s="190">
        <f>'Données projet'!D208</f>
        <v>43</v>
      </c>
      <c r="C225" s="203">
        <v>90</v>
      </c>
      <c r="D225" s="188">
        <f t="shared" si="12"/>
        <v>3870</v>
      </c>
      <c r="E225" s="203"/>
      <c r="F225" s="259"/>
      <c r="G225" s="219"/>
      <c r="H225" s="5"/>
      <c r="I225" s="5"/>
      <c r="J225" s="5"/>
      <c r="K225" s="180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5">
      <c r="A226" s="189">
        <f>'Données projet'!A209</f>
        <v>130</v>
      </c>
      <c r="B226" s="190">
        <f>'Données projet'!D209</f>
        <v>41</v>
      </c>
      <c r="C226" s="203">
        <v>100</v>
      </c>
      <c r="D226" s="188">
        <f t="shared" si="12"/>
        <v>4100</v>
      </c>
      <c r="E226" s="203"/>
      <c r="F226" s="259"/>
      <c r="G226" s="219"/>
      <c r="H226" s="5"/>
      <c r="I226" s="5"/>
      <c r="J226" s="5"/>
      <c r="K226" s="180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5">
      <c r="A227" s="189">
        <f>'Données projet'!A210</f>
        <v>140</v>
      </c>
      <c r="B227" s="190">
        <f>'Données projet'!D210</f>
        <v>39</v>
      </c>
      <c r="C227" s="203">
        <v>150</v>
      </c>
      <c r="D227" s="188">
        <f t="shared" si="12"/>
        <v>5850</v>
      </c>
      <c r="E227" s="203"/>
      <c r="F227" s="259"/>
      <c r="G227" s="219"/>
      <c r="H227" s="5"/>
      <c r="I227" s="5"/>
      <c r="J227" s="5"/>
      <c r="K227" s="180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5">
      <c r="A228" s="189">
        <f>'Données projet'!A211</f>
        <v>150</v>
      </c>
      <c r="B228" s="190">
        <f>'Données projet'!D211</f>
        <v>467</v>
      </c>
      <c r="C228" s="203">
        <v>200</v>
      </c>
      <c r="D228" s="188">
        <f t="shared" si="12"/>
        <v>93400</v>
      </c>
      <c r="E228" s="203"/>
      <c r="F228" s="259"/>
      <c r="G228" s="219"/>
      <c r="H228" s="5"/>
      <c r="I228" s="5"/>
      <c r="J228" s="5"/>
      <c r="K228" s="180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5">
      <c r="A229" s="5"/>
      <c r="B229" s="5"/>
      <c r="C229" s="5"/>
      <c r="D229" s="5"/>
      <c r="E229" s="5"/>
      <c r="F229" s="257"/>
      <c r="G229" s="219"/>
      <c r="H229" s="5"/>
      <c r="I229" s="5"/>
      <c r="J229" s="5"/>
      <c r="K229" s="180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5">
      <c r="A230" s="5"/>
      <c r="B230" s="5"/>
      <c r="C230" s="5"/>
      <c r="D230" s="5"/>
      <c r="E230" s="5"/>
      <c r="F230" s="257"/>
      <c r="G230" s="219"/>
      <c r="H230" s="5"/>
      <c r="I230" s="5"/>
      <c r="J230" s="5"/>
      <c r="K230" s="180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5">
      <c r="A231" s="49" t="s">
        <v>172</v>
      </c>
      <c r="B231" s="183" t="str">
        <f>IF('Données projet'!$B$16="","",'Données projet'!$B$16)</f>
        <v/>
      </c>
      <c r="C231" s="5"/>
      <c r="D231" s="5"/>
      <c r="E231" s="5"/>
      <c r="F231" s="257"/>
      <c r="G231" s="219"/>
      <c r="H231" s="5"/>
      <c r="I231" s="5"/>
      <c r="J231" s="5"/>
      <c r="K231" s="180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5">
      <c r="A232" s="49"/>
      <c r="B232" s="5"/>
      <c r="C232" s="5"/>
      <c r="D232" s="5"/>
      <c r="E232" s="5"/>
      <c r="F232" s="257"/>
      <c r="G232" s="219"/>
      <c r="H232" s="5"/>
      <c r="I232" s="5"/>
      <c r="J232" s="5"/>
      <c r="K232" s="180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5">
      <c r="A233" s="253" t="s">
        <v>180</v>
      </c>
      <c r="B233" s="51" t="s">
        <v>256</v>
      </c>
      <c r="C233" s="51" t="s">
        <v>255</v>
      </c>
      <c r="D233" s="253" t="s">
        <v>252</v>
      </c>
      <c r="E233" s="253" t="s">
        <v>320</v>
      </c>
      <c r="F233" s="258"/>
      <c r="G233" s="219"/>
      <c r="H233" s="5"/>
      <c r="I233" s="5"/>
      <c r="J233" s="5"/>
      <c r="K233" s="180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5">
      <c r="A234" s="206">
        <v>0</v>
      </c>
      <c r="B234" s="209" t="s">
        <v>132</v>
      </c>
      <c r="C234" s="208"/>
      <c r="D234" s="207" t="s">
        <v>132</v>
      </c>
      <c r="E234" s="203"/>
      <c r="F234" s="258"/>
      <c r="G234" s="219"/>
      <c r="H234" s="5"/>
      <c r="I234" s="5"/>
      <c r="J234" s="5"/>
      <c r="K234" s="180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5">
      <c r="A235" s="206">
        <v>1</v>
      </c>
      <c r="B235" s="209" t="s">
        <v>132</v>
      </c>
      <c r="C235" s="208"/>
      <c r="D235" s="207" t="s">
        <v>132</v>
      </c>
      <c r="E235" s="203"/>
      <c r="F235" s="258"/>
      <c r="G235" s="217"/>
      <c r="H235" s="5"/>
      <c r="I235" s="5"/>
      <c r="J235" s="5"/>
      <c r="K235" s="180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5">
      <c r="A236" s="206">
        <v>2</v>
      </c>
      <c r="B236" s="209" t="s">
        <v>132</v>
      </c>
      <c r="C236" s="208"/>
      <c r="D236" s="207" t="s">
        <v>132</v>
      </c>
      <c r="E236" s="203"/>
      <c r="F236" s="258"/>
      <c r="G236" s="217"/>
      <c r="H236" s="5"/>
      <c r="I236" s="5"/>
      <c r="J236" s="5"/>
      <c r="K236" s="180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5">
      <c r="A237" s="206">
        <v>3</v>
      </c>
      <c r="B237" s="209" t="s">
        <v>132</v>
      </c>
      <c r="C237" s="208"/>
      <c r="D237" s="207" t="s">
        <v>132</v>
      </c>
      <c r="E237" s="203"/>
      <c r="F237" s="258"/>
      <c r="G237" s="217"/>
      <c r="H237" s="5"/>
      <c r="I237" s="5"/>
      <c r="J237" s="5"/>
      <c r="K237" s="180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5">
      <c r="A238" s="206">
        <v>4</v>
      </c>
      <c r="B238" s="209" t="s">
        <v>132</v>
      </c>
      <c r="C238" s="208"/>
      <c r="D238" s="207" t="s">
        <v>132</v>
      </c>
      <c r="E238" s="203"/>
      <c r="F238" s="258"/>
      <c r="G238" s="217"/>
      <c r="H238" s="5"/>
      <c r="I238" s="5"/>
      <c r="J238" s="5"/>
      <c r="K238" s="180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5">
      <c r="A239" s="206">
        <v>5</v>
      </c>
      <c r="B239" s="209" t="s">
        <v>132</v>
      </c>
      <c r="C239" s="208"/>
      <c r="D239" s="207" t="s">
        <v>132</v>
      </c>
      <c r="E239" s="203"/>
      <c r="F239" s="258"/>
      <c r="G239" s="218"/>
      <c r="H239" s="5"/>
      <c r="I239" s="5"/>
      <c r="J239" s="5"/>
      <c r="K239" s="180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5">
      <c r="A240" s="189">
        <f>'Données projet'!A218</f>
        <v>0</v>
      </c>
      <c r="B240" s="190">
        <f>'Données projet'!D218</f>
        <v>0</v>
      </c>
      <c r="C240" s="203"/>
      <c r="D240" s="188">
        <f>B240*C240</f>
        <v>0</v>
      </c>
      <c r="E240" s="203"/>
      <c r="F240" s="259"/>
      <c r="G240" s="218"/>
      <c r="H240" s="5"/>
      <c r="I240" s="5"/>
      <c r="J240" s="5"/>
      <c r="K240" s="180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5">
      <c r="A241" s="189">
        <f>'Données projet'!A219</f>
        <v>0</v>
      </c>
      <c r="B241" s="190">
        <f>'Données projet'!D219</f>
        <v>0</v>
      </c>
      <c r="C241" s="203"/>
      <c r="D241" s="188">
        <f t="shared" ref="D241:D259" si="13">B241*C241</f>
        <v>0</v>
      </c>
      <c r="E241" s="203"/>
      <c r="F241" s="259"/>
      <c r="G241" s="218"/>
      <c r="H241" s="5"/>
      <c r="I241" s="5"/>
      <c r="J241" s="5"/>
      <c r="K241" s="180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5">
      <c r="A242" s="189">
        <f>'Données projet'!A220</f>
        <v>0</v>
      </c>
      <c r="B242" s="190">
        <f>'Données projet'!D220</f>
        <v>0</v>
      </c>
      <c r="C242" s="203"/>
      <c r="D242" s="188">
        <f t="shared" si="13"/>
        <v>0</v>
      </c>
      <c r="E242" s="203"/>
      <c r="F242" s="259"/>
      <c r="G242" s="218"/>
      <c r="H242" s="5"/>
      <c r="I242" s="5"/>
      <c r="J242" s="5"/>
      <c r="K242" s="180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5">
      <c r="A243" s="189">
        <f>'Données projet'!A221</f>
        <v>0</v>
      </c>
      <c r="B243" s="190">
        <f>'Données projet'!D221</f>
        <v>0</v>
      </c>
      <c r="C243" s="203"/>
      <c r="D243" s="188">
        <f t="shared" si="13"/>
        <v>0</v>
      </c>
      <c r="E243" s="203"/>
      <c r="F243" s="259"/>
      <c r="G243" s="218"/>
      <c r="H243" s="5"/>
      <c r="I243" s="5"/>
      <c r="J243" s="5"/>
      <c r="K243" s="180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5">
      <c r="A244" s="189">
        <f>'Données projet'!A222</f>
        <v>0</v>
      </c>
      <c r="B244" s="190">
        <f>'Données projet'!D222</f>
        <v>0</v>
      </c>
      <c r="C244" s="203"/>
      <c r="D244" s="188">
        <f t="shared" si="13"/>
        <v>0</v>
      </c>
      <c r="E244" s="203"/>
      <c r="F244" s="259"/>
      <c r="G244" s="218"/>
      <c r="H244" s="5"/>
      <c r="I244" s="5"/>
      <c r="J244" s="5"/>
      <c r="K244" s="180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5">
      <c r="A245" s="189">
        <f>'Données projet'!A223</f>
        <v>0</v>
      </c>
      <c r="B245" s="190">
        <f>'Données projet'!D223</f>
        <v>0</v>
      </c>
      <c r="C245" s="203"/>
      <c r="D245" s="188">
        <f t="shared" si="13"/>
        <v>0</v>
      </c>
      <c r="E245" s="203"/>
      <c r="F245" s="259"/>
      <c r="G245" s="218"/>
      <c r="H245" s="5"/>
      <c r="I245" s="5"/>
      <c r="J245" s="5"/>
      <c r="K245" s="180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5">
      <c r="A246" s="189">
        <f>'Données projet'!A224</f>
        <v>0</v>
      </c>
      <c r="B246" s="190">
        <f>'Données projet'!D224</f>
        <v>0</v>
      </c>
      <c r="C246" s="203"/>
      <c r="D246" s="188">
        <f t="shared" si="13"/>
        <v>0</v>
      </c>
      <c r="E246" s="203"/>
      <c r="F246" s="259"/>
      <c r="G246" s="219"/>
      <c r="H246" s="5"/>
      <c r="I246" s="5"/>
      <c r="J246" s="5"/>
      <c r="K246" s="180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5">
      <c r="A247" s="189">
        <f>'Données projet'!A225</f>
        <v>0</v>
      </c>
      <c r="B247" s="190">
        <f>'Données projet'!D225</f>
        <v>0</v>
      </c>
      <c r="C247" s="203"/>
      <c r="D247" s="188">
        <f t="shared" si="13"/>
        <v>0</v>
      </c>
      <c r="E247" s="203"/>
      <c r="F247" s="259"/>
      <c r="G247" s="219"/>
      <c r="H247" s="5"/>
      <c r="I247" s="5"/>
      <c r="J247" s="5"/>
      <c r="K247" s="180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5">
      <c r="A248" s="189">
        <f>'Données projet'!A226</f>
        <v>0</v>
      </c>
      <c r="B248" s="190">
        <f>'Données projet'!D226</f>
        <v>0</v>
      </c>
      <c r="C248" s="203"/>
      <c r="D248" s="188">
        <f t="shared" si="13"/>
        <v>0</v>
      </c>
      <c r="E248" s="203"/>
      <c r="F248" s="259"/>
      <c r="G248" s="219"/>
      <c r="H248" s="5"/>
      <c r="I248" s="5"/>
      <c r="J248" s="5"/>
      <c r="K248" s="180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5">
      <c r="A249" s="189">
        <f>'Données projet'!A227</f>
        <v>0</v>
      </c>
      <c r="B249" s="190">
        <f>'Données projet'!D227</f>
        <v>0</v>
      </c>
      <c r="C249" s="203"/>
      <c r="D249" s="188">
        <f t="shared" si="13"/>
        <v>0</v>
      </c>
      <c r="E249" s="203"/>
      <c r="F249" s="259"/>
      <c r="G249" s="219"/>
      <c r="H249" s="5"/>
      <c r="I249" s="5"/>
      <c r="J249" s="5"/>
      <c r="K249" s="180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5">
      <c r="A250" s="189">
        <f>'Données projet'!A228</f>
        <v>0</v>
      </c>
      <c r="B250" s="190">
        <f>'Données projet'!D228</f>
        <v>0</v>
      </c>
      <c r="C250" s="203"/>
      <c r="D250" s="188">
        <f t="shared" si="13"/>
        <v>0</v>
      </c>
      <c r="E250" s="203"/>
      <c r="F250" s="259"/>
      <c r="G250" s="219"/>
      <c r="H250" s="5"/>
      <c r="I250" s="5"/>
      <c r="J250" s="5"/>
      <c r="K250" s="180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5">
      <c r="A251" s="189">
        <f>'Données projet'!A229</f>
        <v>0</v>
      </c>
      <c r="B251" s="190">
        <f>'Données projet'!D229</f>
        <v>0</v>
      </c>
      <c r="C251" s="203"/>
      <c r="D251" s="188">
        <f t="shared" si="13"/>
        <v>0</v>
      </c>
      <c r="E251" s="203"/>
      <c r="F251" s="259"/>
      <c r="G251" s="219"/>
      <c r="H251" s="5"/>
      <c r="I251" s="5"/>
      <c r="J251" s="5"/>
      <c r="K251" s="180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5">
      <c r="A252" s="189">
        <f>'Données projet'!A230</f>
        <v>0</v>
      </c>
      <c r="B252" s="190">
        <f>'Données projet'!D230</f>
        <v>0</v>
      </c>
      <c r="C252" s="203"/>
      <c r="D252" s="188">
        <f t="shared" si="13"/>
        <v>0</v>
      </c>
      <c r="E252" s="203"/>
      <c r="F252" s="259"/>
      <c r="G252" s="219"/>
      <c r="H252" s="5"/>
      <c r="I252" s="5"/>
      <c r="J252" s="5"/>
      <c r="K252" s="180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5">
      <c r="A253" s="189">
        <f>'Données projet'!A231</f>
        <v>0</v>
      </c>
      <c r="B253" s="190">
        <f>'Données projet'!D231</f>
        <v>0</v>
      </c>
      <c r="C253" s="203"/>
      <c r="D253" s="188">
        <f t="shared" si="13"/>
        <v>0</v>
      </c>
      <c r="E253" s="203"/>
      <c r="F253" s="259"/>
      <c r="G253" s="219"/>
      <c r="H253" s="5"/>
      <c r="I253" s="5"/>
      <c r="J253" s="5"/>
      <c r="K253" s="180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5">
      <c r="A254" s="189">
        <f>'Données projet'!A232</f>
        <v>0</v>
      </c>
      <c r="B254" s="190">
        <f>'Données projet'!D232</f>
        <v>0</v>
      </c>
      <c r="C254" s="203"/>
      <c r="D254" s="188">
        <f t="shared" si="13"/>
        <v>0</v>
      </c>
      <c r="E254" s="203"/>
      <c r="F254" s="259"/>
      <c r="G254" s="219"/>
      <c r="H254" s="5"/>
      <c r="I254" s="5"/>
      <c r="J254" s="5"/>
      <c r="K254" s="180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5">
      <c r="A255" s="189">
        <f>'Données projet'!A233</f>
        <v>0</v>
      </c>
      <c r="B255" s="190">
        <f>'Données projet'!D233</f>
        <v>0</v>
      </c>
      <c r="C255" s="203"/>
      <c r="D255" s="188">
        <f t="shared" si="13"/>
        <v>0</v>
      </c>
      <c r="E255" s="203"/>
      <c r="F255" s="259"/>
      <c r="G255" s="219"/>
      <c r="H255" s="5"/>
      <c r="I255" s="5"/>
      <c r="J255" s="5"/>
      <c r="K255" s="180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5">
      <c r="A256" s="189">
        <f>'Données projet'!A234</f>
        <v>0</v>
      </c>
      <c r="B256" s="190">
        <f>'Données projet'!D234</f>
        <v>0</v>
      </c>
      <c r="C256" s="203"/>
      <c r="D256" s="188">
        <f t="shared" si="13"/>
        <v>0</v>
      </c>
      <c r="E256" s="203"/>
      <c r="F256" s="259"/>
      <c r="G256" s="219"/>
      <c r="H256" s="5"/>
      <c r="I256" s="5"/>
      <c r="J256" s="5"/>
      <c r="K256" s="180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5">
      <c r="A257" s="189">
        <f>'Données projet'!A235</f>
        <v>0</v>
      </c>
      <c r="B257" s="190">
        <f>'Données projet'!D235</f>
        <v>0</v>
      </c>
      <c r="C257" s="203"/>
      <c r="D257" s="188">
        <f t="shared" si="13"/>
        <v>0</v>
      </c>
      <c r="E257" s="203"/>
      <c r="F257" s="259"/>
      <c r="G257" s="219"/>
      <c r="H257" s="5"/>
      <c r="I257" s="5"/>
      <c r="J257" s="5"/>
      <c r="K257" s="180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5">
      <c r="A258" s="189">
        <f>'Données projet'!A236</f>
        <v>0</v>
      </c>
      <c r="B258" s="190">
        <f>'Données projet'!D236</f>
        <v>0</v>
      </c>
      <c r="C258" s="203"/>
      <c r="D258" s="188">
        <f t="shared" si="13"/>
        <v>0</v>
      </c>
      <c r="E258" s="203"/>
      <c r="F258" s="259"/>
      <c r="G258" s="219"/>
      <c r="H258" s="5"/>
      <c r="I258" s="5"/>
      <c r="J258" s="5"/>
      <c r="K258" s="180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5">
      <c r="A259" s="189">
        <f>'Données projet'!A237</f>
        <v>0</v>
      </c>
      <c r="B259" s="190">
        <f>'Données projet'!D237</f>
        <v>0</v>
      </c>
      <c r="C259" s="203"/>
      <c r="D259" s="188">
        <f t="shared" si="13"/>
        <v>0</v>
      </c>
      <c r="E259" s="203"/>
      <c r="F259" s="259"/>
      <c r="G259" s="219"/>
      <c r="H259" s="5"/>
      <c r="I259" s="5"/>
      <c r="J259" s="5"/>
      <c r="K259" s="180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5">
      <c r="A260" s="5"/>
      <c r="B260" s="5"/>
      <c r="C260" s="5"/>
      <c r="D260" s="5"/>
      <c r="E260" s="5"/>
      <c r="F260" s="257"/>
      <c r="G260" s="219"/>
      <c r="H260" s="5"/>
      <c r="I260" s="5"/>
      <c r="J260" s="5"/>
      <c r="K260" s="180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5">
      <c r="A261" s="5"/>
      <c r="B261" s="5"/>
      <c r="C261" s="5"/>
      <c r="D261" s="5"/>
      <c r="E261" s="5"/>
      <c r="F261" s="257"/>
      <c r="G261" s="219"/>
      <c r="H261" s="5"/>
      <c r="I261" s="5"/>
      <c r="J261" s="5"/>
      <c r="K261" s="180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5">
      <c r="A262" s="49" t="s">
        <v>173</v>
      </c>
      <c r="B262" s="183" t="str">
        <f>IF('Données projet'!$B$17="","",'Données projet'!$B$17)</f>
        <v/>
      </c>
      <c r="C262" s="5"/>
      <c r="D262" s="5"/>
      <c r="E262" s="5"/>
      <c r="F262" s="257"/>
      <c r="G262" s="219"/>
      <c r="H262" s="5"/>
      <c r="I262" s="5"/>
      <c r="J262" s="5"/>
      <c r="K262" s="180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5">
      <c r="A263" s="49"/>
      <c r="B263" s="5"/>
      <c r="C263" s="5"/>
      <c r="D263" s="5"/>
      <c r="E263" s="5"/>
      <c r="F263" s="257"/>
      <c r="G263" s="219"/>
      <c r="H263" s="5"/>
      <c r="I263" s="5"/>
      <c r="J263" s="5"/>
      <c r="K263" s="180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5">
      <c r="A264" s="253" t="s">
        <v>180</v>
      </c>
      <c r="B264" s="51" t="s">
        <v>256</v>
      </c>
      <c r="C264" s="51" t="s">
        <v>255</v>
      </c>
      <c r="D264" s="253" t="s">
        <v>252</v>
      </c>
      <c r="E264" s="253" t="s">
        <v>320</v>
      </c>
      <c r="F264" s="258"/>
      <c r="G264" s="219"/>
      <c r="H264" s="5"/>
      <c r="I264" s="5"/>
      <c r="J264" s="5"/>
      <c r="K264" s="180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5">
      <c r="A265" s="206">
        <v>0</v>
      </c>
      <c r="B265" s="209" t="s">
        <v>132</v>
      </c>
      <c r="C265" s="208"/>
      <c r="D265" s="207" t="s">
        <v>132</v>
      </c>
      <c r="E265" s="203"/>
      <c r="F265" s="258"/>
      <c r="G265" s="219"/>
      <c r="H265" s="5"/>
      <c r="I265" s="5"/>
      <c r="J265" s="5"/>
      <c r="K265" s="180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5">
      <c r="A266" s="206">
        <v>1</v>
      </c>
      <c r="B266" s="209" t="s">
        <v>132</v>
      </c>
      <c r="C266" s="208"/>
      <c r="D266" s="207" t="s">
        <v>132</v>
      </c>
      <c r="E266" s="203"/>
      <c r="F266" s="258"/>
      <c r="G266" s="217"/>
      <c r="H266" s="5"/>
      <c r="I266" s="5"/>
      <c r="J266" s="5"/>
      <c r="K266" s="180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5">
      <c r="A267" s="206">
        <v>2</v>
      </c>
      <c r="B267" s="209" t="s">
        <v>132</v>
      </c>
      <c r="C267" s="208"/>
      <c r="D267" s="207" t="s">
        <v>132</v>
      </c>
      <c r="E267" s="203"/>
      <c r="F267" s="258"/>
      <c r="G267" s="217"/>
      <c r="H267" s="5"/>
      <c r="I267" s="5"/>
      <c r="J267" s="5"/>
      <c r="K267" s="180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5">
      <c r="A268" s="206">
        <v>3</v>
      </c>
      <c r="B268" s="209" t="s">
        <v>132</v>
      </c>
      <c r="C268" s="208"/>
      <c r="D268" s="207" t="s">
        <v>132</v>
      </c>
      <c r="E268" s="203"/>
      <c r="F268" s="258"/>
      <c r="G268" s="217"/>
      <c r="H268" s="5"/>
      <c r="I268" s="5"/>
      <c r="J268" s="5"/>
      <c r="K268" s="180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5">
      <c r="A269" s="206">
        <v>4</v>
      </c>
      <c r="B269" s="209" t="s">
        <v>132</v>
      </c>
      <c r="C269" s="208"/>
      <c r="D269" s="207" t="s">
        <v>132</v>
      </c>
      <c r="E269" s="203"/>
      <c r="F269" s="258"/>
      <c r="G269" s="217"/>
      <c r="H269" s="5"/>
      <c r="I269" s="5"/>
      <c r="J269" s="5"/>
      <c r="K269" s="180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5">
      <c r="A270" s="206">
        <v>5</v>
      </c>
      <c r="B270" s="209" t="s">
        <v>132</v>
      </c>
      <c r="C270" s="208"/>
      <c r="D270" s="207" t="s">
        <v>132</v>
      </c>
      <c r="E270" s="203"/>
      <c r="F270" s="258"/>
      <c r="G270" s="218"/>
      <c r="H270" s="5"/>
      <c r="I270" s="5"/>
      <c r="J270" s="5"/>
      <c r="K270" s="180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5">
      <c r="A271" s="189">
        <f>'Données projet'!A244</f>
        <v>0</v>
      </c>
      <c r="B271" s="190">
        <f>'Données projet'!D244</f>
        <v>0</v>
      </c>
      <c r="C271" s="203"/>
      <c r="D271" s="188">
        <f>B271*C271</f>
        <v>0</v>
      </c>
      <c r="E271" s="203"/>
      <c r="F271" s="259"/>
      <c r="G271" s="218"/>
      <c r="H271" s="5"/>
      <c r="I271" s="5"/>
      <c r="J271" s="5"/>
      <c r="K271" s="180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5">
      <c r="A272" s="189">
        <f>'Données projet'!A245</f>
        <v>0</v>
      </c>
      <c r="B272" s="190">
        <f>'Données projet'!D245</f>
        <v>0</v>
      </c>
      <c r="C272" s="203"/>
      <c r="D272" s="188">
        <f t="shared" ref="D272:D290" si="14">B272*C272</f>
        <v>0</v>
      </c>
      <c r="E272" s="203"/>
      <c r="F272" s="259"/>
      <c r="G272" s="218"/>
      <c r="H272" s="5"/>
      <c r="I272" s="5"/>
      <c r="J272" s="5"/>
      <c r="K272" s="180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5">
      <c r="A273" s="189">
        <f>'Données projet'!A246</f>
        <v>0</v>
      </c>
      <c r="B273" s="190">
        <f>'Données projet'!D246</f>
        <v>0</v>
      </c>
      <c r="C273" s="201"/>
      <c r="D273" s="188">
        <f t="shared" si="14"/>
        <v>0</v>
      </c>
      <c r="E273" s="203"/>
      <c r="F273" s="259"/>
      <c r="G273" s="218"/>
      <c r="H273" s="5"/>
      <c r="I273" s="5"/>
      <c r="J273" s="5"/>
      <c r="K273" s="180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5">
      <c r="A274" s="189">
        <f>'Données projet'!A247</f>
        <v>0</v>
      </c>
      <c r="B274" s="190">
        <f>'Données projet'!D247</f>
        <v>0</v>
      </c>
      <c r="C274" s="201"/>
      <c r="D274" s="188">
        <f t="shared" si="14"/>
        <v>0</v>
      </c>
      <c r="E274" s="203"/>
      <c r="F274" s="259"/>
      <c r="G274" s="218"/>
      <c r="H274" s="5"/>
      <c r="I274" s="5"/>
      <c r="J274" s="5"/>
      <c r="K274" s="180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5">
      <c r="A275" s="189">
        <f>'Données projet'!A248</f>
        <v>0</v>
      </c>
      <c r="B275" s="190">
        <f>'Données projet'!D248</f>
        <v>0</v>
      </c>
      <c r="C275" s="201"/>
      <c r="D275" s="188">
        <f t="shared" si="14"/>
        <v>0</v>
      </c>
      <c r="E275" s="203"/>
      <c r="F275" s="259"/>
      <c r="G275" s="218"/>
      <c r="H275" s="5"/>
      <c r="I275" s="5"/>
      <c r="J275" s="5"/>
      <c r="K275" s="180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5">
      <c r="A276" s="189">
        <f>'Données projet'!A249</f>
        <v>0</v>
      </c>
      <c r="B276" s="190">
        <f>'Données projet'!D249</f>
        <v>0</v>
      </c>
      <c r="C276" s="201"/>
      <c r="D276" s="188">
        <f t="shared" si="14"/>
        <v>0</v>
      </c>
      <c r="E276" s="203"/>
      <c r="F276" s="259"/>
      <c r="G276" s="218"/>
      <c r="H276" s="5"/>
      <c r="I276" s="5"/>
      <c r="J276" s="5"/>
      <c r="K276" s="180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5">
      <c r="A277" s="189">
        <f>'Données projet'!A250</f>
        <v>0</v>
      </c>
      <c r="B277" s="190">
        <f>'Données projet'!D250</f>
        <v>0</v>
      </c>
      <c r="C277" s="201"/>
      <c r="D277" s="188">
        <f t="shared" si="14"/>
        <v>0</v>
      </c>
      <c r="E277" s="203"/>
      <c r="F277" s="259"/>
      <c r="G277" s="219"/>
      <c r="H277" s="5"/>
      <c r="I277" s="5"/>
      <c r="J277" s="5"/>
      <c r="K277" s="180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5">
      <c r="A278" s="189">
        <f>'Données projet'!A251</f>
        <v>0</v>
      </c>
      <c r="B278" s="190">
        <f>'Données projet'!D251</f>
        <v>0</v>
      </c>
      <c r="C278" s="201"/>
      <c r="D278" s="188">
        <f t="shared" si="14"/>
        <v>0</v>
      </c>
      <c r="E278" s="203"/>
      <c r="F278" s="259"/>
      <c r="G278" s="219"/>
      <c r="H278" s="5"/>
      <c r="I278" s="5"/>
      <c r="J278" s="5"/>
      <c r="K278" s="180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5">
      <c r="A279" s="189">
        <f>'Données projet'!A252</f>
        <v>0</v>
      </c>
      <c r="B279" s="190">
        <f>'Données projet'!D252</f>
        <v>0</v>
      </c>
      <c r="C279" s="201"/>
      <c r="D279" s="188">
        <f t="shared" si="14"/>
        <v>0</v>
      </c>
      <c r="E279" s="203"/>
      <c r="F279" s="259"/>
      <c r="G279" s="219"/>
      <c r="H279" s="5"/>
      <c r="I279" s="5"/>
      <c r="J279" s="5"/>
      <c r="K279" s="180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5">
      <c r="A280" s="189">
        <f>'Données projet'!A253</f>
        <v>0</v>
      </c>
      <c r="B280" s="190">
        <f>'Données projet'!D253</f>
        <v>0</v>
      </c>
      <c r="C280" s="201"/>
      <c r="D280" s="188">
        <f t="shared" si="14"/>
        <v>0</v>
      </c>
      <c r="E280" s="203"/>
      <c r="F280" s="259"/>
      <c r="G280" s="219"/>
      <c r="H280" s="5"/>
      <c r="I280" s="5"/>
      <c r="J280" s="5"/>
      <c r="K280" s="180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5">
      <c r="A281" s="189">
        <f>'Données projet'!A254</f>
        <v>0</v>
      </c>
      <c r="B281" s="190">
        <f>'Données projet'!D254</f>
        <v>0</v>
      </c>
      <c r="C281" s="201"/>
      <c r="D281" s="188">
        <f t="shared" si="14"/>
        <v>0</v>
      </c>
      <c r="E281" s="203"/>
      <c r="F281" s="259"/>
      <c r="G281" s="219"/>
      <c r="H281" s="5"/>
      <c r="I281" s="5"/>
      <c r="J281" s="5"/>
      <c r="K281" s="180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5">
      <c r="A282" s="189">
        <f>'Données projet'!A255</f>
        <v>0</v>
      </c>
      <c r="B282" s="190">
        <f>'Données projet'!D255</f>
        <v>0</v>
      </c>
      <c r="C282" s="201"/>
      <c r="D282" s="188">
        <f t="shared" si="14"/>
        <v>0</v>
      </c>
      <c r="E282" s="203"/>
      <c r="F282" s="259"/>
      <c r="G282" s="219"/>
      <c r="H282" s="5"/>
      <c r="I282" s="5"/>
      <c r="J282" s="5"/>
      <c r="K282" s="180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5">
      <c r="A283" s="189">
        <f>'Données projet'!A256</f>
        <v>0</v>
      </c>
      <c r="B283" s="190">
        <f>'Données projet'!D256</f>
        <v>0</v>
      </c>
      <c r="C283" s="201"/>
      <c r="D283" s="188">
        <f t="shared" si="14"/>
        <v>0</v>
      </c>
      <c r="E283" s="203"/>
      <c r="F283" s="259"/>
      <c r="G283" s="219"/>
      <c r="H283" s="5"/>
      <c r="I283" s="5"/>
      <c r="J283" s="5"/>
      <c r="K283" s="180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5">
      <c r="A284" s="189">
        <f>'Données projet'!A257</f>
        <v>0</v>
      </c>
      <c r="B284" s="190">
        <f>'Données projet'!D257</f>
        <v>0</v>
      </c>
      <c r="C284" s="201"/>
      <c r="D284" s="188">
        <f t="shared" si="14"/>
        <v>0</v>
      </c>
      <c r="E284" s="203"/>
      <c r="F284" s="259"/>
      <c r="G284" s="219"/>
      <c r="H284" s="5"/>
      <c r="I284" s="5"/>
      <c r="J284" s="5"/>
      <c r="K284" s="180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5">
      <c r="A285" s="189">
        <f>'Données projet'!A258</f>
        <v>0</v>
      </c>
      <c r="B285" s="190">
        <f>'Données projet'!D258</f>
        <v>0</v>
      </c>
      <c r="C285" s="201"/>
      <c r="D285" s="188">
        <f t="shared" si="14"/>
        <v>0</v>
      </c>
      <c r="E285" s="203"/>
      <c r="F285" s="259"/>
      <c r="G285" s="219"/>
      <c r="H285" s="5"/>
      <c r="I285" s="5"/>
      <c r="J285" s="5"/>
      <c r="K285" s="180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5">
      <c r="A286" s="189">
        <f>'Données projet'!A259</f>
        <v>0</v>
      </c>
      <c r="B286" s="190">
        <f>'Données projet'!D259</f>
        <v>0</v>
      </c>
      <c r="C286" s="201"/>
      <c r="D286" s="188">
        <f t="shared" si="14"/>
        <v>0</v>
      </c>
      <c r="E286" s="203"/>
      <c r="F286" s="259"/>
      <c r="G286" s="219"/>
      <c r="H286" s="5"/>
      <c r="I286" s="5"/>
      <c r="J286" s="5"/>
      <c r="K286" s="180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5">
      <c r="A287" s="189">
        <f>'Données projet'!A260</f>
        <v>0</v>
      </c>
      <c r="B287" s="190">
        <f>'Données projet'!D260</f>
        <v>0</v>
      </c>
      <c r="C287" s="201"/>
      <c r="D287" s="188">
        <f t="shared" si="14"/>
        <v>0</v>
      </c>
      <c r="E287" s="203"/>
      <c r="F287" s="259"/>
      <c r="G287" s="219"/>
      <c r="H287" s="5"/>
      <c r="I287" s="5"/>
      <c r="J287" s="5"/>
      <c r="K287" s="180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5">
      <c r="A288" s="189">
        <f>'Données projet'!A261</f>
        <v>0</v>
      </c>
      <c r="B288" s="190">
        <f>'Données projet'!D261</f>
        <v>0</v>
      </c>
      <c r="C288" s="201"/>
      <c r="D288" s="188">
        <f t="shared" si="14"/>
        <v>0</v>
      </c>
      <c r="E288" s="203"/>
      <c r="F288" s="259"/>
      <c r="G288" s="219"/>
      <c r="H288" s="5"/>
      <c r="I288" s="5"/>
      <c r="J288" s="5"/>
      <c r="K288" s="180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5">
      <c r="A289" s="189">
        <f>'Données projet'!A262</f>
        <v>0</v>
      </c>
      <c r="B289" s="190">
        <f>'Données projet'!D262</f>
        <v>0</v>
      </c>
      <c r="C289" s="201"/>
      <c r="D289" s="188">
        <f t="shared" si="14"/>
        <v>0</v>
      </c>
      <c r="E289" s="203"/>
      <c r="F289" s="259"/>
      <c r="G289" s="219"/>
      <c r="H289" s="5"/>
      <c r="I289" s="5"/>
      <c r="J289" s="5"/>
      <c r="K289" s="180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5">
      <c r="A290" s="189">
        <f>'Données projet'!A263</f>
        <v>0</v>
      </c>
      <c r="B290" s="190">
        <f>'Données projet'!D263</f>
        <v>0</v>
      </c>
      <c r="C290" s="201"/>
      <c r="D290" s="188">
        <f t="shared" si="14"/>
        <v>0</v>
      </c>
      <c r="E290" s="203"/>
      <c r="F290" s="259"/>
      <c r="G290" s="219"/>
      <c r="H290" s="5"/>
      <c r="I290" s="5"/>
      <c r="J290" s="5"/>
      <c r="K290" s="180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5">
      <c r="A291" s="5"/>
      <c r="B291" s="5"/>
      <c r="C291" s="5"/>
      <c r="D291" s="5"/>
      <c r="E291" s="5"/>
      <c r="F291" s="257"/>
      <c r="G291" s="219"/>
      <c r="H291" s="5"/>
      <c r="I291" s="5"/>
      <c r="J291" s="5"/>
      <c r="K291" s="180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5">
      <c r="A292" s="5"/>
      <c r="B292" s="5"/>
      <c r="C292" s="5"/>
      <c r="D292" s="5"/>
      <c r="E292" s="5"/>
      <c r="F292" s="257"/>
      <c r="G292" s="219"/>
      <c r="H292" s="5"/>
      <c r="I292" s="5"/>
      <c r="J292" s="5"/>
      <c r="K292" s="180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5">
      <c r="A293" s="49" t="s">
        <v>174</v>
      </c>
      <c r="B293" s="183" t="str">
        <f>IF('Données projet'!$B$18="","",'Données projet'!$B$18)</f>
        <v/>
      </c>
      <c r="C293" s="5"/>
      <c r="D293" s="5"/>
      <c r="E293" s="5"/>
      <c r="F293" s="257"/>
      <c r="G293" s="219"/>
      <c r="H293" s="5"/>
      <c r="I293" s="5"/>
      <c r="J293" s="5"/>
      <c r="K293" s="180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5">
      <c r="A294" s="49"/>
      <c r="B294" s="5"/>
      <c r="C294" s="5"/>
      <c r="D294" s="5"/>
      <c r="E294" s="5"/>
      <c r="F294" s="257"/>
      <c r="G294" s="219"/>
      <c r="H294" s="5"/>
      <c r="I294" s="5"/>
      <c r="J294" s="5"/>
      <c r="K294" s="180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5">
      <c r="A295" s="253" t="s">
        <v>180</v>
      </c>
      <c r="B295" s="51" t="s">
        <v>256</v>
      </c>
      <c r="C295" s="51" t="s">
        <v>255</v>
      </c>
      <c r="D295" s="253" t="s">
        <v>252</v>
      </c>
      <c r="E295" s="253" t="s">
        <v>320</v>
      </c>
      <c r="F295" s="258"/>
      <c r="G295" s="219"/>
      <c r="H295" s="5"/>
      <c r="I295" s="5"/>
      <c r="J295" s="5"/>
      <c r="K295" s="180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5">
      <c r="A296" s="206">
        <v>0</v>
      </c>
      <c r="B296" s="209" t="s">
        <v>132</v>
      </c>
      <c r="C296" s="208" t="s">
        <v>132</v>
      </c>
      <c r="D296" s="207" t="s">
        <v>132</v>
      </c>
      <c r="E296" s="203"/>
      <c r="F296" s="258"/>
      <c r="G296" s="219"/>
      <c r="H296" s="5"/>
      <c r="I296" s="5"/>
      <c r="J296" s="5"/>
      <c r="K296" s="180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5">
      <c r="A297" s="206">
        <v>1</v>
      </c>
      <c r="B297" s="209" t="s">
        <v>132</v>
      </c>
      <c r="C297" s="208" t="s">
        <v>132</v>
      </c>
      <c r="D297" s="207" t="s">
        <v>132</v>
      </c>
      <c r="E297" s="203"/>
      <c r="F297" s="258"/>
      <c r="G297" s="217"/>
      <c r="H297" s="5"/>
      <c r="I297" s="5"/>
      <c r="J297" s="5"/>
      <c r="K297" s="180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5">
      <c r="A298" s="206">
        <v>2</v>
      </c>
      <c r="B298" s="209" t="s">
        <v>132</v>
      </c>
      <c r="C298" s="208" t="s">
        <v>132</v>
      </c>
      <c r="D298" s="207" t="s">
        <v>132</v>
      </c>
      <c r="E298" s="203"/>
      <c r="F298" s="258"/>
      <c r="G298" s="217"/>
      <c r="H298" s="5"/>
      <c r="I298" s="5"/>
      <c r="J298" s="5"/>
      <c r="K298" s="180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5">
      <c r="A299" s="206">
        <v>3</v>
      </c>
      <c r="B299" s="209" t="s">
        <v>132</v>
      </c>
      <c r="C299" s="208" t="s">
        <v>132</v>
      </c>
      <c r="D299" s="207" t="s">
        <v>132</v>
      </c>
      <c r="E299" s="203"/>
      <c r="F299" s="258"/>
      <c r="G299" s="217"/>
      <c r="H299" s="5"/>
      <c r="I299" s="5"/>
      <c r="J299" s="5"/>
      <c r="K299" s="180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5">
      <c r="A300" s="206">
        <v>4</v>
      </c>
      <c r="B300" s="209" t="s">
        <v>132</v>
      </c>
      <c r="C300" s="208" t="s">
        <v>132</v>
      </c>
      <c r="D300" s="207" t="s">
        <v>132</v>
      </c>
      <c r="E300" s="203"/>
      <c r="F300" s="258"/>
      <c r="G300" s="217"/>
      <c r="H300" s="5"/>
      <c r="I300" s="5"/>
      <c r="J300" s="5"/>
      <c r="K300" s="180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5">
      <c r="A301" s="206">
        <v>5</v>
      </c>
      <c r="B301" s="209" t="s">
        <v>132</v>
      </c>
      <c r="C301" s="208" t="s">
        <v>132</v>
      </c>
      <c r="D301" s="207" t="s">
        <v>132</v>
      </c>
      <c r="E301" s="203"/>
      <c r="F301" s="258"/>
      <c r="G301" s="218"/>
      <c r="H301" s="5"/>
      <c r="I301" s="5"/>
      <c r="J301" s="5"/>
      <c r="K301" s="180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5">
      <c r="A302" s="189">
        <f>'Données projet'!A270</f>
        <v>0</v>
      </c>
      <c r="B302" s="190">
        <f>'Données projet'!D270</f>
        <v>0</v>
      </c>
      <c r="C302" s="201"/>
      <c r="D302" s="191">
        <f t="shared" ref="D302:D314" si="15">B302*C302</f>
        <v>0</v>
      </c>
      <c r="E302" s="203"/>
      <c r="F302" s="260"/>
      <c r="G302" s="218"/>
      <c r="H302" s="5"/>
      <c r="I302" s="5"/>
      <c r="J302" s="5"/>
      <c r="K302" s="180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5">
      <c r="A303" s="189">
        <f>'Données projet'!A271</f>
        <v>0</v>
      </c>
      <c r="B303" s="190">
        <f>'Données projet'!D271</f>
        <v>0</v>
      </c>
      <c r="C303" s="203"/>
      <c r="D303" s="191">
        <f t="shared" si="15"/>
        <v>0</v>
      </c>
      <c r="E303" s="203"/>
      <c r="F303" s="260"/>
      <c r="G303" s="218"/>
      <c r="H303" s="5"/>
      <c r="I303" s="5"/>
      <c r="J303" s="5"/>
      <c r="K303" s="180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5">
      <c r="A304" s="189">
        <f>'Données projet'!A272</f>
        <v>0</v>
      </c>
      <c r="B304" s="190">
        <f>'Données projet'!D272</f>
        <v>0</v>
      </c>
      <c r="C304" s="203"/>
      <c r="D304" s="191">
        <f t="shared" si="15"/>
        <v>0</v>
      </c>
      <c r="E304" s="203"/>
      <c r="F304" s="260"/>
      <c r="G304" s="218"/>
      <c r="H304" s="5"/>
      <c r="I304" s="5"/>
      <c r="J304" s="5"/>
      <c r="K304" s="180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5">
      <c r="A305" s="189">
        <f>'Données projet'!A273</f>
        <v>0</v>
      </c>
      <c r="B305" s="190">
        <f>'Données projet'!D273</f>
        <v>0</v>
      </c>
      <c r="C305" s="203"/>
      <c r="D305" s="191">
        <f t="shared" si="15"/>
        <v>0</v>
      </c>
      <c r="E305" s="203"/>
      <c r="F305" s="260"/>
      <c r="G305" s="218"/>
      <c r="H305" s="5"/>
      <c r="I305" s="5"/>
      <c r="J305" s="5"/>
      <c r="K305" s="180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5">
      <c r="A306" s="189">
        <f>'Données projet'!A274</f>
        <v>0</v>
      </c>
      <c r="B306" s="190">
        <f>'Données projet'!D274</f>
        <v>0</v>
      </c>
      <c r="C306" s="203"/>
      <c r="D306" s="191">
        <f t="shared" si="15"/>
        <v>0</v>
      </c>
      <c r="E306" s="203"/>
      <c r="F306" s="260"/>
      <c r="G306" s="218"/>
      <c r="H306" s="5"/>
      <c r="I306" s="5"/>
      <c r="J306" s="5"/>
      <c r="K306" s="180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5">
      <c r="A307" s="189">
        <f>'Données projet'!A275</f>
        <v>0</v>
      </c>
      <c r="B307" s="190">
        <f>'Données projet'!D275</f>
        <v>0</v>
      </c>
      <c r="C307" s="203"/>
      <c r="D307" s="191">
        <f t="shared" si="15"/>
        <v>0</v>
      </c>
      <c r="E307" s="203"/>
      <c r="F307" s="260"/>
      <c r="G307" s="218"/>
      <c r="H307" s="5"/>
      <c r="I307" s="5"/>
      <c r="J307" s="5"/>
      <c r="K307" s="180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5">
      <c r="A308" s="189">
        <f>'Données projet'!A276</f>
        <v>0</v>
      </c>
      <c r="B308" s="190">
        <f>'Données projet'!D276</f>
        <v>0</v>
      </c>
      <c r="C308" s="203"/>
      <c r="D308" s="191">
        <f t="shared" si="15"/>
        <v>0</v>
      </c>
      <c r="E308" s="203"/>
      <c r="F308" s="260"/>
      <c r="G308" s="214"/>
      <c r="H308" s="5"/>
      <c r="I308" s="5"/>
      <c r="J308" s="5"/>
      <c r="K308" s="180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5">
      <c r="A309" s="189">
        <f>'Données projet'!A277</f>
        <v>0</v>
      </c>
      <c r="B309" s="190">
        <f>'Données projet'!D277</f>
        <v>0</v>
      </c>
      <c r="C309" s="203"/>
      <c r="D309" s="191">
        <f t="shared" si="15"/>
        <v>0</v>
      </c>
      <c r="E309" s="203"/>
      <c r="F309" s="260"/>
      <c r="G309" s="214"/>
      <c r="H309" s="5"/>
      <c r="I309" s="5"/>
      <c r="J309" s="5"/>
      <c r="K309" s="180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5">
      <c r="A310" s="189">
        <f>'Données projet'!A278</f>
        <v>0</v>
      </c>
      <c r="B310" s="190">
        <f>'Données projet'!D278</f>
        <v>0</v>
      </c>
      <c r="C310" s="203"/>
      <c r="D310" s="191">
        <f t="shared" si="15"/>
        <v>0</v>
      </c>
      <c r="E310" s="203"/>
      <c r="F310" s="260"/>
      <c r="G310" s="214"/>
      <c r="H310" s="5"/>
      <c r="I310" s="5"/>
      <c r="J310" s="5"/>
      <c r="K310" s="180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5">
      <c r="A311" s="189">
        <f>'Données projet'!A279</f>
        <v>0</v>
      </c>
      <c r="B311" s="190">
        <f>'Données projet'!D279</f>
        <v>0</v>
      </c>
      <c r="C311" s="203"/>
      <c r="D311" s="191">
        <f t="shared" si="15"/>
        <v>0</v>
      </c>
      <c r="E311" s="203"/>
      <c r="F311" s="260"/>
      <c r="G311" s="214"/>
      <c r="H311" s="5"/>
      <c r="I311" s="5"/>
      <c r="J311" s="5"/>
      <c r="K311" s="180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5">
      <c r="A312" s="189">
        <f>'Données projet'!A280</f>
        <v>0</v>
      </c>
      <c r="B312" s="190">
        <f>'Données projet'!D280</f>
        <v>0</v>
      </c>
      <c r="C312" s="203"/>
      <c r="D312" s="191">
        <f t="shared" si="15"/>
        <v>0</v>
      </c>
      <c r="E312" s="203"/>
      <c r="F312" s="260"/>
      <c r="G312" s="214"/>
      <c r="H312" s="5"/>
      <c r="I312" s="5"/>
      <c r="J312" s="5"/>
      <c r="K312" s="180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5">
      <c r="A313" s="189">
        <f>'Données projet'!A281</f>
        <v>0</v>
      </c>
      <c r="B313" s="190">
        <f>'Données projet'!D281</f>
        <v>0</v>
      </c>
      <c r="C313" s="203"/>
      <c r="D313" s="191">
        <f t="shared" si="15"/>
        <v>0</v>
      </c>
      <c r="E313" s="203"/>
      <c r="F313" s="260"/>
      <c r="G313" s="214"/>
      <c r="H313" s="5"/>
      <c r="I313" s="5"/>
      <c r="J313" s="5"/>
      <c r="K313" s="180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5">
      <c r="A314" s="189">
        <f>'Données projet'!A282</f>
        <v>0</v>
      </c>
      <c r="B314" s="190">
        <f>'Données projet'!D282</f>
        <v>0</v>
      </c>
      <c r="C314" s="203"/>
      <c r="D314" s="191">
        <f t="shared" si="15"/>
        <v>0</v>
      </c>
      <c r="E314" s="203"/>
      <c r="F314" s="260"/>
      <c r="G314" s="214"/>
      <c r="H314" s="5"/>
      <c r="I314" s="5"/>
      <c r="J314" s="5"/>
      <c r="K314" s="180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5">
      <c r="A315" s="189">
        <f>'Données projet'!A283</f>
        <v>0</v>
      </c>
      <c r="B315" s="190">
        <f>'Données projet'!D283</f>
        <v>0</v>
      </c>
      <c r="C315" s="203"/>
      <c r="D315" s="191">
        <f t="shared" ref="D315:D321" si="16">B315*C315</f>
        <v>0</v>
      </c>
      <c r="E315" s="203"/>
      <c r="F315" s="260"/>
      <c r="G315" s="214"/>
      <c r="H315" s="5"/>
      <c r="I315" s="5"/>
      <c r="J315" s="5"/>
      <c r="K315" s="180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5">
      <c r="A316" s="189">
        <f>'Données projet'!A284</f>
        <v>0</v>
      </c>
      <c r="B316" s="190">
        <f>'Données projet'!D284</f>
        <v>0</v>
      </c>
      <c r="C316" s="203"/>
      <c r="D316" s="191">
        <f t="shared" si="16"/>
        <v>0</v>
      </c>
      <c r="E316" s="203"/>
      <c r="F316" s="260"/>
      <c r="G316" s="214"/>
      <c r="H316" s="5"/>
      <c r="I316" s="5"/>
      <c r="J316" s="5"/>
      <c r="K316" s="180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5">
      <c r="A317" s="189">
        <f>'Données projet'!A285</f>
        <v>0</v>
      </c>
      <c r="B317" s="190">
        <f>'Données projet'!D285</f>
        <v>0</v>
      </c>
      <c r="C317" s="203"/>
      <c r="D317" s="191">
        <f t="shared" si="16"/>
        <v>0</v>
      </c>
      <c r="E317" s="203"/>
      <c r="F317" s="260"/>
      <c r="G317" s="214"/>
      <c r="H317" s="5"/>
      <c r="I317" s="5"/>
      <c r="J317" s="5"/>
      <c r="K317" s="180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5">
      <c r="A318" s="189">
        <f>'Données projet'!A286</f>
        <v>0</v>
      </c>
      <c r="B318" s="190">
        <f>'Données projet'!D286</f>
        <v>0</v>
      </c>
      <c r="C318" s="203"/>
      <c r="D318" s="191">
        <f t="shared" si="16"/>
        <v>0</v>
      </c>
      <c r="E318" s="203"/>
      <c r="F318" s="260"/>
      <c r="G318" s="214"/>
      <c r="H318" s="5"/>
      <c r="I318" s="5"/>
      <c r="J318" s="5"/>
      <c r="K318" s="180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5">
      <c r="A319" s="189">
        <f>'Données projet'!A287</f>
        <v>0</v>
      </c>
      <c r="B319" s="190">
        <f>'Données projet'!D287</f>
        <v>0</v>
      </c>
      <c r="C319" s="203"/>
      <c r="D319" s="191">
        <f t="shared" si="16"/>
        <v>0</v>
      </c>
      <c r="E319" s="203"/>
      <c r="F319" s="260"/>
      <c r="G319" s="214"/>
      <c r="H319" s="5"/>
      <c r="I319" s="5"/>
      <c r="J319" s="5"/>
      <c r="K319" s="180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5">
      <c r="A320" s="189">
        <f>'Données projet'!A288</f>
        <v>0</v>
      </c>
      <c r="B320" s="190">
        <f>'Données projet'!D288</f>
        <v>0</v>
      </c>
      <c r="C320" s="203"/>
      <c r="D320" s="191">
        <f t="shared" si="16"/>
        <v>0</v>
      </c>
      <c r="E320" s="203"/>
      <c r="F320" s="260"/>
      <c r="G320" s="214"/>
      <c r="H320" s="5"/>
      <c r="I320" s="5"/>
      <c r="J320" s="5"/>
      <c r="K320" s="180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5">
      <c r="A321" s="189">
        <f>'Données projet'!A289</f>
        <v>0</v>
      </c>
      <c r="B321" s="190">
        <f>'Données projet'!D289</f>
        <v>0</v>
      </c>
      <c r="C321" s="203"/>
      <c r="D321" s="191">
        <f t="shared" si="16"/>
        <v>0</v>
      </c>
      <c r="E321" s="203"/>
      <c r="F321" s="260"/>
      <c r="G321" s="214"/>
      <c r="H321" s="5"/>
      <c r="I321" s="5"/>
      <c r="J321" s="5"/>
      <c r="K321" s="180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5">
      <c r="G322" s="214"/>
      <c r="H322" s="5"/>
      <c r="I322" s="5"/>
      <c r="J322" s="5"/>
      <c r="K322" s="180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5">
      <c r="G323" s="214"/>
      <c r="H323" s="5"/>
      <c r="I323" s="5"/>
      <c r="J323" s="5"/>
      <c r="K323" s="180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5">
      <c r="G324" s="214"/>
      <c r="H324" s="5"/>
      <c r="I324" s="5"/>
      <c r="J324" s="5"/>
      <c r="K324" s="180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5">
      <c r="G325" s="214"/>
      <c r="H325" s="5"/>
      <c r="I325" s="5"/>
      <c r="J325" s="5"/>
      <c r="K325" s="180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5">
      <c r="G326" s="214"/>
      <c r="H326" s="5"/>
      <c r="I326" s="5"/>
      <c r="J326" s="5"/>
      <c r="K326" s="180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5">
      <c r="G327" s="214"/>
      <c r="H327" s="5"/>
      <c r="I327" s="5"/>
      <c r="J327" s="5"/>
      <c r="K327" s="180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5">
      <c r="A328" s="5"/>
      <c r="B328" s="5"/>
      <c r="C328" s="5"/>
      <c r="D328" s="5"/>
      <c r="E328" s="5"/>
      <c r="F328" s="227"/>
      <c r="G328" s="22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5">
      <c r="A329" s="5"/>
      <c r="B329" s="5"/>
      <c r="C329" s="5"/>
      <c r="D329" s="5"/>
      <c r="E329" s="5"/>
      <c r="F329" s="227"/>
      <c r="G329" s="22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5">
      <c r="A330" s="5"/>
      <c r="B330" s="5"/>
      <c r="C330" s="5"/>
      <c r="D330" s="5"/>
      <c r="E330" s="5"/>
      <c r="F330" s="227"/>
      <c r="G330" s="22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5">
      <c r="A331" s="5"/>
      <c r="B331" s="5"/>
      <c r="C331" s="5"/>
      <c r="D331" s="5"/>
      <c r="E331" s="5"/>
      <c r="F331" s="227"/>
      <c r="G331" s="22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5">
      <c r="A332" s="5"/>
      <c r="B332" s="5"/>
      <c r="C332" s="5"/>
      <c r="D332" s="5"/>
      <c r="E332" s="5"/>
      <c r="F332" s="227"/>
      <c r="G332" s="22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5">
      <c r="A333" s="5"/>
      <c r="B333" s="5"/>
      <c r="C333" s="5"/>
      <c r="D333" s="5"/>
      <c r="E333" s="5"/>
      <c r="F333" s="227"/>
      <c r="G333" s="22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5">
      <c r="A334" s="5"/>
      <c r="B334" s="5"/>
      <c r="C334" s="5"/>
      <c r="D334" s="5"/>
      <c r="E334" s="5"/>
      <c r="F334" s="227"/>
      <c r="G334" s="22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5">
      <c r="A335" s="5"/>
      <c r="B335" s="5"/>
      <c r="C335" s="5"/>
      <c r="D335" s="5"/>
      <c r="E335" s="5"/>
      <c r="F335" s="227"/>
      <c r="G335" s="22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5">
      <c r="A336" s="5"/>
      <c r="B336" s="5"/>
      <c r="C336" s="5"/>
      <c r="D336" s="5"/>
      <c r="E336" s="5"/>
      <c r="F336" s="227"/>
      <c r="G336" s="22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5">
      <c r="A337" s="5"/>
      <c r="B337" s="5"/>
      <c r="C337" s="5"/>
      <c r="D337" s="5"/>
      <c r="E337" s="5"/>
      <c r="F337" s="227"/>
      <c r="G337" s="22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5">
      <c r="A338" s="5"/>
      <c r="B338" s="5"/>
      <c r="C338" s="5"/>
      <c r="D338" s="5"/>
      <c r="E338" s="5"/>
      <c r="F338" s="227"/>
      <c r="G338" s="22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5">
      <c r="A339" s="5"/>
      <c r="B339" s="5"/>
      <c r="C339" s="5"/>
      <c r="D339" s="5"/>
      <c r="E339" s="5"/>
      <c r="F339" s="227"/>
      <c r="G339" s="22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5">
      <c r="A340" s="5"/>
      <c r="B340" s="5"/>
      <c r="C340" s="5"/>
      <c r="D340" s="5"/>
      <c r="E340" s="5"/>
      <c r="F340" s="227"/>
      <c r="G340" s="22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5">
      <c r="A341" s="5"/>
      <c r="B341" s="5"/>
      <c r="C341" s="5"/>
      <c r="D341" s="5"/>
      <c r="E341" s="5"/>
      <c r="F341" s="227"/>
      <c r="G341" s="22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5">
      <c r="A342" s="5"/>
      <c r="B342" s="5"/>
      <c r="C342" s="5"/>
      <c r="D342" s="5"/>
      <c r="E342" s="5"/>
      <c r="F342" s="227"/>
      <c r="G342" s="22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5">
      <c r="A343" s="5"/>
      <c r="B343" s="5"/>
      <c r="C343" s="5"/>
      <c r="D343" s="5"/>
      <c r="E343" s="5"/>
      <c r="F343" s="227"/>
      <c r="G343" s="22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5">
      <c r="A344" s="5"/>
      <c r="B344" s="5"/>
      <c r="C344" s="5"/>
      <c r="D344" s="5"/>
      <c r="E344" s="5"/>
      <c r="F344" s="227"/>
      <c r="G344" s="22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5">
      <c r="A345" s="5"/>
      <c r="B345" s="5"/>
      <c r="C345" s="5"/>
      <c r="D345" s="5"/>
      <c r="E345" s="5"/>
      <c r="F345" s="227"/>
      <c r="G345" s="22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5">
      <c r="A346" s="5"/>
      <c r="B346" s="5"/>
      <c r="C346" s="5"/>
      <c r="D346" s="5"/>
      <c r="E346" s="5"/>
      <c r="F346" s="227"/>
      <c r="G346" s="22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5">
      <c r="A347" s="5"/>
      <c r="B347" s="5"/>
      <c r="C347" s="5"/>
      <c r="D347" s="5"/>
      <c r="E347" s="5"/>
      <c r="F347" s="227"/>
      <c r="G347" s="22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5">
      <c r="A348" s="5"/>
      <c r="B348" s="5"/>
      <c r="C348" s="5"/>
      <c r="D348" s="5"/>
      <c r="E348" s="5"/>
      <c r="F348" s="227"/>
      <c r="G348" s="22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5">
      <c r="A349" s="5"/>
      <c r="B349" s="5"/>
      <c r="C349" s="5"/>
      <c r="D349" s="5"/>
      <c r="E349" s="5"/>
      <c r="F349" s="227"/>
      <c r="G349" s="22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5">
      <c r="A350" s="5"/>
      <c r="B350" s="5"/>
      <c r="C350" s="5"/>
      <c r="D350" s="5"/>
      <c r="E350" s="5"/>
      <c r="F350" s="227"/>
      <c r="G350" s="22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5">
      <c r="A351" s="5"/>
      <c r="B351" s="5"/>
      <c r="C351" s="5"/>
      <c r="D351" s="5"/>
      <c r="E351" s="5"/>
      <c r="F351" s="227"/>
      <c r="G351" s="22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5">
      <c r="A352" s="5"/>
      <c r="B352" s="5"/>
      <c r="C352" s="5"/>
      <c r="D352" s="5"/>
      <c r="E352" s="5"/>
      <c r="F352" s="227"/>
      <c r="G352" s="22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5">
      <c r="A353" s="5"/>
      <c r="B353" s="5"/>
      <c r="C353" s="5"/>
      <c r="D353" s="5"/>
      <c r="E353" s="5"/>
      <c r="F353" s="227"/>
      <c r="G353" s="22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5">
      <c r="A354" s="5"/>
      <c r="B354" s="5"/>
      <c r="C354" s="5"/>
      <c r="D354" s="5"/>
      <c r="E354" s="5"/>
      <c r="F354" s="227"/>
      <c r="G354" s="22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5">
      <c r="A355" s="5"/>
      <c r="B355" s="5"/>
      <c r="C355" s="5"/>
      <c r="D355" s="5"/>
      <c r="E355" s="5"/>
      <c r="F355" s="227"/>
      <c r="G355" s="22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5">
      <c r="A356" s="5"/>
      <c r="B356" s="5"/>
      <c r="C356" s="5"/>
      <c r="D356" s="5"/>
      <c r="E356" s="5"/>
      <c r="F356" s="227"/>
      <c r="G356" s="22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5">
      <c r="A357" s="5"/>
      <c r="B357" s="5"/>
      <c r="C357" s="5"/>
      <c r="D357" s="5"/>
      <c r="E357" s="5"/>
      <c r="F357" s="227"/>
      <c r="G357" s="22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5">
      <c r="A358" s="5"/>
      <c r="B358" s="5"/>
      <c r="C358" s="5"/>
      <c r="D358" s="5"/>
      <c r="E358" s="5"/>
      <c r="F358" s="227"/>
      <c r="G358" s="22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5">
      <c r="A359" s="5"/>
      <c r="B359" s="5"/>
      <c r="C359" s="5"/>
      <c r="D359" s="5"/>
      <c r="E359" s="5"/>
      <c r="F359" s="227"/>
      <c r="G359" s="22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5">
      <c r="A360" s="5"/>
      <c r="B360" s="5"/>
      <c r="C360" s="5"/>
      <c r="D360" s="5"/>
      <c r="E360" s="5"/>
      <c r="F360" s="227"/>
      <c r="G360" s="22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5">
      <c r="A361" s="5"/>
      <c r="B361" s="5"/>
      <c r="C361" s="5"/>
      <c r="D361" s="5"/>
      <c r="E361" s="5"/>
      <c r="F361" s="227"/>
      <c r="G361" s="22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5">
      <c r="A362" s="5"/>
      <c r="B362" s="5"/>
      <c r="C362" s="5"/>
      <c r="D362" s="5"/>
      <c r="E362" s="5"/>
      <c r="F362" s="227"/>
      <c r="G362" s="22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5">
      <c r="A363" s="5"/>
      <c r="B363" s="5"/>
      <c r="C363" s="5"/>
      <c r="D363" s="5"/>
      <c r="E363" s="5"/>
      <c r="F363" s="227"/>
      <c r="G363" s="22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5">
      <c r="A364" s="5"/>
      <c r="B364" s="5"/>
      <c r="C364" s="5"/>
      <c r="D364" s="5"/>
      <c r="E364" s="5"/>
      <c r="F364" s="227"/>
      <c r="G364" s="22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5">
      <c r="A365" s="5"/>
      <c r="B365" s="5"/>
      <c r="C365" s="5"/>
      <c r="D365" s="5"/>
      <c r="E365" s="5"/>
      <c r="F365" s="227"/>
      <c r="G365" s="22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5">
      <c r="A366" s="5"/>
      <c r="B366" s="5"/>
      <c r="C366" s="5"/>
      <c r="D366" s="5"/>
      <c r="E366" s="5"/>
      <c r="F366" s="227"/>
      <c r="G366" s="22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5">
      <c r="A367" s="5"/>
      <c r="B367" s="5"/>
      <c r="C367" s="5"/>
      <c r="D367" s="5"/>
      <c r="E367" s="5"/>
      <c r="F367" s="227"/>
      <c r="G367" s="22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5">
      <c r="A368" s="5"/>
      <c r="B368" s="5"/>
      <c r="C368" s="5"/>
      <c r="D368" s="5"/>
      <c r="E368" s="5"/>
      <c r="F368" s="227"/>
      <c r="G368" s="22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5">
      <c r="A369" s="5"/>
      <c r="B369" s="5"/>
      <c r="C369" s="5"/>
      <c r="D369" s="5"/>
      <c r="E369" s="5"/>
      <c r="F369" s="227"/>
      <c r="G369" s="22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5">
      <c r="A370" s="5"/>
      <c r="B370" s="5"/>
      <c r="C370" s="5"/>
      <c r="D370" s="5"/>
      <c r="E370" s="5"/>
      <c r="F370" s="227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5">
      <c r="A371" s="5"/>
      <c r="B371" s="5"/>
      <c r="C371" s="5"/>
      <c r="D371" s="5"/>
      <c r="E371" s="5"/>
      <c r="F371" s="227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5">
      <c r="A372" s="5"/>
      <c r="B372" s="5"/>
      <c r="C372" s="5"/>
      <c r="D372" s="5"/>
      <c r="E372" s="5"/>
      <c r="F372" s="227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5">
      <c r="A373" s="5"/>
      <c r="B373" s="5"/>
      <c r="C373" s="5"/>
      <c r="D373" s="5"/>
      <c r="E373" s="5"/>
      <c r="F373" s="227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5">
      <c r="A374" s="5"/>
      <c r="B374" s="5"/>
      <c r="C374" s="5"/>
      <c r="D374" s="5"/>
      <c r="E374" s="5"/>
      <c r="F374" s="227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5">
      <c r="A375" s="5"/>
      <c r="B375" s="5"/>
      <c r="C375" s="5"/>
      <c r="D375" s="5"/>
      <c r="E375" s="5"/>
      <c r="F375" s="227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5">
      <c r="A376" s="5"/>
      <c r="B376" s="5"/>
      <c r="C376" s="5"/>
      <c r="D376" s="5"/>
      <c r="E376" s="5"/>
      <c r="F376" s="227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5">
      <c r="A377" s="5"/>
      <c r="B377" s="5"/>
      <c r="C377" s="5"/>
      <c r="D377" s="5"/>
      <c r="E377" s="5"/>
      <c r="F377" s="227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5">
      <c r="A378" s="5"/>
      <c r="B378" s="5"/>
      <c r="C378" s="5"/>
      <c r="D378" s="5"/>
      <c r="E378" s="5"/>
      <c r="F378" s="227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5">
      <c r="A379" s="5"/>
      <c r="B379" s="5"/>
      <c r="C379" s="5"/>
      <c r="D379" s="5"/>
      <c r="E379" s="5"/>
      <c r="F379" s="227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5">
      <c r="A380" s="5"/>
      <c r="B380" s="5"/>
      <c r="C380" s="5"/>
      <c r="D380" s="5"/>
      <c r="E380" s="5"/>
      <c r="F380" s="227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5">
      <c r="A381" s="5"/>
      <c r="B381" s="5"/>
      <c r="C381" s="5"/>
      <c r="D381" s="5"/>
      <c r="E381" s="5"/>
      <c r="F381" s="227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5">
      <c r="A382" s="5"/>
      <c r="B382" s="5"/>
      <c r="C382" s="5"/>
      <c r="D382" s="5"/>
      <c r="E382" s="5"/>
      <c r="F382" s="227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5">
      <c r="A383" s="5"/>
      <c r="B383" s="5"/>
      <c r="C383" s="5"/>
      <c r="D383" s="5"/>
      <c r="E383" s="5"/>
      <c r="F383" s="227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5">
      <c r="A384" s="5"/>
      <c r="B384" s="5"/>
      <c r="C384" s="5"/>
      <c r="D384" s="5"/>
      <c r="E384" s="5"/>
      <c r="F384" s="227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5">
      <c r="A385" s="5"/>
      <c r="B385" s="5"/>
      <c r="C385" s="5"/>
      <c r="D385" s="5"/>
      <c r="E385" s="5"/>
      <c r="F385" s="227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5">
      <c r="A386" s="5"/>
      <c r="B386" s="5"/>
      <c r="C386" s="5"/>
      <c r="D386" s="5"/>
      <c r="E386" s="5"/>
      <c r="F386" s="227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5">
      <c r="A387" s="5"/>
      <c r="B387" s="5"/>
      <c r="C387" s="5"/>
      <c r="D387" s="5"/>
      <c r="E387" s="5"/>
      <c r="F387" s="227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5">
      <c r="A388" s="5"/>
      <c r="B388" s="5"/>
      <c r="C388" s="5"/>
      <c r="D388" s="5"/>
      <c r="E388" s="5"/>
      <c r="F388" s="227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5">
      <c r="A389" s="5"/>
      <c r="B389" s="5"/>
      <c r="C389" s="5"/>
      <c r="D389" s="5"/>
      <c r="E389" s="5"/>
      <c r="F389" s="227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5">
      <c r="A390" s="5"/>
      <c r="B390" s="5"/>
      <c r="C390" s="5"/>
      <c r="D390" s="5"/>
      <c r="E390" s="5"/>
      <c r="F390" s="227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5">
      <c r="A391" s="5"/>
      <c r="B391" s="5"/>
      <c r="C391" s="5"/>
      <c r="D391" s="5"/>
      <c r="E391" s="5"/>
      <c r="F391" s="227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5">
      <c r="A392" s="5"/>
      <c r="B392" s="5"/>
      <c r="C392" s="5"/>
      <c r="D392" s="5"/>
      <c r="E392" s="5"/>
      <c r="F392" s="227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5">
      <c r="A393" s="5"/>
      <c r="B393" s="5"/>
      <c r="C393" s="5"/>
      <c r="D393" s="5"/>
      <c r="E393" s="5"/>
      <c r="F393" s="227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5">
      <c r="A394" s="5"/>
      <c r="B394" s="5"/>
      <c r="C394" s="5"/>
      <c r="D394" s="5"/>
      <c r="E394" s="5"/>
      <c r="F394" s="227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5">
      <c r="A395" s="5"/>
      <c r="B395" s="5"/>
      <c r="C395" s="5"/>
      <c r="D395" s="5"/>
      <c r="E395" s="5"/>
      <c r="F395" s="227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fleur.alonso</cp:lastModifiedBy>
  <dcterms:created xsi:type="dcterms:W3CDTF">2021-02-01T08:22:39Z</dcterms:created>
  <dcterms:modified xsi:type="dcterms:W3CDTF">2026-01-05T17:05:02Z</dcterms:modified>
</cp:coreProperties>
</file>