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2-1 Certilleux (88)/0-Labellisation/Envoi/Envoi aout 2023/"/>
    </mc:Choice>
  </mc:AlternateContent>
  <xr:revisionPtr revIDLastSave="58" documentId="8_{5642C12C-0746-0940-81A4-6B0F32CB84EE}" xr6:coauthVersionLast="47" xr6:coauthVersionMax="47" xr10:uidLastSave="{A37A5A18-7B4E-5142-A87C-F4625A806835}"/>
  <bookViews>
    <workbookView xWindow="-4780" yWindow="-21600" windowWidth="38400" windowHeight="216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6" l="1"/>
  <c r="I26" i="6"/>
  <c r="I25" i="6"/>
  <c r="I24" i="6"/>
  <c r="I23" i="6"/>
  <c r="I21" i="6"/>
  <c r="I20" i="6"/>
  <c r="B42" i="1" l="1"/>
  <c r="B41" i="1"/>
  <c r="B40" i="1"/>
  <c r="B39" i="1"/>
  <c r="B38" i="1"/>
  <c r="B67" i="1" l="1"/>
  <c r="B66" i="1"/>
  <c r="B65" i="1"/>
  <c r="B6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FQ4" i="2"/>
  <c r="GL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B7" i="2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FS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FS38" i="2"/>
  <c r="EA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HG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V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EW85" i="2"/>
  <c r="EC85" i="2"/>
  <c r="HH85" i="2"/>
  <c r="EV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B113" i="2"/>
  <c r="HG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HH122" i="2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EX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X130" i="2"/>
  <c r="EB130" i="2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X140" i="2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HH146" i="2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H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EB154" i="2"/>
  <c r="HG154" i="2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D155" i="2" s="1"/>
  <c r="HH155" i="2"/>
  <c r="HG155" i="2"/>
  <c r="EX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FS156" i="2" l="1"/>
  <c r="HH156" i="2"/>
  <c r="HG156" i="2"/>
  <c r="DH156" i="2"/>
  <c r="EX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C157" i="2"/>
  <c r="EX157" i="2"/>
  <c r="HH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C158" i="2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ED158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FS160" i="2"/>
  <c r="HI160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HG161" i="2"/>
  <c r="EA161" i="2"/>
  <c r="ED161" i="2" s="1"/>
  <c r="HH161" i="2"/>
  <c r="EX161" i="2"/>
  <c r="FS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C162" i="2"/>
  <c r="HG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G163" i="2"/>
  <c r="HH163" i="2"/>
  <c r="EA163" i="2"/>
  <c r="ED163" i="2" s="1"/>
  <c r="EV163" i="2"/>
  <c r="EY163" i="2" s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H164" i="2" l="1"/>
  <c r="HH164" i="2"/>
  <c r="HG164" i="2"/>
  <c r="FR164" i="2"/>
  <c r="EA164" i="2"/>
  <c r="EV164" i="2"/>
  <c r="DI163" i="2"/>
  <c r="EX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EX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J166" i="2" s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EX167" i="2"/>
  <c r="HH167" i="2"/>
  <c r="EC167" i="2"/>
  <c r="HI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C168" i="2"/>
  <c r="HI168" i="2"/>
  <c r="DG168" i="2"/>
  <c r="EV168" i="2"/>
  <c r="EY168" i="2" s="1"/>
  <c r="HH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HI172" i="2"/>
  <c r="EB172" i="2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W173" i="2"/>
  <c r="EX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FS175" i="2"/>
  <c r="AA175" i="2"/>
  <c r="EW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W178" i="2"/>
  <c r="EB178" i="2"/>
  <c r="HG178" i="2"/>
  <c r="FS178" i="2"/>
  <c r="EA178" i="2"/>
  <c r="ED178" i="2" s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DF179" i="2"/>
  <c r="EV179" i="2"/>
  <c r="EY179" i="2" s="1"/>
  <c r="EA179" i="2"/>
  <c r="ED179" i="2" s="1"/>
  <c r="HG179" i="2"/>
  <c r="HI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H185" i="2"/>
  <c r="HI185" i="2"/>
  <c r="EW185" i="2"/>
  <c r="EA185" i="2"/>
  <c r="EV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G186" i="2"/>
  <c r="EA186" i="2"/>
  <c r="EW186" i="2"/>
  <c r="FS186" i="2"/>
  <c r="ED185" i="2"/>
  <c r="HH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V189" i="2"/>
  <c r="EY189" i="2" s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EY192" i="2" s="1"/>
  <c r="EA192" i="2"/>
  <c r="ED192" i="2" s="1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A193" i="2"/>
  <c r="ED193" i="2" s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FQ194" i="2"/>
  <c r="HG194" i="2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FQ195" i="2"/>
  <c r="HG195" i="2"/>
  <c r="EA195" i="2"/>
  <c r="EB195" i="2"/>
  <c r="HI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EY198" i="2" s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W199" i="2"/>
  <c r="EB199" i="2"/>
  <c r="EV199" i="2"/>
  <c r="EA199" i="2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H201" i="2" l="1"/>
  <c r="HG201" i="2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HH202" i="2" l="1"/>
  <c r="EW202" i="2"/>
  <c r="HG202" i="2"/>
  <c r="HJ202" i="2" s="1"/>
  <c r="EX202" i="2"/>
  <c r="FZ6" i="2"/>
  <c r="HI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43" i="2" a="1"/>
  <c r="DN43" i="2" s="1"/>
  <c r="DN6" i="2" a="1"/>
  <c r="DN6" i="2" s="1"/>
  <c r="DO6" i="2" s="1"/>
  <c r="AX200" i="2"/>
  <c r="GT74" i="2" l="1" a="1"/>
  <c r="GT74" i="2" s="1"/>
  <c r="CS116" i="2" a="1"/>
  <c r="CS116" i="2" s="1"/>
  <c r="FY18" i="2" a="1"/>
  <c r="FY18" i="2" s="1"/>
  <c r="FD43" i="2" a="1"/>
  <c r="FD43" i="2" s="1"/>
  <c r="FY24" i="2" a="1"/>
  <c r="FY24" i="2" s="1"/>
  <c r="CS24" i="2" a="1"/>
  <c r="CS24" i="2" s="1"/>
  <c r="FY182" i="2" a="1"/>
  <c r="FY182" i="2" s="1"/>
  <c r="FY92" i="2" a="1"/>
  <c r="FY92" i="2" s="1"/>
  <c r="GT21" i="2" a="1"/>
  <c r="GT21" i="2" s="1"/>
  <c r="EI57" i="2" a="1"/>
  <c r="EI57" i="2" s="1"/>
  <c r="GT121" i="2" a="1"/>
  <c r="GT121" i="2" s="1"/>
  <c r="EI38" i="2" a="1"/>
  <c r="EI38" i="2" s="1"/>
  <c r="BC34" i="2" a="1"/>
  <c r="BC34" i="2" s="1"/>
  <c r="FD48" i="2" a="1"/>
  <c r="FD48" i="2" s="1"/>
  <c r="FY190" i="2" a="1"/>
  <c r="FY190" i="2" s="1"/>
  <c r="FY35" i="2" a="1"/>
  <c r="FY35" i="2" s="1"/>
  <c r="GT15" i="2" a="1"/>
  <c r="GT15" i="2" s="1"/>
  <c r="FY121" i="2" a="1"/>
  <c r="FY121" i="2" s="1"/>
  <c r="CS66" i="2" a="1"/>
  <c r="CS66" i="2" s="1"/>
  <c r="FY55" i="2" a="1"/>
  <c r="FY55" i="2" s="1"/>
  <c r="FY191" i="2" a="1"/>
  <c r="FY191" i="2" s="1"/>
  <c r="CS72" i="2" a="1"/>
  <c r="CS72" i="2" s="1"/>
  <c r="EI37" i="2" a="1"/>
  <c r="EI37" i="2" s="1"/>
  <c r="GT190" i="2" a="1"/>
  <c r="GT190" i="2" s="1"/>
  <c r="FD159" i="2" a="1"/>
  <c r="FD159" i="2" s="1"/>
  <c r="FY30" i="2" a="1"/>
  <c r="FY30" i="2" s="1"/>
  <c r="AH90" i="2" a="1"/>
  <c r="AH90" i="2" s="1"/>
  <c r="GT11" i="2" a="1"/>
  <c r="GT11" i="2" s="1"/>
  <c r="FY104" i="2" a="1"/>
  <c r="FY104" i="2" s="1"/>
  <c r="FY78" i="2" a="1"/>
  <c r="FY78" i="2" s="1"/>
  <c r="FY69" i="2" a="1"/>
  <c r="FY69" i="2" s="1"/>
  <c r="FY50" i="2" a="1"/>
  <c r="FY50" i="2" s="1"/>
  <c r="CS38" i="2" a="1"/>
  <c r="CS38" i="2" s="1"/>
  <c r="FY186" i="2" a="1"/>
  <c r="FY186" i="2" s="1"/>
  <c r="CS114" i="2" a="1"/>
  <c r="CS114" i="2" s="1"/>
  <c r="FD194" i="2" a="1"/>
  <c r="FD194" i="2" s="1"/>
  <c r="AH62" i="2" a="1"/>
  <c r="AH62" i="2" s="1"/>
  <c r="FD59" i="2" a="1"/>
  <c r="FD59" i="2" s="1"/>
  <c r="FY22" i="2" a="1"/>
  <c r="FY22" i="2" s="1"/>
  <c r="FD82" i="2" a="1"/>
  <c r="FD82" i="2" s="1"/>
  <c r="BX107" i="2" a="1"/>
  <c r="BX107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CS137" i="2" a="1"/>
  <c r="CS137" i="2" s="1"/>
  <c r="CS52" i="2" a="1"/>
  <c r="CS52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CS134" i="2" a="1"/>
  <c r="CS134" i="2" s="1"/>
  <c r="CS56" i="2" a="1"/>
  <c r="CS56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CS185" i="2" a="1"/>
  <c r="CS185" i="2" s="1"/>
  <c r="CS120" i="2" a="1"/>
  <c r="CS120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AH151" i="2" a="1"/>
  <c r="AH151" i="2" s="1"/>
  <c r="CS129" i="2" a="1"/>
  <c r="CS129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EI162" i="2" a="1"/>
  <c r="EI162" i="2" s="1"/>
  <c r="HH203" i="2"/>
  <c r="EI170" i="2" a="1"/>
  <c r="EI170" i="2" s="1"/>
  <c r="EI20" i="2" a="1"/>
  <c r="EI20" i="2" s="1"/>
  <c r="EI153" i="2" a="1"/>
  <c r="EI153" i="2" s="1"/>
  <c r="EI195" i="2" a="1"/>
  <c r="EI195" i="2" s="1"/>
  <c r="DN187" i="2" a="1"/>
  <c r="DN187" i="2" s="1"/>
  <c r="BC7" i="2" a="1"/>
  <c r="BC7" i="2" s="1"/>
  <c r="BD7" i="2" s="1"/>
  <c r="DN190" i="2" a="1"/>
  <c r="DN190" i="2" s="1"/>
  <c r="DN55" i="2" a="1"/>
  <c r="DN55" i="2" s="1"/>
  <c r="BC84" i="2" a="1"/>
  <c r="BC84" i="2" s="1"/>
  <c r="DN45" i="2" a="1"/>
  <c r="DN45" i="2" s="1"/>
  <c r="DN135" i="2" a="1"/>
  <c r="DN135" i="2" s="1"/>
  <c r="BC55" i="2" a="1"/>
  <c r="BC55" i="2" s="1"/>
  <c r="DN25" i="2" a="1"/>
  <c r="DN25" i="2" s="1"/>
  <c r="EI16" i="2" a="1"/>
  <c r="EI16" i="2" s="1"/>
  <c r="EI34" i="2" a="1"/>
  <c r="EI34" i="2" s="1"/>
  <c r="EI142" i="2" a="1"/>
  <c r="EI142" i="2" s="1"/>
  <c r="EI150" i="2" a="1"/>
  <c r="EI150" i="2" s="1"/>
  <c r="EI166" i="2" a="1"/>
  <c r="EI166" i="2" s="1"/>
  <c r="DN30" i="2" a="1"/>
  <c r="DN30" i="2" s="1"/>
  <c r="DN16" i="2" a="1"/>
  <c r="DN16" i="2" s="1"/>
  <c r="DN80" i="2" a="1"/>
  <c r="DN80" i="2" s="1"/>
  <c r="EI139" i="2" a="1"/>
  <c r="EI139" i="2" s="1"/>
  <c r="EI113" i="2" a="1"/>
  <c r="EI113" i="2" s="1"/>
  <c r="EI165" i="2" a="1"/>
  <c r="EI165" i="2" s="1"/>
  <c r="EI87" i="2" a="1"/>
  <c r="EI87" i="2" s="1"/>
  <c r="BC18" i="2" a="1"/>
  <c r="BC18" i="2" s="1"/>
  <c r="DN192" i="2" a="1"/>
  <c r="DN192" i="2" s="1"/>
  <c r="EI178" i="2" a="1"/>
  <c r="EI178" i="2" s="1"/>
  <c r="EI29" i="2" a="1"/>
  <c r="EI29" i="2" s="1"/>
  <c r="EI198" i="2" a="1"/>
  <c r="EI198" i="2" s="1"/>
  <c r="EI35" i="2" a="1"/>
  <c r="EI35" i="2" s="1"/>
  <c r="EI36" i="2" a="1"/>
  <c r="EI36" i="2" s="1"/>
  <c r="EI67" i="2" a="1"/>
  <c r="EI67" i="2" s="1"/>
  <c r="EI128" i="2" a="1"/>
  <c r="EI128" i="2" s="1"/>
  <c r="EI71" i="2" a="1"/>
  <c r="EI71" i="2" s="1"/>
  <c r="EI109" i="2" a="1"/>
  <c r="EI109" i="2" s="1"/>
  <c r="DN123" i="2" a="1"/>
  <c r="DN123" i="2" s="1"/>
  <c r="DN153" i="2" a="1"/>
  <c r="DN153" i="2" s="1"/>
  <c r="EI145" i="2" a="1"/>
  <c r="EI145" i="2" s="1"/>
  <c r="EI106" i="2" a="1"/>
  <c r="EI106" i="2" s="1"/>
  <c r="GT138" i="2" a="1"/>
  <c r="GT138" i="2" s="1"/>
  <c r="GT191" i="2" a="1"/>
  <c r="GT191" i="2" s="1"/>
  <c r="GT178" i="2" a="1"/>
  <c r="GT178" i="2" s="1"/>
  <c r="GT12" i="2" a="1"/>
  <c r="GT12" i="2" s="1"/>
  <c r="GT102" i="2" a="1"/>
  <c r="GT102" i="2" s="1"/>
  <c r="GT68" i="2" a="1"/>
  <c r="GT68" i="2" s="1"/>
  <c r="GT107" i="2" a="1"/>
  <c r="GT107" i="2" s="1"/>
  <c r="GT38" i="2" a="1"/>
  <c r="GT38" i="2" s="1"/>
  <c r="GT189" i="2" a="1"/>
  <c r="GT189" i="2" s="1"/>
  <c r="GT147" i="2" a="1"/>
  <c r="GT147" i="2" s="1"/>
  <c r="GT174" i="2" a="1"/>
  <c r="GT174" i="2" s="1"/>
  <c r="GT126" i="2" a="1"/>
  <c r="GT126" i="2" s="1"/>
  <c r="GT198" i="2" a="1"/>
  <c r="GT198" i="2" s="1"/>
  <c r="GT133" i="2" a="1"/>
  <c r="GT133" i="2" s="1"/>
  <c r="DN65" i="2" a="1"/>
  <c r="DN65" i="2" s="1"/>
  <c r="DN31" i="2" a="1"/>
  <c r="DN31" i="2" s="1"/>
  <c r="DN49" i="2" a="1"/>
  <c r="DN49" i="2" s="1"/>
  <c r="DN168" i="2" a="1"/>
  <c r="DN168" i="2" s="1"/>
  <c r="BC83" i="2" a="1"/>
  <c r="BC83" i="2" s="1"/>
  <c r="BC143" i="2" a="1"/>
  <c r="BC143" i="2" s="1"/>
  <c r="BC164" i="2" a="1"/>
  <c r="BC164" i="2" s="1"/>
  <c r="DN86" i="2" a="1"/>
  <c r="DN86" i="2" s="1"/>
  <c r="DN129" i="2" a="1"/>
  <c r="DN129" i="2" s="1"/>
  <c r="DN29" i="2" a="1"/>
  <c r="DN29" i="2" s="1"/>
  <c r="BC181" i="2" a="1"/>
  <c r="BC181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63" i="2" a="1"/>
  <c r="DN63" i="2" s="1"/>
  <c r="BC151" i="2" a="1"/>
  <c r="BC151" i="2" s="1"/>
  <c r="BC31" i="2" a="1"/>
  <c r="BC31" i="2" s="1"/>
  <c r="BC192" i="2" a="1"/>
  <c r="BC192" i="2" s="1"/>
  <c r="DN150" i="2" a="1"/>
  <c r="DN150" i="2" s="1"/>
  <c r="DN177" i="2" a="1"/>
  <c r="DN177" i="2" s="1"/>
  <c r="DN113" i="2" a="1"/>
  <c r="DN113" i="2" s="1"/>
  <c r="DN41" i="2" a="1"/>
  <c r="DN41" i="2" s="1"/>
  <c r="BC82" i="2" a="1"/>
  <c r="BC82" i="2" s="1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BC38" i="2" a="1"/>
  <c r="BC38" i="2" s="1"/>
  <c r="BC185" i="2" a="1"/>
  <c r="BC185" i="2" s="1"/>
  <c r="BC32" i="2" a="1"/>
  <c r="BC32" i="2" s="1"/>
  <c r="BC130" i="2" a="1"/>
  <c r="BC130" i="2" s="1"/>
  <c r="DN114" i="2" a="1"/>
  <c r="DN114" i="2" s="1"/>
  <c r="DN188" i="2" a="1"/>
  <c r="DN188" i="2" s="1"/>
  <c r="DN170" i="2" a="1"/>
  <c r="DN170" i="2" s="1"/>
  <c r="DN184" i="2" a="1"/>
  <c r="DN184" i="2" s="1"/>
  <c r="DN137" i="2" a="1"/>
  <c r="DN137" i="2" s="1"/>
  <c r="DN155" i="2" a="1"/>
  <c r="DN155" i="2" s="1"/>
  <c r="BC65" i="2" a="1"/>
  <c r="BC65" i="2" s="1"/>
  <c r="BC47" i="2" a="1"/>
  <c r="BC47" i="2" s="1"/>
  <c r="FR203" i="2"/>
  <c r="DN56" i="2" a="1"/>
  <c r="DN56" i="2" s="1"/>
  <c r="BC114" i="2" a="1"/>
  <c r="BC114" i="2" s="1"/>
  <c r="BC68" i="2" a="1"/>
  <c r="BC68" i="2" s="1"/>
  <c r="HG203" i="2"/>
  <c r="DN103" i="2" a="1"/>
  <c r="DN10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BC117" i="2" a="1"/>
  <c r="BC117" i="2" s="1"/>
  <c r="BC126" i="2" a="1"/>
  <c r="BC126" i="2" s="1"/>
  <c r="BC58" i="2" a="1"/>
  <c r="BC58" i="2" s="1"/>
  <c r="GT33" i="2" a="1"/>
  <c r="GT33" i="2" s="1"/>
  <c r="GT51" i="2" a="1"/>
  <c r="GT51" i="2" s="1"/>
  <c r="GT115" i="2" a="1"/>
  <c r="GT115" i="2" s="1"/>
  <c r="GT181" i="2" a="1"/>
  <c r="GT181" i="2" s="1"/>
  <c r="GT152" i="2" a="1"/>
  <c r="GT152" i="2" s="1"/>
  <c r="GT122" i="2" a="1"/>
  <c r="GT122" i="2" s="1"/>
  <c r="GT184" i="2" a="1"/>
  <c r="GT184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<sst xmlns="http://schemas.openxmlformats.org/spreadsheetml/2006/main" count="1161" uniqueCount="324">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</sst>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2.0145808773528358</c:v>
                </c:pt>
                <c:pt idx="2">
                  <c:v>2.7928351000252465</c:v>
                </c:pt>
                <c:pt idx="3">
                  <c:v>3.8730351804186167</c:v>
                </c:pt>
                <c:pt idx="4">
                  <c:v>5.3728036608147471</c:v>
                </c:pt>
                <c:pt idx="5">
                  <c:v>7.4557551705464205</c:v>
                </c:pt>
                <c:pt idx="6">
                  <c:v>10.349542435124553</c:v>
                </c:pt>
                <c:pt idx="7">
                  <c:v>14.37100557008751</c:v>
                </c:pt>
                <c:pt idx="8">
                  <c:v>19.961228764171775</c:v>
                </c:pt>
                <c:pt idx="9">
                  <c:v>27.734418314448106</c:v>
                </c:pt>
                <c:pt idx="10">
                  <c:v>38.546066151679575</c:v>
                </c:pt>
                <c:pt idx="11">
                  <c:v>53.58802854611551</c:v>
                </c:pt>
                <c:pt idx="12">
                  <c:v>74.521175401475503</c:v>
                </c:pt>
                <c:pt idx="13">
                  <c:v>103.66049376987102</c:v>
                </c:pt>
                <c:pt idx="14">
                  <c:v>144.23343878702573</c:v>
                </c:pt>
                <c:pt idx="15">
                  <c:v>200.74058596732007</c:v>
                </c:pt>
                <c:pt idx="16">
                  <c:v>234.7496082755471</c:v>
                </c:pt>
                <c:pt idx="17">
                  <c:v>268.64606128457052</c:v>
                </c:pt>
                <c:pt idx="18">
                  <c:v>302.44614715027416</c:v>
                </c:pt>
                <c:pt idx="19">
                  <c:v>336.16214403365615</c:v>
                </c:pt>
                <c:pt idx="20">
                  <c:v>369.80366387000646</c:v>
                </c:pt>
                <c:pt idx="21">
                  <c:v>356.4508794308851</c:v>
                </c:pt>
                <c:pt idx="22">
                  <c:v>394.33609960316602</c:v>
                </c:pt>
                <c:pt idx="23">
                  <c:v>432.14242504303394</c:v>
                </c:pt>
                <c:pt idx="24">
                  <c:v>469.87771773906962</c:v>
                </c:pt>
                <c:pt idx="25">
                  <c:v>507.54847471808063</c:v>
                </c:pt>
                <c:pt idx="26">
                  <c:v>475.56786051841215</c:v>
                </c:pt>
                <c:pt idx="27">
                  <c:v>514.64938862406325</c:v>
                </c:pt>
                <c:pt idx="28">
                  <c:v>553.66829141515586</c:v>
                </c:pt>
                <c:pt idx="29">
                  <c:v>592.62959437384313</c:v>
                </c:pt>
                <c:pt idx="30">
                  <c:v>631.53760923584082</c:v>
                </c:pt>
                <c:pt idx="31">
                  <c:v>558.86635911008875</c:v>
                </c:pt>
                <c:pt idx="32">
                  <c:v>592.39362980732722</c:v>
                </c:pt>
                <c:pt idx="33">
                  <c:v>625.88142421411692</c:v>
                </c:pt>
                <c:pt idx="34">
                  <c:v>659.33214781659433</c:v>
                </c:pt>
                <c:pt idx="35">
                  <c:v>692.74794249826891</c:v>
                </c:pt>
                <c:pt idx="36">
                  <c:v>639.78433756926631</c:v>
                </c:pt>
                <c:pt idx="37">
                  <c:v>671.57286529064845</c:v>
                </c:pt>
                <c:pt idx="38">
                  <c:v>703.33048120908506</c:v>
                </c:pt>
                <c:pt idx="39">
                  <c:v>735.0587749737989</c:v>
                </c:pt>
                <c:pt idx="40">
                  <c:v>766.75918804010871</c:v>
                </c:pt>
                <c:pt idx="41">
                  <c:v>705.44659634791776</c:v>
                </c:pt>
                <c:pt idx="42">
                  <c:v>734.58893303330581</c:v>
                </c:pt>
                <c:pt idx="43">
                  <c:v>763.70773166149456</c:v>
                </c:pt>
                <c:pt idx="44">
                  <c:v>792.80401446874805</c:v>
                </c:pt>
                <c:pt idx="45">
                  <c:v>821.87872266404372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25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1" zoomScale="176" zoomScaleNormal="80" workbookViewId="0">
      <selection activeCell="C14" sqref="C1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10.711600000000001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0.55920000000000003</v>
      </c>
      <c r="D9" s="33">
        <f t="shared" ref="D9:D18" si="0">C9*$C$5</f>
        <v>5.9899267200000006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18</v>
      </c>
      <c r="C10" s="32">
        <v>0.30080000000000001</v>
      </c>
      <c r="D10" s="33">
        <f t="shared" si="0"/>
        <v>3.2220492800000002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25</v>
      </c>
      <c r="C11" s="32">
        <v>0.05</v>
      </c>
      <c r="D11" s="33">
        <f t="shared" si="0"/>
        <v>0.53558000000000006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14</v>
      </c>
      <c r="C12" s="32">
        <v>0.09</v>
      </c>
      <c r="D12" s="33">
        <f t="shared" si="0"/>
        <v>0.96404400000000001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1.0000000000000002</v>
      </c>
      <c r="D19" s="38">
        <f>SUM(D9:D18)</f>
        <v>10.711599999999999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162</v>
      </c>
      <c r="C36" s="60"/>
      <c r="D36" s="60"/>
      <c r="E36" s="51"/>
      <c r="F36" s="51"/>
      <c r="G36" s="51"/>
      <c r="H36" s="51"/>
      <c r="I36" s="49">
        <f>IFERROR(B36/A36,"")</f>
        <v>10.8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20</v>
      </c>
      <c r="B37" s="60">
        <v>303</v>
      </c>
      <c r="C37" s="60">
        <v>1</v>
      </c>
      <c r="D37" s="60">
        <v>43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28.2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25</v>
      </c>
      <c r="B38" s="60">
        <f>462-D37</f>
        <v>419</v>
      </c>
      <c r="C38" s="60">
        <v>2</v>
      </c>
      <c r="D38" s="60">
        <v>60</v>
      </c>
      <c r="E38" s="51"/>
      <c r="F38" s="51">
        <v>0.62</v>
      </c>
      <c r="G38" s="51">
        <v>0.375</v>
      </c>
      <c r="H38" s="51"/>
      <c r="I38" s="53">
        <f t="shared" si="1"/>
        <v>31.8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f>627-D38-D37</f>
        <v>524</v>
      </c>
      <c r="C39" s="60">
        <v>3</v>
      </c>
      <c r="D39" s="60">
        <v>90</v>
      </c>
      <c r="E39" s="51"/>
      <c r="F39" s="51">
        <v>0.67210000000000003</v>
      </c>
      <c r="G39" s="51">
        <v>0.33</v>
      </c>
      <c r="H39" s="51"/>
      <c r="I39" s="49">
        <f t="shared" si="1"/>
        <v>33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35</v>
      </c>
      <c r="B40" s="60">
        <f>769-D39-D38-D37</f>
        <v>576</v>
      </c>
      <c r="C40" s="60">
        <v>4</v>
      </c>
      <c r="D40" s="60">
        <v>72</v>
      </c>
      <c r="E40" s="51">
        <v>0.31</v>
      </c>
      <c r="F40" s="51">
        <v>0.375</v>
      </c>
      <c r="G40" s="51">
        <v>0.31</v>
      </c>
      <c r="H40" s="51"/>
      <c r="I40" s="49">
        <f t="shared" si="1"/>
        <v>28.4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40</v>
      </c>
      <c r="B41" s="60">
        <f>904-D40-D39-D38-D37</f>
        <v>639</v>
      </c>
      <c r="C41" s="60">
        <v>5</v>
      </c>
      <c r="D41" s="60">
        <v>77</v>
      </c>
      <c r="E41" s="51"/>
      <c r="F41" s="51"/>
      <c r="G41" s="51"/>
      <c r="H41" s="51"/>
      <c r="I41" s="53">
        <f t="shared" si="1"/>
        <v>27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45</v>
      </c>
      <c r="B42" s="60">
        <f>1028-D41-D40-D39-D38-D37</f>
        <v>686</v>
      </c>
      <c r="C42" s="60">
        <v>6</v>
      </c>
      <c r="D42" s="60">
        <v>686</v>
      </c>
      <c r="E42" s="51">
        <v>0.6</v>
      </c>
      <c r="F42" s="51">
        <v>0.2</v>
      </c>
      <c r="G42" s="51">
        <v>0.2</v>
      </c>
      <c r="H42" s="51"/>
      <c r="I42" s="53">
        <f t="shared" si="1"/>
        <v>24.8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Douglas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19</v>
      </c>
      <c r="B62" s="60">
        <v>162</v>
      </c>
      <c r="C62" s="60"/>
      <c r="D62" s="60"/>
      <c r="E62" s="51"/>
      <c r="F62" s="51"/>
      <c r="G62" s="51"/>
      <c r="H62" s="51"/>
      <c r="I62" s="53">
        <f>IFERROR(B62/A62,"")</f>
        <v>8.526315789473685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335</v>
      </c>
      <c r="C63" s="60">
        <v>1</v>
      </c>
      <c r="D63" s="60">
        <v>54</v>
      </c>
      <c r="E63" s="51"/>
      <c r="F63" s="51">
        <v>0.5</v>
      </c>
      <c r="G63" s="51">
        <v>0.5</v>
      </c>
      <c r="H63" s="51"/>
      <c r="I63" s="49">
        <f>IF(A63&lt;&gt;0,(B63-(B62-D62))/(A63-A62),"")</f>
        <v>28.833333333333332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f>475-D63</f>
        <v>421</v>
      </c>
      <c r="C64" s="60">
        <v>2</v>
      </c>
      <c r="D64" s="60">
        <v>54</v>
      </c>
      <c r="E64" s="51"/>
      <c r="F64" s="51">
        <v>0.62</v>
      </c>
      <c r="G64" s="51">
        <v>0.375</v>
      </c>
      <c r="H64" s="51"/>
      <c r="I64" s="49">
        <f>IF(A64&lt;&gt;0,(B64-(B63-D63))/(A64-A63),"")</f>
        <v>28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f>613-D64-D63</f>
        <v>505</v>
      </c>
      <c r="C65" s="60">
        <v>3</v>
      </c>
      <c r="D65" s="60">
        <v>69</v>
      </c>
      <c r="E65" s="51"/>
      <c r="F65" s="51">
        <v>0.67210000000000003</v>
      </c>
      <c r="G65" s="51">
        <v>0.33</v>
      </c>
      <c r="H65" s="51"/>
      <c r="I65" s="49">
        <f>IF(A65&lt;&gt;0,(B65-(B64-D64))/(A65-A64),"")</f>
        <v>27.6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f>741-D65-D64-D63</f>
        <v>564</v>
      </c>
      <c r="C66" s="60">
        <v>4</v>
      </c>
      <c r="D66" s="60">
        <v>72</v>
      </c>
      <c r="E66" s="51">
        <v>0.31</v>
      </c>
      <c r="F66" s="51">
        <v>0.375</v>
      </c>
      <c r="G66" s="51">
        <v>0.31</v>
      </c>
      <c r="H66" s="51"/>
      <c r="I66" s="49">
        <f t="shared" ref="I66:I81" si="2">IF(A66&lt;&gt;0,(B66-(B65-D65))/(A66-A65),"")</f>
        <v>25.6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f>855-D66-D65-D64-D63</f>
        <v>606</v>
      </c>
      <c r="C67" s="60">
        <v>5</v>
      </c>
      <c r="D67" s="60">
        <v>606</v>
      </c>
      <c r="E67" s="51">
        <v>0.6</v>
      </c>
      <c r="F67" s="51">
        <v>0.2</v>
      </c>
      <c r="G67" s="51">
        <v>0.2</v>
      </c>
      <c r="H67" s="51"/>
      <c r="I67" s="49">
        <f t="shared" si="2"/>
        <v>22.8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Hêtre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1" sqref="F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Douglas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Hêtre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354.30476036506167</v>
      </c>
      <c r="T3" s="59">
        <f>IF('Données projet'!E9&gt;30,$R$33-$H$33,LOOKUP('Données projet'!$E$9,$A$3:$A$203,R3:R203)-LOOKUP('Données projet'!$E$9,$A$3:$A$203,$H$3:$H$203))</f>
        <v>593.51433014569966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280.11276976762787</v>
      </c>
      <c r="AO3" s="59">
        <f>IF('Données projet'!E10&gt;30,$AM$33-$H$33,LOOKUP('Données projet'!$E$10,$A$3:$A$203,AM3:AM203)-LOOKUP('Données projet'!$E$10,$A$3:$A$203,$H$3:$H$203))</f>
        <v>471.89239871617241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0</v>
      </c>
      <c r="BJ3" s="59">
        <f>IF('Données projet'!E11&gt;30,$BH$33-$H$33,LOOKUP('Données projet'!$E$11,$A$3:$A$203,BH3:BH203)-LOOKUP('Données projet'!$E$11,$A$3:$A$203,$H$3:$H$203))</f>
        <v>0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0</v>
      </c>
      <c r="CE3" s="59">
        <f>IF('Données projet'!E12&gt;30,$CC$33-$H$33,LOOKUP('Données projet'!$E$12,$A$3:$A$203,CC3:CC203)-LOOKUP('Données projet'!$E$12,$A$3:$A$203,$H$3:$H$203))</f>
        <v>0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10.8</v>
      </c>
      <c r="N4" s="13">
        <f>IF('Données projet'!$A$36&gt;35,N3+M4-V3,IF(A4&lt;'Données projet'!$A$36,$K$205^A4,IF(A4='Données projet'!$A$36,'Données projet'!$B$36,N3+M4-V3)))</f>
        <v>1.4037863041747067</v>
      </c>
      <c r="O4" s="13">
        <f>N4*VLOOKUP('Données projet'!$B$9,Paramètres!$A$1:$I$89,3,0)*VLOOKUP('Données projet'!$B$9,Paramètres!$A$1:$I$89,5,0)</f>
        <v>0.78471654403366109</v>
      </c>
      <c r="P4" s="13">
        <f>EXP(-1.0587+0.8836*LN(O4)+0.284)</f>
        <v>0.37198061042729702</v>
      </c>
      <c r="Q4" s="20">
        <f t="shared" ref="Q4:Q34" si="2">(O4+P4)*0.475*44/12</f>
        <v>2.0145808773528358</v>
      </c>
      <c r="R4" s="59">
        <f t="shared" si="0"/>
        <v>295.34791421068616</v>
      </c>
      <c r="S4" s="59">
        <f ca="1">AVERAGE(OFFSET($R$3,0,0,'Données projet'!$E$9+1,1))-AVERAGE(OFFSET($H$3,0,0,'Données projet'!$E$9+1,1))</f>
        <v>354.30476036506167</v>
      </c>
      <c r="T4" s="59">
        <f>$T$3</f>
        <v>593.51433014569966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8.526315789473685</v>
      </c>
      <c r="AI4" s="13">
        <f>IF('Données projet'!$A$62&gt;35,AI3+AH4-AQ3,IF(A4&lt;'Données projet'!$A$62,$AF$205^A4,IF(A4='Données projet'!$A$62,'Données projet'!$B$62,AI3+AH4-AQ3)))</f>
        <v>1.3070441688874561</v>
      </c>
      <c r="AJ4" s="13">
        <f>AI4*VLOOKUP('Données projet'!$B$10,Paramètres!$A$1:$I$89,3,0)*VLOOKUP('Données projet'!$B$10,Paramètres!$A$1:$I$89,5,0)</f>
        <v>0.73063769040808801</v>
      </c>
      <c r="AK4" s="13">
        <f>EXP(-1.0587+0.8836*LN(AJ4)+0.284)</f>
        <v>0.34923616900555043</v>
      </c>
      <c r="AL4" s="20">
        <f t="shared" ref="AL4:AL67" si="4">(AJ4+AK4)*0.475*44/12</f>
        <v>1.8807803051454206</v>
      </c>
      <c r="AM4" s="59">
        <f t="shared" ref="AM4:AM67" si="5">AL4+(AD4+AE4)*44/12</f>
        <v>295.21411363847875</v>
      </c>
      <c r="AN4" s="59">
        <f ca="1">AVERAGE(OFFSET($AM$3,0,0,'Données projet'!$E$10+1,1))-AVERAGE(OFFSET($H$3,0,0,'Données projet'!$E$10+1,1))</f>
        <v>280.11276976762787</v>
      </c>
      <c r="AO4" s="59">
        <f>$AO$3</f>
        <v>471.89239871617241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>
        <f>BD4*VLOOKUP('Données projet'!$B$11,Paramètres!$A$1:$I$89,3,0)*VLOOKUP('Données projet'!$B$11,Paramètres!$A$1:$I$89,5,0)</f>
        <v>0</v>
      </c>
      <c r="BF4" s="13" t="e">
        <f>EXP(-1.0587+0.8836*LN(BE4)+0.284)</f>
        <v>#NUM!</v>
      </c>
      <c r="BG4" s="20" t="e">
        <f t="shared" ref="BG4:BG67" si="7">(BE4+BF4)*0.475*44/12</f>
        <v>#NUM!</v>
      </c>
      <c r="BH4" s="59" t="e">
        <f t="shared" ref="BH4:BH67" si="8">BG4+(AY4+AZ4)*44/12</f>
        <v>#NUM!</v>
      </c>
      <c r="BI4" s="59">
        <f ca="1">AVERAGE(OFFSET($BH$3,0,0,'Données projet'!$E$11+1,1))-AVERAGE(OFFSET($H$3,0,0,'Données projet'!$E$11+1,1))</f>
        <v>0</v>
      </c>
      <c r="BJ4" s="59">
        <f>$BJ$3</f>
        <v>0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>
        <f>BY4*VLOOKUP('Données projet'!$B$12,Paramètres!$A$1:$I$89,3,0)*VLOOKUP('Données projet'!$B$12,Paramètres!$A$1:$I$89,5,0)</f>
        <v>0</v>
      </c>
      <c r="CA4" s="13" t="e">
        <f>EXP(-1.0587+0.8836*LN(BZ4)+0.284)</f>
        <v>#NUM!</v>
      </c>
      <c r="CB4" s="20" t="e">
        <f t="shared" ref="CB4:CB67" si="10">(BZ4+CA4)*0.475*44/12</f>
        <v>#NUM!</v>
      </c>
      <c r="CC4" s="59" t="e">
        <f t="shared" ref="CC4:CC67" si="11">CB4+(BT4+BU4)*44/12</f>
        <v>#NUM!</v>
      </c>
      <c r="CD4" s="59">
        <f ca="1">AVERAGE(OFFSET($CC$3,0,0,'Données projet'!$E$12+1,1))-AVERAGE(OFFSET($H$3,0,0,'Données projet'!$E$12+1,1))</f>
        <v>0</v>
      </c>
      <c r="CE4" s="59">
        <f>$CE$3</f>
        <v>0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10.8</v>
      </c>
      <c r="N5" s="13">
        <f>IF('Données projet'!$A$36&gt;35,N4+M5-V4,IF(A5&lt;'Données projet'!$A$36,$K$205^A5,IF(A5='Données projet'!$A$36,'Données projet'!$B$36,N4+M5-V4)))</f>
        <v>1.9706159877884823</v>
      </c>
      <c r="O5" s="13">
        <f>N5*VLOOKUP('Données projet'!$B$9,Paramètres!$A$1:$I$89,3,0)*VLOOKUP('Données projet'!$B$9,Paramètres!$A$1:$I$89,5,0)</f>
        <v>1.1015743371737616</v>
      </c>
      <c r="P5" s="13">
        <f t="shared" ref="P5:P68" si="33">EXP(-1.0587+0.8836*LN(O5)+0.284)</f>
        <v>0.50196734705126034</v>
      </c>
      <c r="Q5" s="20">
        <f t="shared" si="2"/>
        <v>2.7928351000252465</v>
      </c>
      <c r="R5" s="59">
        <f t="shared" si="0"/>
        <v>296.12616843335854</v>
      </c>
      <c r="S5" s="59">
        <f ca="1">AVERAGE(OFFSET($R$3,0,0,'Données projet'!$E$9+1,1))-AVERAGE(OFFSET($H$3,0,0,'Données projet'!$E$9+1,1))</f>
        <v>354.30476036506167</v>
      </c>
      <c r="T5" s="59">
        <f t="shared" ref="T5:T68" si="34">$T$3</f>
        <v>593.51433014569966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8.526315789473685</v>
      </c>
      <c r="AI5" s="13">
        <f>IF('Données projet'!$A$62&gt;35,AI4+AH5-AQ4,IF(A5&lt;'Données projet'!$A$62,$AF$205^A5,IF(A5='Données projet'!$A$62,'Données projet'!$B$62,AI4+AH5-AQ4)))</f>
        <v>1.708364459422701</v>
      </c>
      <c r="AJ5" s="13">
        <f>AI5*VLOOKUP('Données projet'!$B$10,Paramètres!$A$1:$I$89,3,0)*VLOOKUP('Données projet'!$B$10,Paramètres!$A$1:$I$89,5,0)</f>
        <v>0.95497573281728976</v>
      </c>
      <c r="AK5" s="13">
        <f t="shared" ref="AK5:AK68" si="35">EXP(-1.0587+0.8836*LN(AJ5)+0.284)</f>
        <v>0.44245926414263009</v>
      </c>
      <c r="AL5" s="20">
        <f t="shared" si="4"/>
        <v>2.4338659530385267</v>
      </c>
      <c r="AM5" s="59">
        <f t="shared" si="5"/>
        <v>295.76719928637186</v>
      </c>
      <c r="AN5" s="59">
        <f ca="1">AVERAGE(OFFSET($AM$3,0,0,'Données projet'!$E$10+1,1))-AVERAGE(OFFSET($H$3,0,0,'Données projet'!$E$10+1,1))</f>
        <v>280.11276976762787</v>
      </c>
      <c r="AO5" s="59">
        <f t="shared" ref="AO5:AO68" si="36">$AO$3</f>
        <v>471.89239871617241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>
        <f>BD5*VLOOKUP('Données projet'!$B$11,Paramètres!$A$1:$I$89,3,0)*VLOOKUP('Données projet'!$B$11,Paramètres!$A$1:$I$89,5,0)</f>
        <v>0</v>
      </c>
      <c r="BF5" s="13" t="e">
        <f t="shared" ref="BF5:BF68" si="37">EXP(-1.0587+0.8836*LN(BE5)+0.284)</f>
        <v>#NUM!</v>
      </c>
      <c r="BG5" s="20" t="e">
        <f t="shared" si="7"/>
        <v>#NUM!</v>
      </c>
      <c r="BH5" s="59" t="e">
        <f t="shared" si="8"/>
        <v>#NUM!</v>
      </c>
      <c r="BI5" s="59">
        <f ca="1">AVERAGE(OFFSET($BH$3,0,0,'Données projet'!$E$11+1,1))-AVERAGE(OFFSET($H$3,0,0,'Données projet'!$E$11+1,1))</f>
        <v>0</v>
      </c>
      <c r="BJ5" s="59">
        <f t="shared" ref="BJ5:BJ68" si="38">$BJ$3</f>
        <v>0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>
        <f>BY5*VLOOKUP('Données projet'!$B$12,Paramètres!$A$1:$I$89,3,0)*VLOOKUP('Données projet'!$B$12,Paramètres!$A$1:$I$89,5,0)</f>
        <v>0</v>
      </c>
      <c r="CA5" s="13" t="e">
        <f t="shared" ref="CA5:CA68" si="39">EXP(-1.0587+0.8836*LN(BZ5)+0.284)</f>
        <v>#NUM!</v>
      </c>
      <c r="CB5" s="20" t="e">
        <f t="shared" si="10"/>
        <v>#NUM!</v>
      </c>
      <c r="CC5" s="59" t="e">
        <f t="shared" si="11"/>
        <v>#NUM!</v>
      </c>
      <c r="CD5" s="59">
        <f ca="1">AVERAGE(OFFSET($CC$3,0,0,'Données projet'!$E$12+1,1))-AVERAGE(OFFSET($H$3,0,0,'Données projet'!$E$12+1,1))</f>
        <v>0</v>
      </c>
      <c r="CE5" s="59">
        <f t="shared" ref="CE5:CE68" si="40">$CE$3</f>
        <v>0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10.8</v>
      </c>
      <c r="N6" s="13">
        <f>IF('Données projet'!$A$36&gt;35,N5+M6-V5,IF(A6&lt;'Données projet'!$A$36,$K$205^A6,IF(A6='Données projet'!$A$36,'Données projet'!$B$36,N5+M6-V5)))</f>
        <v>2.7663237344451828</v>
      </c>
      <c r="O6" s="13">
        <f>N6*VLOOKUP('Données projet'!$B$9,Paramètres!$A$1:$I$89,3,0)*VLOOKUP('Données projet'!$B$9,Paramètres!$A$1:$I$89,5,0)</f>
        <v>1.5463749675548573</v>
      </c>
      <c r="P6" s="13">
        <f t="shared" si="33"/>
        <v>0.6773772891448272</v>
      </c>
      <c r="Q6" s="20">
        <f t="shared" si="2"/>
        <v>3.8730351804186167</v>
      </c>
      <c r="R6" s="59">
        <f t="shared" si="0"/>
        <v>297.20636851375195</v>
      </c>
      <c r="S6" s="59">
        <f ca="1">AVERAGE(OFFSET($R$3,0,0,'Données projet'!$E$9+1,1))-AVERAGE(OFFSET($H$3,0,0,'Données projet'!$E$9+1,1))</f>
        <v>354.30476036506167</v>
      </c>
      <c r="T6" s="59">
        <f t="shared" si="34"/>
        <v>593.51433014569966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8.526315789473685</v>
      </c>
      <c r="AI6" s="13">
        <f>IF('Données projet'!$A$62&gt;35,AI5+AH6-AQ5,IF(A6&lt;'Données projet'!$A$62,$AF$205^A6,IF(A6='Données projet'!$A$62,'Données projet'!$B$62,AI5+AH6-AQ5)))</f>
        <v>2.2329078050230127</v>
      </c>
      <c r="AJ6" s="13">
        <f>AI6*VLOOKUP('Données projet'!$B$10,Paramètres!$A$1:$I$89,3,0)*VLOOKUP('Données projet'!$B$10,Paramètres!$A$1:$I$89,5,0)</f>
        <v>1.248195463007864</v>
      </c>
      <c r="AK6" s="13">
        <f t="shared" si="35"/>
        <v>0.56056679634040518</v>
      </c>
      <c r="AL6" s="20">
        <f t="shared" si="4"/>
        <v>3.1502609350315693</v>
      </c>
      <c r="AM6" s="59">
        <f t="shared" si="5"/>
        <v>296.48359426836487</v>
      </c>
      <c r="AN6" s="59">
        <f ca="1">AVERAGE(OFFSET($AM$3,0,0,'Données projet'!$E$10+1,1))-AVERAGE(OFFSET($H$3,0,0,'Données projet'!$E$10+1,1))</f>
        <v>280.11276976762787</v>
      </c>
      <c r="AO6" s="59">
        <f t="shared" si="36"/>
        <v>471.89239871617241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>
        <f>BD6*VLOOKUP('Données projet'!$B$11,Paramètres!$A$1:$I$89,3,0)*VLOOKUP('Données projet'!$B$11,Paramètres!$A$1:$I$89,5,0)</f>
        <v>0</v>
      </c>
      <c r="BF6" s="13" t="e">
        <f t="shared" si="37"/>
        <v>#NUM!</v>
      </c>
      <c r="BG6" s="20" t="e">
        <f t="shared" si="7"/>
        <v>#NUM!</v>
      </c>
      <c r="BH6" s="59" t="e">
        <f t="shared" si="8"/>
        <v>#NUM!</v>
      </c>
      <c r="BI6" s="59">
        <f ca="1">AVERAGE(OFFSET($BH$3,0,0,'Données projet'!$E$11+1,1))-AVERAGE(OFFSET($H$3,0,0,'Données projet'!$E$11+1,1))</f>
        <v>0</v>
      </c>
      <c r="BJ6" s="59">
        <f t="shared" si="38"/>
        <v>0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>
        <f>BY6*VLOOKUP('Données projet'!$B$12,Paramètres!$A$1:$I$89,3,0)*VLOOKUP('Données projet'!$B$12,Paramètres!$A$1:$I$89,5,0)</f>
        <v>0</v>
      </c>
      <c r="CA6" s="13" t="e">
        <f t="shared" si="39"/>
        <v>#NUM!</v>
      </c>
      <c r="CB6" s="20" t="e">
        <f t="shared" si="10"/>
        <v>#NUM!</v>
      </c>
      <c r="CC6" s="59" t="e">
        <f t="shared" si="11"/>
        <v>#NUM!</v>
      </c>
      <c r="CD6" s="59">
        <f ca="1">AVERAGE(OFFSET($CC$3,0,0,'Données projet'!$E$12+1,1))-AVERAGE(OFFSET($H$3,0,0,'Données projet'!$E$12+1,1))</f>
        <v>0</v>
      </c>
      <c r="CE6" s="59">
        <f t="shared" si="40"/>
        <v>0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10.8</v>
      </c>
      <c r="N7" s="13">
        <f>IF('Données projet'!$A$36&gt;35,N6+M7-V6,IF(A7&lt;'Données projet'!$A$36,$K$205^A7,IF(A7='Données projet'!$A$36,'Données projet'!$B$36,N6+M7-V6)))</f>
        <v>3.8833273713275762</v>
      </c>
      <c r="O7" s="13">
        <f>N7*VLOOKUP('Données projet'!$B$9,Paramètres!$A$1:$I$89,3,0)*VLOOKUP('Données projet'!$B$9,Paramètres!$A$1:$I$89,5,0)</f>
        <v>2.170780000572115</v>
      </c>
      <c r="P7" s="13">
        <f t="shared" si="33"/>
        <v>0.91408334535022773</v>
      </c>
      <c r="Q7" s="20">
        <f t="shared" si="2"/>
        <v>5.3728036608147471</v>
      </c>
      <c r="R7" s="59">
        <f t="shared" si="0"/>
        <v>298.70613699414804</v>
      </c>
      <c r="S7" s="59">
        <f ca="1">AVERAGE(OFFSET($R$3,0,0,'Données projet'!$E$9+1,1))-AVERAGE(OFFSET($H$3,0,0,'Données projet'!$E$9+1,1))</f>
        <v>354.30476036506167</v>
      </c>
      <c r="T7" s="59">
        <f t="shared" si="34"/>
        <v>593.51433014569966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8.526315789473685</v>
      </c>
      <c r="AI7" s="13">
        <f>IF('Données projet'!$A$62&gt;35,AI6+AH7-AQ6,IF(A7&lt;'Données projet'!$A$62,$AF$205^A7,IF(A7='Données projet'!$A$62,'Données projet'!$B$62,AI6+AH7-AQ6)))</f>
        <v>2.9185091262186176</v>
      </c>
      <c r="AJ7" s="13">
        <f>AI7*VLOOKUP('Données projet'!$B$10,Paramètres!$A$1:$I$89,3,0)*VLOOKUP('Données projet'!$B$10,Paramètres!$A$1:$I$89,5,0)</f>
        <v>1.6314466015562072</v>
      </c>
      <c r="AK7" s="13">
        <f t="shared" si="35"/>
        <v>0.71020127416305878</v>
      </c>
      <c r="AL7" s="20">
        <f t="shared" si="4"/>
        <v>4.0783700502110554</v>
      </c>
      <c r="AM7" s="59">
        <f t="shared" si="5"/>
        <v>297.41170338354436</v>
      </c>
      <c r="AN7" s="59">
        <f ca="1">AVERAGE(OFFSET($AM$3,0,0,'Données projet'!$E$10+1,1))-AVERAGE(OFFSET($H$3,0,0,'Données projet'!$E$10+1,1))</f>
        <v>280.11276976762787</v>
      </c>
      <c r="AO7" s="59">
        <f t="shared" si="36"/>
        <v>471.89239871617241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>
        <f>BD7*VLOOKUP('Données projet'!$B$11,Paramètres!$A$1:$I$89,3,0)*VLOOKUP('Données projet'!$B$11,Paramètres!$A$1:$I$89,5,0)</f>
        <v>0</v>
      </c>
      <c r="BF7" s="13" t="e">
        <f t="shared" si="37"/>
        <v>#NUM!</v>
      </c>
      <c r="BG7" s="20" t="e">
        <f t="shared" si="7"/>
        <v>#NUM!</v>
      </c>
      <c r="BH7" s="59" t="e">
        <f t="shared" si="8"/>
        <v>#NUM!</v>
      </c>
      <c r="BI7" s="59">
        <f ca="1">AVERAGE(OFFSET($BH$3,0,0,'Données projet'!$E$11+1,1))-AVERAGE(OFFSET($H$3,0,0,'Données projet'!$E$11+1,1))</f>
        <v>0</v>
      </c>
      <c r="BJ7" s="59">
        <f t="shared" si="38"/>
        <v>0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>
        <f>BY7*VLOOKUP('Données projet'!$B$12,Paramètres!$A$1:$I$89,3,0)*VLOOKUP('Données projet'!$B$12,Paramètres!$A$1:$I$89,5,0)</f>
        <v>0</v>
      </c>
      <c r="CA7" s="13" t="e">
        <f t="shared" si="39"/>
        <v>#NUM!</v>
      </c>
      <c r="CB7" s="20" t="e">
        <f t="shared" si="10"/>
        <v>#NUM!</v>
      </c>
      <c r="CC7" s="59" t="e">
        <f t="shared" si="11"/>
        <v>#NUM!</v>
      </c>
      <c r="CD7" s="59">
        <f ca="1">AVERAGE(OFFSET($CC$3,0,0,'Données projet'!$E$12+1,1))-AVERAGE(OFFSET($H$3,0,0,'Données projet'!$E$12+1,1))</f>
        <v>0</v>
      </c>
      <c r="CE7" s="59">
        <f t="shared" si="40"/>
        <v>0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10.8</v>
      </c>
      <c r="N8" s="13">
        <f>IF('Données projet'!$A$36&gt;35,N7+M8-V7,IF(A8&lt;'Données projet'!$A$36,$K$205^A8,IF(A8='Données projet'!$A$36,'Données projet'!$B$36,N7+M8-V7)))</f>
        <v>5.451361778496417</v>
      </c>
      <c r="O8" s="13">
        <f>N8*VLOOKUP('Données projet'!$B$9,Paramètres!$A$1:$I$89,3,0)*VLOOKUP('Données projet'!$B$9,Paramètres!$A$1:$I$89,5,0)</f>
        <v>3.0473112341794972</v>
      </c>
      <c r="P8" s="13">
        <f t="shared" si="33"/>
        <v>1.2335051316844765</v>
      </c>
      <c r="Q8" s="20">
        <f t="shared" si="2"/>
        <v>7.4557551705464205</v>
      </c>
      <c r="R8" s="59">
        <f t="shared" si="0"/>
        <v>300.78908850387973</v>
      </c>
      <c r="S8" s="59">
        <f ca="1">AVERAGE(OFFSET($R$3,0,0,'Données projet'!$E$9+1,1))-AVERAGE(OFFSET($H$3,0,0,'Données projet'!$E$9+1,1))</f>
        <v>354.30476036506167</v>
      </c>
      <c r="T8" s="59">
        <f t="shared" si="34"/>
        <v>593.51433014569966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8.526315789473685</v>
      </c>
      <c r="AI8" s="13">
        <f>IF('Données projet'!$A$62&gt;35,AI7+AH8-AQ7,IF(A8&lt;'Données projet'!$A$62,$AF$205^A8,IF(A8='Données projet'!$A$62,'Données projet'!$B$62,AI7+AH8-AQ7)))</f>
        <v>3.8146203352688688</v>
      </c>
      <c r="AJ8" s="13">
        <f>AI8*VLOOKUP('Données projet'!$B$10,Paramètres!$A$1:$I$89,3,0)*VLOOKUP('Données projet'!$B$10,Paramètres!$A$1:$I$89,5,0)</f>
        <v>2.1323727674152977</v>
      </c>
      <c r="AK8" s="13">
        <f t="shared" si="35"/>
        <v>0.89977831922200224</v>
      </c>
      <c r="AL8" s="20">
        <f t="shared" si="4"/>
        <v>5.2809964758932972</v>
      </c>
      <c r="AM8" s="59">
        <f t="shared" si="5"/>
        <v>298.6143298092266</v>
      </c>
      <c r="AN8" s="59">
        <f ca="1">AVERAGE(OFFSET($AM$3,0,0,'Données projet'!$E$10+1,1))-AVERAGE(OFFSET($H$3,0,0,'Données projet'!$E$10+1,1))</f>
        <v>280.11276976762787</v>
      </c>
      <c r="AO8" s="59">
        <f t="shared" si="36"/>
        <v>471.89239871617241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>
        <f>BD8*VLOOKUP('Données projet'!$B$11,Paramètres!$A$1:$I$89,3,0)*VLOOKUP('Données projet'!$B$11,Paramètres!$A$1:$I$89,5,0)</f>
        <v>0</v>
      </c>
      <c r="BF8" s="13" t="e">
        <f t="shared" si="37"/>
        <v>#NUM!</v>
      </c>
      <c r="BG8" s="20" t="e">
        <f t="shared" si="7"/>
        <v>#NUM!</v>
      </c>
      <c r="BH8" s="59" t="e">
        <f t="shared" si="8"/>
        <v>#NUM!</v>
      </c>
      <c r="BI8" s="59">
        <f ca="1">AVERAGE(OFFSET($BH$3,0,0,'Données projet'!$E$11+1,1))-AVERAGE(OFFSET($H$3,0,0,'Données projet'!$E$11+1,1))</f>
        <v>0</v>
      </c>
      <c r="BJ8" s="59">
        <f t="shared" si="38"/>
        <v>0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>
        <f>BY8*VLOOKUP('Données projet'!$B$12,Paramètres!$A$1:$I$89,3,0)*VLOOKUP('Données projet'!$B$12,Paramètres!$A$1:$I$89,5,0)</f>
        <v>0</v>
      </c>
      <c r="CA8" s="13" t="e">
        <f t="shared" si="39"/>
        <v>#NUM!</v>
      </c>
      <c r="CB8" s="20" t="e">
        <f t="shared" si="10"/>
        <v>#NUM!</v>
      </c>
      <c r="CC8" s="59" t="e">
        <f t="shared" si="11"/>
        <v>#NUM!</v>
      </c>
      <c r="CD8" s="59">
        <f ca="1">AVERAGE(OFFSET($CC$3,0,0,'Données projet'!$E$12+1,1))-AVERAGE(OFFSET($H$3,0,0,'Données projet'!$E$12+1,1))</f>
        <v>0</v>
      </c>
      <c r="CE8" s="59">
        <f t="shared" si="40"/>
        <v>0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10.8</v>
      </c>
      <c r="N9" s="13">
        <f>IF('Données projet'!$A$36&gt;35,N8+M9-V8,IF(A9&lt;'Données projet'!$A$36,$K$205^A9,IF(A9='Données projet'!$A$36,'Données projet'!$B$36,N8+M9-V8)))</f>
        <v>7.6525470037547425</v>
      </c>
      <c r="O9" s="13">
        <f>N9*VLOOKUP('Données projet'!$B$9,Paramètres!$A$1:$I$89,3,0)*VLOOKUP('Données projet'!$B$9,Paramètres!$A$1:$I$89,5,0)</f>
        <v>4.2777737750989013</v>
      </c>
      <c r="P9" s="13">
        <f t="shared" si="33"/>
        <v>1.6645472402836166</v>
      </c>
      <c r="Q9" s="20">
        <f t="shared" si="2"/>
        <v>10.349542435124553</v>
      </c>
      <c r="R9" s="59">
        <f t="shared" si="0"/>
        <v>303.68287576845785</v>
      </c>
      <c r="S9" s="59">
        <f ca="1">AVERAGE(OFFSET($R$3,0,0,'Données projet'!$E$9+1,1))-AVERAGE(OFFSET($H$3,0,0,'Données projet'!$E$9+1,1))</f>
        <v>354.30476036506167</v>
      </c>
      <c r="T9" s="59">
        <f t="shared" si="34"/>
        <v>593.51433014569966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8.526315789473685</v>
      </c>
      <c r="AI9" s="13">
        <f>IF('Données projet'!$A$62&gt;35,AI8+AH9-AQ8,IF(A9&lt;'Données projet'!$A$62,$AF$205^A9,IF(A9='Données projet'!$A$62,'Données projet'!$B$62,AI8+AH9-AQ8)))</f>
        <v>4.9858772657326877</v>
      </c>
      <c r="AJ9" s="13">
        <f>AI9*VLOOKUP('Données projet'!$B$10,Paramètres!$A$1:$I$89,3,0)*VLOOKUP('Données projet'!$B$10,Paramètres!$A$1:$I$89,5,0)</f>
        <v>2.7871053915445723</v>
      </c>
      <c r="AK9" s="13">
        <f t="shared" si="35"/>
        <v>1.1399599707787778</v>
      </c>
      <c r="AL9" s="20">
        <f t="shared" si="4"/>
        <v>6.839638839379834</v>
      </c>
      <c r="AM9" s="59">
        <f t="shared" si="5"/>
        <v>300.17297217271317</v>
      </c>
      <c r="AN9" s="59">
        <f ca="1">AVERAGE(OFFSET($AM$3,0,0,'Données projet'!$E$10+1,1))-AVERAGE(OFFSET($H$3,0,0,'Données projet'!$E$10+1,1))</f>
        <v>280.11276976762787</v>
      </c>
      <c r="AO9" s="59">
        <f t="shared" si="36"/>
        <v>471.89239871617241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>
        <f>BD9*VLOOKUP('Données projet'!$B$11,Paramètres!$A$1:$I$89,3,0)*VLOOKUP('Données projet'!$B$11,Paramètres!$A$1:$I$89,5,0)</f>
        <v>0</v>
      </c>
      <c r="BF9" s="13" t="e">
        <f t="shared" si="37"/>
        <v>#NUM!</v>
      </c>
      <c r="BG9" s="20" t="e">
        <f t="shared" si="7"/>
        <v>#NUM!</v>
      </c>
      <c r="BH9" s="59" t="e">
        <f t="shared" si="8"/>
        <v>#NUM!</v>
      </c>
      <c r="BI9" s="59">
        <f ca="1">AVERAGE(OFFSET($BH$3,0,0,'Données projet'!$E$11+1,1))-AVERAGE(OFFSET($H$3,0,0,'Données projet'!$E$11+1,1))</f>
        <v>0</v>
      </c>
      <c r="BJ9" s="59">
        <f t="shared" si="38"/>
        <v>0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>
        <f>BY9*VLOOKUP('Données projet'!$B$12,Paramètres!$A$1:$I$89,3,0)*VLOOKUP('Données projet'!$B$12,Paramètres!$A$1:$I$89,5,0)</f>
        <v>0</v>
      </c>
      <c r="CA9" s="13" t="e">
        <f t="shared" si="39"/>
        <v>#NUM!</v>
      </c>
      <c r="CB9" s="20" t="e">
        <f t="shared" si="10"/>
        <v>#NUM!</v>
      </c>
      <c r="CC9" s="59" t="e">
        <f t="shared" si="11"/>
        <v>#NUM!</v>
      </c>
      <c r="CD9" s="59">
        <f ca="1">AVERAGE(OFFSET($CC$3,0,0,'Données projet'!$E$12+1,1))-AVERAGE(OFFSET($H$3,0,0,'Données projet'!$E$12+1,1))</f>
        <v>0</v>
      </c>
      <c r="CE9" s="59">
        <f t="shared" si="40"/>
        <v>0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10.8</v>
      </c>
      <c r="N10" s="13">
        <f>IF('Données projet'!$A$36&gt;35,N9+M10-V9,IF(A10&lt;'Données projet'!$A$36,$K$205^A10,IF(A10='Données projet'!$A$36,'Données projet'!$B$36,N9+M10-V9)))</f>
        <v>10.742540675924095</v>
      </c>
      <c r="O10" s="13">
        <f>N10*VLOOKUP('Données projet'!$B$9,Paramètres!$A$1:$I$89,3,0)*VLOOKUP('Données projet'!$B$9,Paramètres!$A$1:$I$89,5,0)</f>
        <v>6.0050802378415691</v>
      </c>
      <c r="P10" s="13">
        <f t="shared" si="33"/>
        <v>2.2462148263235089</v>
      </c>
      <c r="Q10" s="20">
        <f t="shared" si="2"/>
        <v>14.37100557008751</v>
      </c>
      <c r="R10" s="59">
        <f t="shared" si="0"/>
        <v>307.70433890342082</v>
      </c>
      <c r="S10" s="59">
        <f ca="1">AVERAGE(OFFSET($R$3,0,0,'Données projet'!$E$9+1,1))-AVERAGE(OFFSET($H$3,0,0,'Données projet'!$E$9+1,1))</f>
        <v>354.30476036506167</v>
      </c>
      <c r="T10" s="59">
        <f t="shared" si="34"/>
        <v>593.51433014569966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8.526315789473685</v>
      </c>
      <c r="AI10" s="13">
        <f>IF('Données projet'!$A$62&gt;35,AI9+AH10-AQ9,IF(A10&lt;'Données projet'!$A$62,$AF$205^A10,IF(A10='Données projet'!$A$62,'Données projet'!$B$62,AI9+AH10-AQ9)))</f>
        <v>6.5167618069644444</v>
      </c>
      <c r="AJ10" s="13">
        <f>AI10*VLOOKUP('Données projet'!$B$10,Paramètres!$A$1:$I$89,3,0)*VLOOKUP('Données projet'!$B$10,Paramètres!$A$1:$I$89,5,0)</f>
        <v>3.6428698500931249</v>
      </c>
      <c r="AK10" s="13">
        <f t="shared" si="35"/>
        <v>1.4442543315575544</v>
      </c>
      <c r="AL10" s="20">
        <f t="shared" si="4"/>
        <v>8.8600746163749324</v>
      </c>
      <c r="AM10" s="59">
        <f t="shared" si="5"/>
        <v>302.19340794970827</v>
      </c>
      <c r="AN10" s="59">
        <f ca="1">AVERAGE(OFFSET($AM$3,0,0,'Données projet'!$E$10+1,1))-AVERAGE(OFFSET($H$3,0,0,'Données projet'!$E$10+1,1))</f>
        <v>280.11276976762787</v>
      </c>
      <c r="AO10" s="59">
        <f t="shared" si="36"/>
        <v>471.89239871617241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>
        <f>BD10*VLOOKUP('Données projet'!$B$11,Paramètres!$A$1:$I$89,3,0)*VLOOKUP('Données projet'!$B$11,Paramètres!$A$1:$I$89,5,0)</f>
        <v>0</v>
      </c>
      <c r="BF10" s="13" t="e">
        <f t="shared" si="37"/>
        <v>#NUM!</v>
      </c>
      <c r="BG10" s="20" t="e">
        <f t="shared" si="7"/>
        <v>#NUM!</v>
      </c>
      <c r="BH10" s="59" t="e">
        <f t="shared" si="8"/>
        <v>#NUM!</v>
      </c>
      <c r="BI10" s="59">
        <f ca="1">AVERAGE(OFFSET($BH$3,0,0,'Données projet'!$E$11+1,1))-AVERAGE(OFFSET($H$3,0,0,'Données projet'!$E$11+1,1))</f>
        <v>0</v>
      </c>
      <c r="BJ10" s="59">
        <f t="shared" si="38"/>
        <v>0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>
        <f>BY10*VLOOKUP('Données projet'!$B$12,Paramètres!$A$1:$I$89,3,0)*VLOOKUP('Données projet'!$B$12,Paramètres!$A$1:$I$89,5,0)</f>
        <v>0</v>
      </c>
      <c r="CA10" s="13" t="e">
        <f t="shared" si="39"/>
        <v>#NUM!</v>
      </c>
      <c r="CB10" s="20" t="e">
        <f t="shared" si="10"/>
        <v>#NUM!</v>
      </c>
      <c r="CC10" s="59" t="e">
        <f t="shared" si="11"/>
        <v>#NUM!</v>
      </c>
      <c r="CD10" s="59">
        <f ca="1">AVERAGE(OFFSET($CC$3,0,0,'Données projet'!$E$12+1,1))-AVERAGE(OFFSET($H$3,0,0,'Données projet'!$E$12+1,1))</f>
        <v>0</v>
      </c>
      <c r="CE10" s="59">
        <f t="shared" si="40"/>
        <v>0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10.8</v>
      </c>
      <c r="N11" s="13">
        <f>IF('Données projet'!$A$36&gt;35,N10+M11-V10,IF(A11&lt;'Données projet'!$A$36,$K$205^A11,IF(A11='Données projet'!$A$36,'Données projet'!$B$36,N10+M11-V10)))</f>
        <v>15.080231472901943</v>
      </c>
      <c r="O11" s="13">
        <f>N11*VLOOKUP('Données projet'!$B$9,Paramètres!$A$1:$I$89,3,0)*VLOOKUP('Données projet'!$B$9,Paramètres!$A$1:$I$89,5,0)</f>
        <v>8.4298493933521872</v>
      </c>
      <c r="P11" s="13">
        <f t="shared" si="33"/>
        <v>3.0311431985167756</v>
      </c>
      <c r="Q11" s="20">
        <f t="shared" si="2"/>
        <v>19.961228764171775</v>
      </c>
      <c r="R11" s="59">
        <f t="shared" si="0"/>
        <v>313.29456209750509</v>
      </c>
      <c r="S11" s="59">
        <f ca="1">AVERAGE(OFFSET($R$3,0,0,'Données projet'!$E$9+1,1))-AVERAGE(OFFSET($H$3,0,0,'Données projet'!$E$9+1,1))</f>
        <v>354.30476036506167</v>
      </c>
      <c r="T11" s="59">
        <f t="shared" si="34"/>
        <v>593.51433014569966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8.526315789473685</v>
      </c>
      <c r="AI11" s="13">
        <f>IF('Données projet'!$A$62&gt;35,AI10+AH11-AQ10,IF(A11&lt;'Données projet'!$A$62,$AF$205^A11,IF(A11='Données projet'!$A$62,'Données projet'!$B$62,AI10+AH11-AQ10)))</f>
        <v>8.5176955198213591</v>
      </c>
      <c r="AJ11" s="13">
        <f>AI11*VLOOKUP('Données projet'!$B$10,Paramètres!$A$1:$I$89,3,0)*VLOOKUP('Données projet'!$B$10,Paramètres!$A$1:$I$89,5,0)</f>
        <v>4.7613917955801393</v>
      </c>
      <c r="AK11" s="13">
        <f t="shared" si="35"/>
        <v>1.8297752795633417</v>
      </c>
      <c r="AL11" s="20">
        <f t="shared" si="4"/>
        <v>11.479615989208229</v>
      </c>
      <c r="AM11" s="59">
        <f t="shared" si="5"/>
        <v>304.81294932254156</v>
      </c>
      <c r="AN11" s="59">
        <f ca="1">AVERAGE(OFFSET($AM$3,0,0,'Données projet'!$E$10+1,1))-AVERAGE(OFFSET($H$3,0,0,'Données projet'!$E$10+1,1))</f>
        <v>280.11276976762787</v>
      </c>
      <c r="AO11" s="59">
        <f t="shared" si="36"/>
        <v>471.89239871617241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>
        <f>BD11*VLOOKUP('Données projet'!$B$11,Paramètres!$A$1:$I$89,3,0)*VLOOKUP('Données projet'!$B$11,Paramètres!$A$1:$I$89,5,0)</f>
        <v>0</v>
      </c>
      <c r="BF11" s="13" t="e">
        <f t="shared" si="37"/>
        <v>#NUM!</v>
      </c>
      <c r="BG11" s="20" t="e">
        <f t="shared" si="7"/>
        <v>#NUM!</v>
      </c>
      <c r="BH11" s="59" t="e">
        <f t="shared" si="8"/>
        <v>#NUM!</v>
      </c>
      <c r="BI11" s="59">
        <f ca="1">AVERAGE(OFFSET($BH$3,0,0,'Données projet'!$E$11+1,1))-AVERAGE(OFFSET($H$3,0,0,'Données projet'!$E$11+1,1))</f>
        <v>0</v>
      </c>
      <c r="BJ11" s="59">
        <f t="shared" si="38"/>
        <v>0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>
        <f>BY11*VLOOKUP('Données projet'!$B$12,Paramètres!$A$1:$I$89,3,0)*VLOOKUP('Données projet'!$B$12,Paramètres!$A$1:$I$89,5,0)</f>
        <v>0</v>
      </c>
      <c r="CA11" s="13" t="e">
        <f t="shared" si="39"/>
        <v>#NUM!</v>
      </c>
      <c r="CB11" s="20" t="e">
        <f t="shared" si="10"/>
        <v>#NUM!</v>
      </c>
      <c r="CC11" s="59" t="e">
        <f t="shared" si="11"/>
        <v>#NUM!</v>
      </c>
      <c r="CD11" s="59">
        <f ca="1">AVERAGE(OFFSET($CC$3,0,0,'Données projet'!$E$12+1,1))-AVERAGE(OFFSET($H$3,0,0,'Données projet'!$E$12+1,1))</f>
        <v>0</v>
      </c>
      <c r="CE11" s="59">
        <f t="shared" si="40"/>
        <v>0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10.8</v>
      </c>
      <c r="N12" s="13">
        <f>IF('Données projet'!$A$36&gt;35,N11+M12-V11,IF(A12&lt;'Données projet'!$A$36,$K$205^A12,IF(A12='Données projet'!$A$36,'Données projet'!$B$36,N11+M12-V11)))</f>
        <v>21.169422405444113</v>
      </c>
      <c r="O12" s="13">
        <f>N12*VLOOKUP('Données projet'!$B$9,Paramètres!$A$1:$I$89,3,0)*VLOOKUP('Données projet'!$B$9,Paramètres!$A$1:$I$89,5,0)</f>
        <v>11.83370712464326</v>
      </c>
      <c r="P12" s="13">
        <f t="shared" si="33"/>
        <v>4.0903608070972819</v>
      </c>
      <c r="Q12" s="20">
        <f t="shared" si="2"/>
        <v>27.734418314448106</v>
      </c>
      <c r="R12" s="59">
        <f t="shared" si="0"/>
        <v>321.06775164778139</v>
      </c>
      <c r="S12" s="59">
        <f ca="1">AVERAGE(OFFSET($R$3,0,0,'Données projet'!$E$9+1,1))-AVERAGE(OFFSET($H$3,0,0,'Données projet'!$E$9+1,1))</f>
        <v>354.30476036506167</v>
      </c>
      <c r="T12" s="59">
        <f t="shared" si="34"/>
        <v>593.51433014569966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8.526315789473685</v>
      </c>
      <c r="AI12" s="13">
        <f>IF('Données projet'!$A$62&gt;35,AI11+AH12-AQ11,IF(A12&lt;'Données projet'!$A$62,$AF$205^A12,IF(A12='Données projet'!$A$62,'Données projet'!$B$62,AI11+AH12-AQ11)))</f>
        <v>11.133004261541316</v>
      </c>
      <c r="AJ12" s="13">
        <f>AI12*VLOOKUP('Données projet'!$B$10,Paramètres!$A$1:$I$89,3,0)*VLOOKUP('Données projet'!$B$10,Paramètres!$A$1:$I$89,5,0)</f>
        <v>6.2233493822015964</v>
      </c>
      <c r="AK12" s="13">
        <f t="shared" si="35"/>
        <v>2.3182049730052579</v>
      </c>
      <c r="AL12" s="20">
        <f t="shared" si="4"/>
        <v>14.87654050198527</v>
      </c>
      <c r="AM12" s="59">
        <f t="shared" si="5"/>
        <v>308.2098738353186</v>
      </c>
      <c r="AN12" s="59">
        <f ca="1">AVERAGE(OFFSET($AM$3,0,0,'Données projet'!$E$10+1,1))-AVERAGE(OFFSET($H$3,0,0,'Données projet'!$E$10+1,1))</f>
        <v>280.11276976762787</v>
      </c>
      <c r="AO12" s="59">
        <f t="shared" si="36"/>
        <v>471.89239871617241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>
        <f>BD12*VLOOKUP('Données projet'!$B$11,Paramètres!$A$1:$I$89,3,0)*VLOOKUP('Données projet'!$B$11,Paramètres!$A$1:$I$89,5,0)</f>
        <v>0</v>
      </c>
      <c r="BF12" s="13" t="e">
        <f t="shared" si="37"/>
        <v>#NUM!</v>
      </c>
      <c r="BG12" s="20" t="e">
        <f t="shared" si="7"/>
        <v>#NUM!</v>
      </c>
      <c r="BH12" s="59" t="e">
        <f t="shared" si="8"/>
        <v>#NUM!</v>
      </c>
      <c r="BI12" s="59">
        <f ca="1">AVERAGE(OFFSET($BH$3,0,0,'Données projet'!$E$11+1,1))-AVERAGE(OFFSET($H$3,0,0,'Données projet'!$E$11+1,1))</f>
        <v>0</v>
      </c>
      <c r="BJ12" s="59">
        <f t="shared" si="38"/>
        <v>0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>
        <f>BY12*VLOOKUP('Données projet'!$B$12,Paramètres!$A$1:$I$89,3,0)*VLOOKUP('Données projet'!$B$12,Paramètres!$A$1:$I$89,5,0)</f>
        <v>0</v>
      </c>
      <c r="CA12" s="13" t="e">
        <f t="shared" si="39"/>
        <v>#NUM!</v>
      </c>
      <c r="CB12" s="20" t="e">
        <f t="shared" si="10"/>
        <v>#NUM!</v>
      </c>
      <c r="CC12" s="59" t="e">
        <f t="shared" si="11"/>
        <v>#NUM!</v>
      </c>
      <c r="CD12" s="59">
        <f ca="1">AVERAGE(OFFSET($CC$3,0,0,'Données projet'!$E$12+1,1))-AVERAGE(OFFSET($H$3,0,0,'Données projet'!$E$12+1,1))</f>
        <v>0</v>
      </c>
      <c r="CE12" s="59">
        <f t="shared" si="40"/>
        <v>0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10.8</v>
      </c>
      <c r="N13" s="13">
        <f>IF('Données projet'!$A$36&gt;35,N12+M13-V12,IF(A13&lt;'Données projet'!$A$36,$K$205^A13,IF(A13='Données projet'!$A$36,'Données projet'!$B$36,N12+M13-V12)))</f>
        <v>29.717345240051621</v>
      </c>
      <c r="O13" s="13">
        <f>N13*VLOOKUP('Données projet'!$B$9,Paramètres!$A$1:$I$89,3,0)*VLOOKUP('Données projet'!$B$9,Paramètres!$A$1:$I$89,5,0)</f>
        <v>16.611995989188856</v>
      </c>
      <c r="P13" s="13">
        <f t="shared" si="33"/>
        <v>5.5197166337850669</v>
      </c>
      <c r="Q13" s="20">
        <f t="shared" si="2"/>
        <v>38.546066151679575</v>
      </c>
      <c r="R13" s="59">
        <f t="shared" si="0"/>
        <v>331.87939948501287</v>
      </c>
      <c r="S13" s="59">
        <f ca="1">AVERAGE(OFFSET($R$3,0,0,'Données projet'!$E$9+1,1))-AVERAGE(OFFSET($H$3,0,0,'Données projet'!$E$9+1,1))</f>
        <v>354.30476036506167</v>
      </c>
      <c r="T13" s="59">
        <f t="shared" si="34"/>
        <v>593.51433014569966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8.526315789473685</v>
      </c>
      <c r="AI13" s="13">
        <f>IF('Données projet'!$A$62&gt;35,AI12+AH13-AQ12,IF(A13&lt;'Données projet'!$A$62,$AF$205^A13,IF(A13='Données projet'!$A$62,'Données projet'!$B$62,AI12+AH13-AQ12)))</f>
        <v>14.551328302246779</v>
      </c>
      <c r="AJ13" s="13">
        <f>AI13*VLOOKUP('Données projet'!$B$10,Paramètres!$A$1:$I$89,3,0)*VLOOKUP('Données projet'!$B$10,Paramètres!$A$1:$I$89,5,0)</f>
        <v>8.1341925209559491</v>
      </c>
      <c r="AK13" s="13">
        <f t="shared" si="35"/>
        <v>2.9370132807503975</v>
      </c>
      <c r="AL13" s="20">
        <f t="shared" si="4"/>
        <v>19.282350104638549</v>
      </c>
      <c r="AM13" s="59">
        <f t="shared" si="5"/>
        <v>312.61568343797188</v>
      </c>
      <c r="AN13" s="59">
        <f ca="1">AVERAGE(OFFSET($AM$3,0,0,'Données projet'!$E$10+1,1))-AVERAGE(OFFSET($H$3,0,0,'Données projet'!$E$10+1,1))</f>
        <v>280.11276976762787</v>
      </c>
      <c r="AO13" s="59">
        <f t="shared" si="36"/>
        <v>471.89239871617241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>
        <f>BD13*VLOOKUP('Données projet'!$B$11,Paramètres!$A$1:$I$89,3,0)*VLOOKUP('Données projet'!$B$11,Paramètres!$A$1:$I$89,5,0)</f>
        <v>0</v>
      </c>
      <c r="BF13" s="13" t="e">
        <f t="shared" si="37"/>
        <v>#NUM!</v>
      </c>
      <c r="BG13" s="20" t="e">
        <f t="shared" si="7"/>
        <v>#NUM!</v>
      </c>
      <c r="BH13" s="59" t="e">
        <f t="shared" si="8"/>
        <v>#NUM!</v>
      </c>
      <c r="BI13" s="59">
        <f ca="1">AVERAGE(OFFSET($BH$3,0,0,'Données projet'!$E$11+1,1))-AVERAGE(OFFSET($H$3,0,0,'Données projet'!$E$11+1,1))</f>
        <v>0</v>
      </c>
      <c r="BJ13" s="59">
        <f t="shared" si="38"/>
        <v>0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>
        <f>BY13*VLOOKUP('Données projet'!$B$12,Paramètres!$A$1:$I$89,3,0)*VLOOKUP('Données projet'!$B$12,Paramètres!$A$1:$I$89,5,0)</f>
        <v>0</v>
      </c>
      <c r="CA13" s="13" t="e">
        <f t="shared" si="39"/>
        <v>#NUM!</v>
      </c>
      <c r="CB13" s="20" t="e">
        <f t="shared" si="10"/>
        <v>#NUM!</v>
      </c>
      <c r="CC13" s="59" t="e">
        <f t="shared" si="11"/>
        <v>#NUM!</v>
      </c>
      <c r="CD13" s="59">
        <f ca="1">AVERAGE(OFFSET($CC$3,0,0,'Données projet'!$E$12+1,1))-AVERAGE(OFFSET($H$3,0,0,'Données projet'!$E$12+1,1))</f>
        <v>0</v>
      </c>
      <c r="CE13" s="59">
        <f t="shared" si="40"/>
        <v>0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10.8</v>
      </c>
      <c r="N14" s="13">
        <f>IF('Données projet'!$A$36&gt;35,N13+M14-V13,IF(A14&lt;'Données projet'!$A$36,$K$205^A14,IF(A14='Données projet'!$A$36,'Données projet'!$B$36,N13+M14-V13)))</f>
        <v>41.716802244415881</v>
      </c>
      <c r="O14" s="13">
        <f>N14*VLOOKUP('Données projet'!$B$9,Paramètres!$A$1:$I$89,3,0)*VLOOKUP('Données projet'!$B$9,Paramètres!$A$1:$I$89,5,0)</f>
        <v>23.319692454628481</v>
      </c>
      <c r="P14" s="13">
        <f t="shared" si="33"/>
        <v>7.4485536005574575</v>
      </c>
      <c r="Q14" s="20">
        <f t="shared" si="2"/>
        <v>53.58802854611551</v>
      </c>
      <c r="R14" s="59">
        <f t="shared" si="0"/>
        <v>346.9213618794488</v>
      </c>
      <c r="S14" s="59">
        <f ca="1">AVERAGE(OFFSET($R$3,0,0,'Données projet'!$E$9+1,1))-AVERAGE(OFFSET($H$3,0,0,'Données projet'!$E$9+1,1))</f>
        <v>354.30476036506167</v>
      </c>
      <c r="T14" s="59">
        <f t="shared" si="34"/>
        <v>593.51433014569966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8.526315789473685</v>
      </c>
      <c r="AI14" s="13">
        <f>IF('Données projet'!$A$62&gt;35,AI13+AH14-AQ13,IF(A14&lt;'Données projet'!$A$62,$AF$205^A14,IF(A14='Données projet'!$A$62,'Données projet'!$B$62,AI13+AH14-AQ13)))</f>
        <v>19.01922880701866</v>
      </c>
      <c r="AJ14" s="13">
        <f>AI14*VLOOKUP('Données projet'!$B$10,Paramètres!$A$1:$I$89,3,0)*VLOOKUP('Données projet'!$B$10,Paramètres!$A$1:$I$89,5,0)</f>
        <v>10.631748903123432</v>
      </c>
      <c r="AK14" s="13">
        <f t="shared" si="35"/>
        <v>3.7210027205323613</v>
      </c>
      <c r="AL14" s="20">
        <f t="shared" si="4"/>
        <v>24.997709077867171</v>
      </c>
      <c r="AM14" s="59">
        <f t="shared" si="5"/>
        <v>318.33104241120049</v>
      </c>
      <c r="AN14" s="59">
        <f ca="1">AVERAGE(OFFSET($AM$3,0,0,'Données projet'!$E$10+1,1))-AVERAGE(OFFSET($H$3,0,0,'Données projet'!$E$10+1,1))</f>
        <v>280.11276976762787</v>
      </c>
      <c r="AO14" s="59">
        <f t="shared" si="36"/>
        <v>471.89239871617241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>
        <f>BD14*VLOOKUP('Données projet'!$B$11,Paramètres!$A$1:$I$89,3,0)*VLOOKUP('Données projet'!$B$11,Paramètres!$A$1:$I$89,5,0)</f>
        <v>0</v>
      </c>
      <c r="BF14" s="13" t="e">
        <f t="shared" si="37"/>
        <v>#NUM!</v>
      </c>
      <c r="BG14" s="20" t="e">
        <f t="shared" si="7"/>
        <v>#NUM!</v>
      </c>
      <c r="BH14" s="59" t="e">
        <f t="shared" si="8"/>
        <v>#NUM!</v>
      </c>
      <c r="BI14" s="59">
        <f ca="1">AVERAGE(OFFSET($BH$3,0,0,'Données projet'!$E$11+1,1))-AVERAGE(OFFSET($H$3,0,0,'Données projet'!$E$11+1,1))</f>
        <v>0</v>
      </c>
      <c r="BJ14" s="59">
        <f t="shared" si="38"/>
        <v>0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>
        <f>BY14*VLOOKUP('Données projet'!$B$12,Paramètres!$A$1:$I$89,3,0)*VLOOKUP('Données projet'!$B$12,Paramètres!$A$1:$I$89,5,0)</f>
        <v>0</v>
      </c>
      <c r="CA14" s="13" t="e">
        <f t="shared" si="39"/>
        <v>#NUM!</v>
      </c>
      <c r="CB14" s="20" t="e">
        <f t="shared" si="10"/>
        <v>#NUM!</v>
      </c>
      <c r="CC14" s="59" t="e">
        <f t="shared" si="11"/>
        <v>#NUM!</v>
      </c>
      <c r="CD14" s="59">
        <f ca="1">AVERAGE(OFFSET($CC$3,0,0,'Données projet'!$E$12+1,1))-AVERAGE(OFFSET($H$3,0,0,'Données projet'!$E$12+1,1))</f>
        <v>0</v>
      </c>
      <c r="CE14" s="59">
        <f t="shared" si="40"/>
        <v>0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10.8</v>
      </c>
      <c r="N15" s="13">
        <f>IF('Données projet'!$A$36&gt;35,N14+M15-V14,IF(A15&lt;'Données projet'!$A$36,$K$205^A15,IF(A15='Données projet'!$A$36,'Données projet'!$B$36,N14+M15-V14)))</f>
        <v>58.561475644675681</v>
      </c>
      <c r="O15" s="13">
        <f>N15*VLOOKUP('Données projet'!$B$9,Paramètres!$A$1:$I$89,3,0)*VLOOKUP('Données projet'!$B$9,Paramètres!$A$1:$I$89,5,0)</f>
        <v>32.735864885373708</v>
      </c>
      <c r="P15" s="13">
        <f t="shared" si="33"/>
        <v>10.051412857100269</v>
      </c>
      <c r="Q15" s="20">
        <f t="shared" si="2"/>
        <v>74.521175401475503</v>
      </c>
      <c r="R15" s="59">
        <f t="shared" si="0"/>
        <v>367.8545087348088</v>
      </c>
      <c r="S15" s="59">
        <f ca="1">AVERAGE(OFFSET($R$3,0,0,'Données projet'!$E$9+1,1))-AVERAGE(OFFSET($H$3,0,0,'Données projet'!$E$9+1,1))</f>
        <v>354.30476036506167</v>
      </c>
      <c r="T15" s="59">
        <f t="shared" si="34"/>
        <v>593.51433014569966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8.526315789473685</v>
      </c>
      <c r="AI15" s="13">
        <f>IF('Données projet'!$A$62&gt;35,AI14+AH15-AQ14,IF(A15&lt;'Données projet'!$A$62,$AF$205^A15,IF(A15='Données projet'!$A$62,'Données projet'!$B$62,AI14+AH15-AQ14)))</f>
        <v>24.85897210895007</v>
      </c>
      <c r="AJ15" s="13">
        <f>AI15*VLOOKUP('Données projet'!$B$10,Paramètres!$A$1:$I$89,3,0)*VLOOKUP('Données projet'!$B$10,Paramètres!$A$1:$I$89,5,0)</f>
        <v>13.896165408903089</v>
      </c>
      <c r="AK15" s="13">
        <f t="shared" si="35"/>
        <v>4.7142657940830492</v>
      </c>
      <c r="AL15" s="20">
        <f t="shared" si="4"/>
        <v>32.413167678534187</v>
      </c>
      <c r="AM15" s="59">
        <f t="shared" si="5"/>
        <v>325.74650101186751</v>
      </c>
      <c r="AN15" s="59">
        <f ca="1">AVERAGE(OFFSET($AM$3,0,0,'Données projet'!$E$10+1,1))-AVERAGE(OFFSET($H$3,0,0,'Données projet'!$E$10+1,1))</f>
        <v>280.11276976762787</v>
      </c>
      <c r="AO15" s="59">
        <f t="shared" si="36"/>
        <v>471.89239871617241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>
        <f>BD15*VLOOKUP('Données projet'!$B$11,Paramètres!$A$1:$I$89,3,0)*VLOOKUP('Données projet'!$B$11,Paramètres!$A$1:$I$89,5,0)</f>
        <v>0</v>
      </c>
      <c r="BF15" s="13" t="e">
        <f t="shared" si="37"/>
        <v>#NUM!</v>
      </c>
      <c r="BG15" s="20" t="e">
        <f t="shared" si="7"/>
        <v>#NUM!</v>
      </c>
      <c r="BH15" s="59" t="e">
        <f t="shared" si="8"/>
        <v>#NUM!</v>
      </c>
      <c r="BI15" s="59">
        <f ca="1">AVERAGE(OFFSET($BH$3,0,0,'Données projet'!$E$11+1,1))-AVERAGE(OFFSET($H$3,0,0,'Données projet'!$E$11+1,1))</f>
        <v>0</v>
      </c>
      <c r="BJ15" s="59">
        <f t="shared" si="38"/>
        <v>0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>
        <f>BY15*VLOOKUP('Données projet'!$B$12,Paramètres!$A$1:$I$89,3,0)*VLOOKUP('Données projet'!$B$12,Paramètres!$A$1:$I$89,5,0)</f>
        <v>0</v>
      </c>
      <c r="CA15" s="13" t="e">
        <f t="shared" si="39"/>
        <v>#NUM!</v>
      </c>
      <c r="CB15" s="20" t="e">
        <f t="shared" si="10"/>
        <v>#NUM!</v>
      </c>
      <c r="CC15" s="59" t="e">
        <f t="shared" si="11"/>
        <v>#NUM!</v>
      </c>
      <c r="CD15" s="59">
        <f ca="1">AVERAGE(OFFSET($CC$3,0,0,'Données projet'!$E$12+1,1))-AVERAGE(OFFSET($H$3,0,0,'Données projet'!$E$12+1,1))</f>
        <v>0</v>
      </c>
      <c r="CE15" s="59">
        <f t="shared" si="40"/>
        <v>0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10.8</v>
      </c>
      <c r="N16" s="13">
        <f>IF('Données projet'!$A$36&gt;35,N15+M16-V15,IF(A16&lt;'Données projet'!$A$36,$K$205^A16,IF(A16='Données projet'!$A$36,'Données projet'!$B$36,N15+M16-V15)))</f>
        <v>82.20779746225638</v>
      </c>
      <c r="O16" s="13">
        <f>N16*VLOOKUP('Données projet'!$B$9,Paramètres!$A$1:$I$89,3,0)*VLOOKUP('Données projet'!$B$9,Paramètres!$A$1:$I$89,5,0)</f>
        <v>45.954158781401318</v>
      </c>
      <c r="P16" s="13">
        <f t="shared" si="33"/>
        <v>13.563828072113143</v>
      </c>
      <c r="Q16" s="20">
        <f t="shared" si="2"/>
        <v>103.66049376987102</v>
      </c>
      <c r="R16" s="59">
        <f t="shared" si="0"/>
        <v>396.99382710320435</v>
      </c>
      <c r="S16" s="59">
        <f ca="1">AVERAGE(OFFSET($R$3,0,0,'Données projet'!$E$9+1,1))-AVERAGE(OFFSET($H$3,0,0,'Données projet'!$E$9+1,1))</f>
        <v>354.30476036506167</v>
      </c>
      <c r="T16" s="59">
        <f t="shared" si="34"/>
        <v>593.51433014569966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8.526315789473685</v>
      </c>
      <c r="AI16" s="13">
        <f>IF('Données projet'!$A$62&gt;35,AI15+AH16-AQ15,IF(A16&lt;'Données projet'!$A$62,$AF$205^A16,IF(A16='Données projet'!$A$62,'Données projet'!$B$62,AI15+AH16-AQ15)))</f>
        <v>32.491774539539094</v>
      </c>
      <c r="AJ16" s="13">
        <f>AI16*VLOOKUP('Données projet'!$B$10,Paramètres!$A$1:$I$89,3,0)*VLOOKUP('Données projet'!$B$10,Paramètres!$A$1:$I$89,5,0)</f>
        <v>18.162901967602355</v>
      </c>
      <c r="AK16" s="13">
        <f t="shared" si="35"/>
        <v>5.9726648020514927</v>
      </c>
      <c r="AL16" s="20">
        <f t="shared" si="4"/>
        <v>42.036112123813787</v>
      </c>
      <c r="AM16" s="59">
        <f t="shared" si="5"/>
        <v>335.36944545714709</v>
      </c>
      <c r="AN16" s="59">
        <f ca="1">AVERAGE(OFFSET($AM$3,0,0,'Données projet'!$E$10+1,1))-AVERAGE(OFFSET($H$3,0,0,'Données projet'!$E$10+1,1))</f>
        <v>280.11276976762787</v>
      </c>
      <c r="AO16" s="59">
        <f t="shared" si="36"/>
        <v>471.89239871617241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>
        <f>BD16*VLOOKUP('Données projet'!$B$11,Paramètres!$A$1:$I$89,3,0)*VLOOKUP('Données projet'!$B$11,Paramètres!$A$1:$I$89,5,0)</f>
        <v>0</v>
      </c>
      <c r="BF16" s="13" t="e">
        <f t="shared" si="37"/>
        <v>#NUM!</v>
      </c>
      <c r="BG16" s="20" t="e">
        <f t="shared" si="7"/>
        <v>#NUM!</v>
      </c>
      <c r="BH16" s="59" t="e">
        <f t="shared" si="8"/>
        <v>#NUM!</v>
      </c>
      <c r="BI16" s="59">
        <f ca="1">AVERAGE(OFFSET($BH$3,0,0,'Données projet'!$E$11+1,1))-AVERAGE(OFFSET($H$3,0,0,'Données projet'!$E$11+1,1))</f>
        <v>0</v>
      </c>
      <c r="BJ16" s="59">
        <f t="shared" si="38"/>
        <v>0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>
        <f>BY16*VLOOKUP('Données projet'!$B$12,Paramètres!$A$1:$I$89,3,0)*VLOOKUP('Données projet'!$B$12,Paramètres!$A$1:$I$89,5,0)</f>
        <v>0</v>
      </c>
      <c r="CA16" s="13" t="e">
        <f t="shared" si="39"/>
        <v>#NUM!</v>
      </c>
      <c r="CB16" s="20" t="e">
        <f t="shared" si="10"/>
        <v>#NUM!</v>
      </c>
      <c r="CC16" s="59" t="e">
        <f t="shared" si="11"/>
        <v>#NUM!</v>
      </c>
      <c r="CD16" s="59">
        <f ca="1">AVERAGE(OFFSET($CC$3,0,0,'Données projet'!$E$12+1,1))-AVERAGE(OFFSET($H$3,0,0,'Données projet'!$E$12+1,1))</f>
        <v>0</v>
      </c>
      <c r="CE16" s="59">
        <f t="shared" si="40"/>
        <v>0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10.8</v>
      </c>
      <c r="N17" s="13">
        <f>IF('Données projet'!$A$36&gt;35,N16+M17-V16,IF(A17&lt;'Données projet'!$A$36,$K$205^A17,IF(A17='Données projet'!$A$36,'Données projet'!$B$36,N16+M17-V16)))</f>
        <v>115.40218017388374</v>
      </c>
      <c r="O17" s="13">
        <f>N17*VLOOKUP('Données projet'!$B$9,Paramètres!$A$1:$I$89,3,0)*VLOOKUP('Données projet'!$B$9,Paramètres!$A$1:$I$89,5,0)</f>
        <v>64.509818717201014</v>
      </c>
      <c r="P17" s="13">
        <f t="shared" si="33"/>
        <v>18.303638959560171</v>
      </c>
      <c r="Q17" s="20">
        <f t="shared" si="2"/>
        <v>144.23343878702573</v>
      </c>
      <c r="R17" s="59">
        <f t="shared" si="0"/>
        <v>437.56677212035902</v>
      </c>
      <c r="S17" s="59">
        <f ca="1">AVERAGE(OFFSET($R$3,0,0,'Données projet'!$E$9+1,1))-AVERAGE(OFFSET($H$3,0,0,'Données projet'!$E$9+1,1))</f>
        <v>354.30476036506167</v>
      </c>
      <c r="T17" s="59">
        <f t="shared" si="34"/>
        <v>593.51433014569966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8.526315789473685</v>
      </c>
      <c r="AI17" s="13">
        <f>IF('Données projet'!$A$62&gt;35,AI16+AH17-AQ16,IF(A17&lt;'Données projet'!$A$62,$AF$205^A17,IF(A17='Données projet'!$A$62,'Données projet'!$B$62,AI16+AH17-AQ16)))</f>
        <v>42.468184448710481</v>
      </c>
      <c r="AJ17" s="13">
        <f>AI17*VLOOKUP('Données projet'!$B$10,Paramètres!$A$1:$I$89,3,0)*VLOOKUP('Données projet'!$B$10,Paramètres!$A$1:$I$89,5,0)</f>
        <v>23.739715106829159</v>
      </c>
      <c r="AK17" s="13">
        <f t="shared" si="35"/>
        <v>7.5669736064602473</v>
      </c>
      <c r="AL17" s="20">
        <f t="shared" si="4"/>
        <v>54.525816175645708</v>
      </c>
      <c r="AM17" s="59">
        <f t="shared" si="5"/>
        <v>347.85914950897904</v>
      </c>
      <c r="AN17" s="59">
        <f ca="1">AVERAGE(OFFSET($AM$3,0,0,'Données projet'!$E$10+1,1))-AVERAGE(OFFSET($H$3,0,0,'Données projet'!$E$10+1,1))</f>
        <v>280.11276976762787</v>
      </c>
      <c r="AO17" s="59">
        <f t="shared" si="36"/>
        <v>471.89239871617241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>
        <f>BD17*VLOOKUP('Données projet'!$B$11,Paramètres!$A$1:$I$89,3,0)*VLOOKUP('Données projet'!$B$11,Paramètres!$A$1:$I$89,5,0)</f>
        <v>0</v>
      </c>
      <c r="BF17" s="13" t="e">
        <f t="shared" si="37"/>
        <v>#NUM!</v>
      </c>
      <c r="BG17" s="20" t="e">
        <f t="shared" si="7"/>
        <v>#NUM!</v>
      </c>
      <c r="BH17" s="59" t="e">
        <f t="shared" si="8"/>
        <v>#NUM!</v>
      </c>
      <c r="BI17" s="59">
        <f ca="1">AVERAGE(OFFSET($BH$3,0,0,'Données projet'!$E$11+1,1))-AVERAGE(OFFSET($H$3,0,0,'Données projet'!$E$11+1,1))</f>
        <v>0</v>
      </c>
      <c r="BJ17" s="59">
        <f t="shared" si="38"/>
        <v>0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>
        <f>BY17*VLOOKUP('Données projet'!$B$12,Paramètres!$A$1:$I$89,3,0)*VLOOKUP('Données projet'!$B$12,Paramètres!$A$1:$I$89,5,0)</f>
        <v>0</v>
      </c>
      <c r="CA17" s="13" t="e">
        <f t="shared" si="39"/>
        <v>#NUM!</v>
      </c>
      <c r="CB17" s="20" t="e">
        <f t="shared" si="10"/>
        <v>#NUM!</v>
      </c>
      <c r="CC17" s="59" t="e">
        <f t="shared" si="11"/>
        <v>#NUM!</v>
      </c>
      <c r="CD17" s="59">
        <f ca="1">AVERAGE(OFFSET($CC$3,0,0,'Données projet'!$E$12+1,1))-AVERAGE(OFFSET($H$3,0,0,'Données projet'!$E$12+1,1))</f>
        <v>0</v>
      </c>
      <c r="CE17" s="59">
        <f t="shared" si="40"/>
        <v>0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162</v>
      </c>
      <c r="L18" s="12">
        <f>VLOOKUP(A18,'Données projet'!$A$35:$I$55,9,0)</f>
        <v>10.8</v>
      </c>
      <c r="M18" s="12">
        <f t="array" ref="M18">INDEX(L:L,MIN(IF(ISNUMBER(L18:L214),ROW(L18:L214),"")))</f>
        <v>10.8</v>
      </c>
      <c r="N18" s="13">
        <f>IF('Données projet'!$A$36&gt;35,N17+M18-V17,IF(A18&lt;'Données projet'!$A$36,$K$205^A18,IF(A18='Données projet'!$A$36,'Données projet'!$B$36,N17+M18-V17)))</f>
        <v>162</v>
      </c>
      <c r="O18" s="13">
        <f>N18*VLOOKUP('Données projet'!$B$9,Paramètres!$A$1:$I$89,3,0)*VLOOKUP('Données projet'!$B$9,Paramètres!$A$1:$I$89,5,0)</f>
        <v>90.557999999999993</v>
      </c>
      <c r="P18" s="13">
        <f t="shared" si="33"/>
        <v>24.699752708509138</v>
      </c>
      <c r="Q18" s="20">
        <f t="shared" si="2"/>
        <v>200.74058596732007</v>
      </c>
      <c r="R18" s="59">
        <f t="shared" si="0"/>
        <v>494.07391930065342</v>
      </c>
      <c r="S18" s="59">
        <f ca="1">AVERAGE(OFFSET($R$3,0,0,'Données projet'!$E$9+1,1))-AVERAGE(OFFSET($H$3,0,0,'Données projet'!$E$9+1,1))</f>
        <v>354.30476036506167</v>
      </c>
      <c r="T18" s="59">
        <f t="shared" si="34"/>
        <v>593.51433014569966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8.526315789473685</v>
      </c>
      <c r="AI18" s="13">
        <f>IF('Données projet'!$A$62&gt;35,AI17+AH18-AQ17,IF(A18&lt;'Données projet'!$A$62,$AF$205^A18,IF(A18='Données projet'!$A$62,'Données projet'!$B$62,AI17+AH18-AQ17)))</f>
        <v>55.507792846923991</v>
      </c>
      <c r="AJ18" s="13">
        <f>AI18*VLOOKUP('Données projet'!$B$10,Paramètres!$A$1:$I$89,3,0)*VLOOKUP('Données projet'!$B$10,Paramètres!$A$1:$I$89,5,0)</f>
        <v>31.028856201430514</v>
      </c>
      <c r="AK18" s="13">
        <f t="shared" si="35"/>
        <v>9.5868580371693835</v>
      </c>
      <c r="AL18" s="20">
        <f t="shared" si="4"/>
        <v>70.739035632228152</v>
      </c>
      <c r="AM18" s="59">
        <f t="shared" si="5"/>
        <v>364.07236896556145</v>
      </c>
      <c r="AN18" s="59">
        <f ca="1">AVERAGE(OFFSET($AM$3,0,0,'Données projet'!$E$10+1,1))-AVERAGE(OFFSET($H$3,0,0,'Données projet'!$E$10+1,1))</f>
        <v>280.11276976762787</v>
      </c>
      <c r="AO18" s="59">
        <f t="shared" si="36"/>
        <v>471.89239871617241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>
        <f>BD18*VLOOKUP('Données projet'!$B$11,Paramètres!$A$1:$I$89,3,0)*VLOOKUP('Données projet'!$B$11,Paramètres!$A$1:$I$89,5,0)</f>
        <v>0</v>
      </c>
      <c r="BF18" s="13" t="e">
        <f t="shared" si="37"/>
        <v>#NUM!</v>
      </c>
      <c r="BG18" s="20" t="e">
        <f t="shared" si="7"/>
        <v>#NUM!</v>
      </c>
      <c r="BH18" s="59" t="e">
        <f t="shared" si="8"/>
        <v>#NUM!</v>
      </c>
      <c r="BI18" s="59">
        <f ca="1">AVERAGE(OFFSET($BH$3,0,0,'Données projet'!$E$11+1,1))-AVERAGE(OFFSET($H$3,0,0,'Données projet'!$E$11+1,1))</f>
        <v>0</v>
      </c>
      <c r="BJ18" s="59">
        <f t="shared" si="38"/>
        <v>0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>
        <f>BY18*VLOOKUP('Données projet'!$B$12,Paramètres!$A$1:$I$89,3,0)*VLOOKUP('Données projet'!$B$12,Paramètres!$A$1:$I$89,5,0)</f>
        <v>0</v>
      </c>
      <c r="CA18" s="13" t="e">
        <f t="shared" si="39"/>
        <v>#NUM!</v>
      </c>
      <c r="CB18" s="20" t="e">
        <f t="shared" si="10"/>
        <v>#NUM!</v>
      </c>
      <c r="CC18" s="59" t="e">
        <f t="shared" si="11"/>
        <v>#NUM!</v>
      </c>
      <c r="CD18" s="59">
        <f ca="1">AVERAGE(OFFSET($CC$3,0,0,'Données projet'!$E$12+1,1))-AVERAGE(OFFSET($H$3,0,0,'Données projet'!$E$12+1,1))</f>
        <v>0</v>
      </c>
      <c r="CE18" s="59">
        <f t="shared" si="40"/>
        <v>0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28.2</v>
      </c>
      <c r="N19" s="13">
        <f>IF('Données projet'!$A$36&gt;35,N18+M19-V18,IF(A19&lt;'Données projet'!$A$36,$K$205^A19,IF(A19='Données projet'!$A$36,'Données projet'!$B$36,N18+M19-V18)))</f>
        <v>190.2</v>
      </c>
      <c r="O19" s="13">
        <f>N19*VLOOKUP('Données projet'!$B$9,Paramètres!$A$1:$I$89,3,0)*VLOOKUP('Données projet'!$B$9,Paramètres!$A$1:$I$89,5,0)</f>
        <v>106.32179999999998</v>
      </c>
      <c r="P19" s="13">
        <f t="shared" si="33"/>
        <v>28.462664081653866</v>
      </c>
      <c r="Q19" s="20">
        <f t="shared" si="2"/>
        <v>234.7496082755471</v>
      </c>
      <c r="R19" s="59">
        <f t="shared" si="0"/>
        <v>528.08294160888045</v>
      </c>
      <c r="S19" s="59">
        <f ca="1">AVERAGE(OFFSET($R$3,0,0,'Données projet'!$E$9+1,1))-AVERAGE(OFFSET($H$3,0,0,'Données projet'!$E$9+1,1))</f>
        <v>354.30476036506167</v>
      </c>
      <c r="T19" s="59">
        <f t="shared" si="34"/>
        <v>593.51433014569966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8.526315789473685</v>
      </c>
      <c r="AI19" s="13">
        <f>IF('Données projet'!$A$62&gt;35,AI18+AH19-AQ18,IF(A19&lt;'Données projet'!$A$62,$AF$205^A19,IF(A19='Données projet'!$A$62,'Données projet'!$B$62,AI18+AH19-AQ18)))</f>
        <v>72.551136968384853</v>
      </c>
      <c r="AJ19" s="13">
        <f>AI19*VLOOKUP('Données projet'!$B$10,Paramètres!$A$1:$I$89,3,0)*VLOOKUP('Données projet'!$B$10,Paramètres!$A$1:$I$89,5,0)</f>
        <v>40.55608556532713</v>
      </c>
      <c r="AK19" s="13">
        <f t="shared" si="35"/>
        <v>12.145918805157919</v>
      </c>
      <c r="AL19" s="20">
        <f t="shared" si="4"/>
        <v>91.78932427859479</v>
      </c>
      <c r="AM19" s="59">
        <f t="shared" si="5"/>
        <v>385.1226576119281</v>
      </c>
      <c r="AN19" s="59">
        <f ca="1">AVERAGE(OFFSET($AM$3,0,0,'Données projet'!$E$10+1,1))-AVERAGE(OFFSET($H$3,0,0,'Données projet'!$E$10+1,1))</f>
        <v>280.11276976762787</v>
      </c>
      <c r="AO19" s="59">
        <f t="shared" si="36"/>
        <v>471.89239871617241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0</v>
      </c>
      <c r="BJ19" s="59">
        <f t="shared" si="38"/>
        <v>0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0</v>
      </c>
      <c r="CE19" s="59">
        <f t="shared" si="40"/>
        <v>0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28.2</v>
      </c>
      <c r="N20" s="13">
        <f>IF('Données projet'!$A$36&gt;35,N19+M20-V19,IF(A20&lt;'Données projet'!$A$36,$K$205^A20,IF(A20='Données projet'!$A$36,'Données projet'!$B$36,N19+M20-V19)))</f>
        <v>218.39999999999998</v>
      </c>
      <c r="O20" s="13">
        <f>N20*VLOOKUP('Données projet'!$B$9,Paramètres!$A$1:$I$89,3,0)*VLOOKUP('Données projet'!$B$9,Paramètres!$A$1:$I$89,5,0)</f>
        <v>122.0856</v>
      </c>
      <c r="P20" s="13">
        <f t="shared" si="33"/>
        <v>32.160942364346717</v>
      </c>
      <c r="Q20" s="20">
        <f t="shared" si="2"/>
        <v>268.64606128457052</v>
      </c>
      <c r="R20" s="59">
        <f t="shared" si="0"/>
        <v>561.97939461790384</v>
      </c>
      <c r="S20" s="59">
        <f ca="1">AVERAGE(OFFSET($R$3,0,0,'Données projet'!$E$9+1,1))-AVERAGE(OFFSET($H$3,0,0,'Données projet'!$E$9+1,1))</f>
        <v>354.30476036506167</v>
      </c>
      <c r="T20" s="59">
        <f t="shared" si="34"/>
        <v>593.51433014569966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8.526315789473685</v>
      </c>
      <c r="AI20" s="13">
        <f>IF('Données projet'!$A$62&gt;35,AI19+AH20-AQ19,IF(A20&lt;'Données projet'!$A$62,$AF$205^A20,IF(A20='Données projet'!$A$62,'Données projet'!$B$62,AI19+AH20-AQ19)))</f>
        <v>94.827540520682575</v>
      </c>
      <c r="AJ20" s="13">
        <f>AI20*VLOOKUP('Données projet'!$B$10,Paramètres!$A$1:$I$89,3,0)*VLOOKUP('Données projet'!$B$10,Paramètres!$A$1:$I$89,5,0)</f>
        <v>53.008595151061563</v>
      </c>
      <c r="AK20" s="13">
        <f t="shared" si="35"/>
        <v>15.388080542084102</v>
      </c>
      <c r="AL20" s="20">
        <f t="shared" si="4"/>
        <v>119.12421016556203</v>
      </c>
      <c r="AM20" s="59">
        <f t="shared" si="5"/>
        <v>412.45754349889535</v>
      </c>
      <c r="AN20" s="59">
        <f ca="1">AVERAGE(OFFSET($AM$3,0,0,'Données projet'!$E$10+1,1))-AVERAGE(OFFSET($H$3,0,0,'Données projet'!$E$10+1,1))</f>
        <v>280.11276976762787</v>
      </c>
      <c r="AO20" s="59">
        <f t="shared" si="36"/>
        <v>471.89239871617241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0</v>
      </c>
      <c r="BJ20" s="59">
        <f t="shared" si="38"/>
        <v>0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0</v>
      </c>
      <c r="CE20" s="59">
        <f t="shared" si="40"/>
        <v>0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28.2</v>
      </c>
      <c r="N21" s="13">
        <f>IF('Données projet'!$A$36&gt;35,N20+M21-V20,IF(A21&lt;'Données projet'!$A$36,$K$205^A21,IF(A21='Données projet'!$A$36,'Données projet'!$B$36,N20+M21-V20)))</f>
        <v>246.59999999999997</v>
      </c>
      <c r="O21" s="13">
        <f>N21*VLOOKUP('Données projet'!$B$9,Paramètres!$A$1:$I$89,3,0)*VLOOKUP('Données projet'!$B$9,Paramètres!$A$1:$I$89,5,0)</f>
        <v>137.84939999999997</v>
      </c>
      <c r="P21" s="13">
        <f t="shared" si="33"/>
        <v>35.803890229822542</v>
      </c>
      <c r="Q21" s="20">
        <f t="shared" si="2"/>
        <v>302.44614715027416</v>
      </c>
      <c r="R21" s="59">
        <f t="shared" si="0"/>
        <v>595.77948048360747</v>
      </c>
      <c r="S21" s="59">
        <f ca="1">AVERAGE(OFFSET($R$3,0,0,'Données projet'!$E$9+1,1))-AVERAGE(OFFSET($H$3,0,0,'Données projet'!$E$9+1,1))</f>
        <v>354.30476036506167</v>
      </c>
      <c r="T21" s="59">
        <f t="shared" si="34"/>
        <v>593.51433014569966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8.526315789473685</v>
      </c>
      <c r="AI21" s="13">
        <f>IF('Données projet'!$A$62&gt;35,AI20+AH21-AQ20,IF(A21&lt;'Données projet'!$A$62,$AF$205^A21,IF(A21='Données projet'!$A$62,'Données projet'!$B$62,AI20+AH21-AQ20)))</f>
        <v>123.94378388749713</v>
      </c>
      <c r="AJ21" s="13">
        <f>AI21*VLOOKUP('Données projet'!$B$10,Paramètres!$A$1:$I$89,3,0)*VLOOKUP('Données projet'!$B$10,Paramètres!$A$1:$I$89,5,0)</f>
        <v>69.284575193110896</v>
      </c>
      <c r="AK21" s="13">
        <f t="shared" si="35"/>
        <v>19.495686293334202</v>
      </c>
      <c r="AL21" s="20">
        <f t="shared" si="4"/>
        <v>154.62562208889187</v>
      </c>
      <c r="AM21" s="59">
        <f t="shared" si="5"/>
        <v>447.95895542222519</v>
      </c>
      <c r="AN21" s="59">
        <f ca="1">AVERAGE(OFFSET($AM$3,0,0,'Données projet'!$E$10+1,1))-AVERAGE(OFFSET($H$3,0,0,'Données projet'!$E$10+1,1))</f>
        <v>280.11276976762787</v>
      </c>
      <c r="AO21" s="59">
        <f t="shared" si="36"/>
        <v>471.89239871617241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0</v>
      </c>
      <c r="BJ21" s="59">
        <f t="shared" si="38"/>
        <v>0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0</v>
      </c>
      <c r="CE21" s="59">
        <f t="shared" si="40"/>
        <v>0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28.2</v>
      </c>
      <c r="N22" s="13">
        <f>IF('Données projet'!$A$36&gt;35,N21+M22-V21,IF(A22&lt;'Données projet'!$A$36,$K$205^A22,IF(A22='Données projet'!$A$36,'Données projet'!$B$36,N21+M22-V21)))</f>
        <v>274.79999999999995</v>
      </c>
      <c r="O22" s="13">
        <f>N22*VLOOKUP('Données projet'!$B$9,Paramètres!$A$1:$I$89,3,0)*VLOOKUP('Données projet'!$B$9,Paramètres!$A$1:$I$89,5,0)</f>
        <v>153.61319999999998</v>
      </c>
      <c r="P22" s="13">
        <f t="shared" si="33"/>
        <v>39.398557339898318</v>
      </c>
      <c r="Q22" s="20">
        <f t="shared" si="2"/>
        <v>336.16214403365615</v>
      </c>
      <c r="R22" s="59">
        <f t="shared" si="0"/>
        <v>629.49547736698946</v>
      </c>
      <c r="S22" s="59">
        <f ca="1">AVERAGE(OFFSET($R$3,0,0,'Données projet'!$E$9+1,1))-AVERAGE(OFFSET($H$3,0,0,'Données projet'!$E$9+1,1))</f>
        <v>354.30476036506167</v>
      </c>
      <c r="T22" s="59">
        <f t="shared" si="34"/>
        <v>593.51433014569966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162</v>
      </c>
      <c r="AG22" s="12">
        <f>VLOOKUP(A22,'Données projet'!$A$61:$I$81,9,0)</f>
        <v>8.526315789473685</v>
      </c>
      <c r="AH22" s="12">
        <f t="array" ref="AH22">INDEX(AG:AG,MIN(IF(ISNUMBER(AG22:AG218),ROW(AG22:AG218),"")))</f>
        <v>8.526315789473685</v>
      </c>
      <c r="AI22" s="13">
        <f>IF('Données projet'!$A$62&gt;35,AI21+AH22-AQ21,IF(A22&lt;'Données projet'!$A$62,$AF$205^A22,IF(A22='Données projet'!$A$62,'Données projet'!$B$62,AI21+AH22-AQ21)))</f>
        <v>162</v>
      </c>
      <c r="AJ22" s="13">
        <f>AI22*VLOOKUP('Données projet'!$B$10,Paramètres!$A$1:$I$89,3,0)*VLOOKUP('Données projet'!$B$10,Paramètres!$A$1:$I$89,5,0)</f>
        <v>90.557999999999993</v>
      </c>
      <c r="AK22" s="13">
        <f t="shared" si="35"/>
        <v>24.699752708509138</v>
      </c>
      <c r="AL22" s="20">
        <f t="shared" si="4"/>
        <v>200.74058596732007</v>
      </c>
      <c r="AM22" s="59">
        <f t="shared" si="5"/>
        <v>494.07391930065342</v>
      </c>
      <c r="AN22" s="59">
        <f ca="1">AVERAGE(OFFSET($AM$3,0,0,'Données projet'!$E$10+1,1))-AVERAGE(OFFSET($H$3,0,0,'Données projet'!$E$10+1,1))</f>
        <v>280.11276976762787</v>
      </c>
      <c r="AO22" s="59">
        <f t="shared" si="36"/>
        <v>471.89239871617241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0</v>
      </c>
      <c r="BJ22" s="59">
        <f t="shared" si="38"/>
        <v>0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0</v>
      </c>
      <c r="CE22" s="59">
        <f t="shared" si="40"/>
        <v>0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303</v>
      </c>
      <c r="L23" s="12">
        <f>VLOOKUP(A23,'Données projet'!$A$35:$I$55,9,0)</f>
        <v>28.2</v>
      </c>
      <c r="M23" s="12">
        <f t="array" ref="M23">INDEX(L:L,MIN(IF(ISNUMBER(L23:L219),ROW(L23:L219),"")))</f>
        <v>28.2</v>
      </c>
      <c r="N23" s="13">
        <f>IF('Données projet'!$A$36&gt;35,N22+M23-V22,IF(A23&lt;'Données projet'!$A$36,$K$205^A23,IF(A23='Données projet'!$A$36,'Données projet'!$B$36,N22+M23-V22)))</f>
        <v>302.99999999999994</v>
      </c>
      <c r="O23" s="13">
        <f>N23*VLOOKUP('Données projet'!$B$9,Paramètres!$A$1:$I$89,3,0)*VLOOKUP('Données projet'!$B$9,Paramètres!$A$1:$I$89,5,0)</f>
        <v>169.37699999999995</v>
      </c>
      <c r="P23" s="13">
        <f t="shared" si="33"/>
        <v>42.950462509094685</v>
      </c>
      <c r="Q23" s="20">
        <f t="shared" si="2"/>
        <v>369.80366387000646</v>
      </c>
      <c r="R23" s="59">
        <f t="shared" si="0"/>
        <v>663.13699720333977</v>
      </c>
      <c r="S23" s="59">
        <f ca="1">AVERAGE(OFFSET($R$3,0,0,'Données projet'!$E$9+1,1))-AVERAGE(OFFSET($H$3,0,0,'Données projet'!$E$9+1,1))</f>
        <v>354.30476036506167</v>
      </c>
      <c r="T23" s="59">
        <f t="shared" si="34"/>
        <v>593.51433014569966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8.7342970011160883</v>
      </c>
      <c r="AB23" s="21">
        <f>EXP(-LN(2)/2)*AB22+(1-EXP(-LN(2)/2))/(LN(2)/2)*V23*Y23*VLOOKUP('Données projet'!$B$9,Paramètres!$A$1:$I$89,3,0)*0.475*44/12</f>
        <v>13.607733867821828</v>
      </c>
      <c r="AC23" s="22">
        <f t="shared" si="3"/>
        <v>22.342030868937918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28.833333333333332</v>
      </c>
      <c r="AI23" s="13">
        <f>IF('Données projet'!$A$62&gt;35,AI22+AH23-AQ22,IF(A23&lt;'Données projet'!$A$62,$AF$205^A23,IF(A23='Données projet'!$A$62,'Données projet'!$B$62,AI22+AH23-AQ22)))</f>
        <v>190.83333333333334</v>
      </c>
      <c r="AJ23" s="13">
        <f>AI23*VLOOKUP('Données projet'!$B$10,Paramètres!$A$1:$I$89,3,0)*VLOOKUP('Données projet'!$B$10,Paramètres!$A$1:$I$89,5,0)</f>
        <v>106.67583333333334</v>
      </c>
      <c r="AK23" s="13">
        <f t="shared" si="35"/>
        <v>28.546391754319739</v>
      </c>
      <c r="AL23" s="20">
        <f t="shared" si="4"/>
        <v>235.51204202766243</v>
      </c>
      <c r="AM23" s="59">
        <f t="shared" si="5"/>
        <v>528.84537536099572</v>
      </c>
      <c r="AN23" s="59">
        <f ca="1">AVERAGE(OFFSET($AM$3,0,0,'Données projet'!$E$10+1,1))-AVERAGE(OFFSET($H$3,0,0,'Données projet'!$E$10+1,1))</f>
        <v>280.11276976762787</v>
      </c>
      <c r="AO23" s="59">
        <f t="shared" si="36"/>
        <v>471.89239871617241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0</v>
      </c>
      <c r="BJ23" s="59">
        <f t="shared" si="38"/>
        <v>0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0</v>
      </c>
      <c r="CE23" s="59">
        <f t="shared" si="40"/>
        <v>0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31.8</v>
      </c>
      <c r="N24" s="13">
        <f>IF('Données projet'!$A$36&gt;35,N23+M24-V23,IF(A24&lt;'Données projet'!$A$36,$K$205^A24,IF(A24='Données projet'!$A$36,'Données projet'!$B$36,N23+M24-V23)))</f>
        <v>291.79999999999995</v>
      </c>
      <c r="O24" s="13">
        <f>N24*VLOOKUP('Données projet'!$B$9,Paramètres!$A$1:$I$89,3,0)*VLOOKUP('Données projet'!$B$9,Paramètres!$A$1:$I$89,5,0)</f>
        <v>163.11619999999996</v>
      </c>
      <c r="P24" s="13">
        <f t="shared" si="33"/>
        <v>41.544592017733109</v>
      </c>
      <c r="Q24" s="20">
        <f t="shared" si="2"/>
        <v>356.4508794308851</v>
      </c>
      <c r="R24" s="59">
        <f t="shared" si="0"/>
        <v>649.78421276421841</v>
      </c>
      <c r="S24" s="59">
        <f ca="1">AVERAGE(OFFSET($R$3,0,0,'Données projet'!$E$9+1,1))-AVERAGE(OFFSET($H$3,0,0,'Données projet'!$E$9+1,1))</f>
        <v>354.30476036506167</v>
      </c>
      <c r="T24" s="59">
        <f t="shared" si="34"/>
        <v>593.51433014569966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8.4954571903038527</v>
      </c>
      <c r="AB24" s="21">
        <f>EXP(-LN(2)/2)*AB23+(1-EXP(-LN(2)/2))/(LN(2)/2)*V24*Y24*VLOOKUP('Données projet'!$B$9,Paramètres!$A$1:$I$89,3,0)*0.475*44/12</f>
        <v>9.6221208945186625</v>
      </c>
      <c r="AC24" s="22">
        <f t="shared" si="3"/>
        <v>18.117578084822515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28.833333333333332</v>
      </c>
      <c r="AI24" s="13">
        <f>IF('Données projet'!$A$62&gt;35,AI23+AH24-AQ23,IF(A24&lt;'Données projet'!$A$62,$AF$205^A24,IF(A24='Données projet'!$A$62,'Données projet'!$B$62,AI23+AH24-AQ23)))</f>
        <v>219.66666666666669</v>
      </c>
      <c r="AJ24" s="13">
        <f>AI24*VLOOKUP('Données projet'!$B$10,Paramètres!$A$1:$I$89,3,0)*VLOOKUP('Données projet'!$B$10,Paramètres!$A$1:$I$89,5,0)</f>
        <v>122.79366666666668</v>
      </c>
      <c r="AK24" s="13">
        <f t="shared" si="35"/>
        <v>32.32570088253398</v>
      </c>
      <c r="AL24" s="20">
        <f t="shared" si="4"/>
        <v>270.16623181485778</v>
      </c>
      <c r="AM24" s="59">
        <f t="shared" si="5"/>
        <v>563.4995651481911</v>
      </c>
      <c r="AN24" s="59">
        <f ca="1">AVERAGE(OFFSET($AM$3,0,0,'Données projet'!$E$10+1,1))-AVERAGE(OFFSET($H$3,0,0,'Données projet'!$E$10+1,1))</f>
        <v>280.11276976762787</v>
      </c>
      <c r="AO24" s="59">
        <f t="shared" si="36"/>
        <v>471.89239871617241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0</v>
      </c>
      <c r="BJ24" s="59">
        <f t="shared" si="38"/>
        <v>0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0</v>
      </c>
      <c r="CE24" s="59">
        <f t="shared" si="40"/>
        <v>0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31.8</v>
      </c>
      <c r="N25" s="13">
        <f>IF('Données projet'!$A$36&gt;35,N24+M25-V24,IF(A25&lt;'Données projet'!$A$36,$K$205^A25,IF(A25='Données projet'!$A$36,'Données projet'!$B$36,N24+M25-V24)))</f>
        <v>323.59999999999997</v>
      </c>
      <c r="O25" s="13">
        <f>N25*VLOOKUP('Données projet'!$B$9,Paramètres!$A$1:$I$89,3,0)*VLOOKUP('Données projet'!$B$9,Paramètres!$A$1:$I$89,5,0)</f>
        <v>180.89240000000001</v>
      </c>
      <c r="P25" s="13">
        <f t="shared" si="33"/>
        <v>45.520671542487669</v>
      </c>
      <c r="Q25" s="20">
        <f t="shared" si="2"/>
        <v>394.33609960316602</v>
      </c>
      <c r="R25" s="59">
        <f t="shared" si="0"/>
        <v>687.66943293649933</v>
      </c>
      <c r="S25" s="59">
        <f ca="1">AVERAGE(OFFSET($R$3,0,0,'Données projet'!$E$9+1,1))-AVERAGE(OFFSET($H$3,0,0,'Données projet'!$E$9+1,1))</f>
        <v>354.30476036506167</v>
      </c>
      <c r="T25" s="59">
        <f t="shared" si="34"/>
        <v>593.51433014569966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8.2631484666783166</v>
      </c>
      <c r="AB25" s="21">
        <f>EXP(-LN(2)/2)*AB24+(1-EXP(-LN(2)/2))/(LN(2)/2)*V25*Y25*VLOOKUP('Données projet'!$B$9,Paramètres!$A$1:$I$89,3,0)*0.475*44/12</f>
        <v>6.803866933910915</v>
      </c>
      <c r="AC25" s="22">
        <f t="shared" si="3"/>
        <v>15.067015400589231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28.833333333333332</v>
      </c>
      <c r="AI25" s="13">
        <f>IF('Données projet'!$A$62&gt;35,AI24+AH25-AQ24,IF(A25&lt;'Données projet'!$A$62,$AF$205^A25,IF(A25='Données projet'!$A$62,'Données projet'!$B$62,AI24+AH25-AQ24)))</f>
        <v>248.50000000000003</v>
      </c>
      <c r="AJ25" s="13">
        <f>AI25*VLOOKUP('Données projet'!$B$10,Paramètres!$A$1:$I$89,3,0)*VLOOKUP('Données projet'!$B$10,Paramètres!$A$1:$I$89,5,0)</f>
        <v>138.91150000000002</v>
      </c>
      <c r="AK25" s="13">
        <f t="shared" si="35"/>
        <v>36.047532265727178</v>
      </c>
      <c r="AL25" s="20">
        <f t="shared" si="4"/>
        <v>304.72031452947482</v>
      </c>
      <c r="AM25" s="59">
        <f t="shared" si="5"/>
        <v>598.05364786280813</v>
      </c>
      <c r="AN25" s="59">
        <f ca="1">AVERAGE(OFFSET($AM$3,0,0,'Données projet'!$E$10+1,1))-AVERAGE(OFFSET($H$3,0,0,'Données projet'!$E$10+1,1))</f>
        <v>280.11276976762787</v>
      </c>
      <c r="AO25" s="59">
        <f t="shared" si="36"/>
        <v>471.89239871617241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0</v>
      </c>
      <c r="BJ25" s="59">
        <f t="shared" si="38"/>
        <v>0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0</v>
      </c>
      <c r="CE25" s="59">
        <f t="shared" si="40"/>
        <v>0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31.8</v>
      </c>
      <c r="N26" s="13">
        <f>IF('Données projet'!$A$36&gt;35,N25+M26-V25,IF(A26&lt;'Données projet'!$A$36,$K$205^A26,IF(A26='Données projet'!$A$36,'Données projet'!$B$36,N25+M26-V25)))</f>
        <v>355.4</v>
      </c>
      <c r="O26" s="13">
        <f>N26*VLOOKUP('Données projet'!$B$9,Paramètres!$A$1:$I$89,3,0)*VLOOKUP('Données projet'!$B$9,Paramètres!$A$1:$I$89,5,0)</f>
        <v>198.66859999999997</v>
      </c>
      <c r="P26" s="13">
        <f t="shared" si="33"/>
        <v>49.451452656287465</v>
      </c>
      <c r="Q26" s="20">
        <f t="shared" si="2"/>
        <v>432.14242504303394</v>
      </c>
      <c r="R26" s="59">
        <f t="shared" si="0"/>
        <v>725.47575837636725</v>
      </c>
      <c r="S26" s="59">
        <f ca="1">AVERAGE(OFFSET($R$3,0,0,'Données projet'!$E$9+1,1))-AVERAGE(OFFSET($H$3,0,0,'Données projet'!$E$9+1,1))</f>
        <v>354.30476036506167</v>
      </c>
      <c r="T26" s="59">
        <f t="shared" si="34"/>
        <v>593.51433014569966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8.0371922373169067</v>
      </c>
      <c r="AB26" s="21">
        <f>EXP(-LN(2)/2)*AB25+(1-EXP(-LN(2)/2))/(LN(2)/2)*V26*Y26*VLOOKUP('Données projet'!$B$9,Paramètres!$A$1:$I$89,3,0)*0.475*44/12</f>
        <v>4.8110604472593321</v>
      </c>
      <c r="AC26" s="22">
        <f t="shared" si="3"/>
        <v>12.848252684576238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28.833333333333332</v>
      </c>
      <c r="AI26" s="13">
        <f>IF('Données projet'!$A$62&gt;35,AI25+AH26-AQ25,IF(A26&lt;'Données projet'!$A$62,$AF$205^A26,IF(A26='Données projet'!$A$62,'Données projet'!$B$62,AI25+AH26-AQ25)))</f>
        <v>277.33333333333337</v>
      </c>
      <c r="AJ26" s="13">
        <f>AI26*VLOOKUP('Données projet'!$B$10,Paramètres!$A$1:$I$89,3,0)*VLOOKUP('Données projet'!$B$10,Paramètres!$A$1:$I$89,5,0)</f>
        <v>155.02933333333334</v>
      </c>
      <c r="AK26" s="13">
        <f t="shared" si="35"/>
        <v>39.719316712120367</v>
      </c>
      <c r="AL26" s="20">
        <f t="shared" si="4"/>
        <v>339.1872321624985</v>
      </c>
      <c r="AM26" s="59">
        <f t="shared" si="5"/>
        <v>632.52056549583176</v>
      </c>
      <c r="AN26" s="59">
        <f ca="1">AVERAGE(OFFSET($AM$3,0,0,'Données projet'!$E$10+1,1))-AVERAGE(OFFSET($H$3,0,0,'Données projet'!$E$10+1,1))</f>
        <v>280.11276976762787</v>
      </c>
      <c r="AO26" s="59">
        <f t="shared" si="36"/>
        <v>471.89239871617241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0</v>
      </c>
      <c r="BJ26" s="59">
        <f t="shared" si="38"/>
        <v>0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0</v>
      </c>
      <c r="CE26" s="59">
        <f t="shared" si="40"/>
        <v>0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31.8</v>
      </c>
      <c r="N27" s="13">
        <f>IF('Données projet'!$A$36&gt;35,N26+M27-V26,IF(A27&lt;'Données projet'!$A$36,$K$205^A27,IF(A27='Données projet'!$A$36,'Données projet'!$B$36,N26+M27-V26)))</f>
        <v>387.2</v>
      </c>
      <c r="O27" s="13">
        <f>N27*VLOOKUP('Données projet'!$B$9,Paramètres!$A$1:$I$89,3,0)*VLOOKUP('Données projet'!$B$9,Paramètres!$A$1:$I$89,5,0)</f>
        <v>216.44479999999999</v>
      </c>
      <c r="P27" s="13">
        <f t="shared" si="33"/>
        <v>53.341449419561528</v>
      </c>
      <c r="Q27" s="20">
        <f t="shared" si="2"/>
        <v>469.87771773906962</v>
      </c>
      <c r="R27" s="59">
        <f t="shared" si="0"/>
        <v>763.21105107240294</v>
      </c>
      <c r="S27" s="59">
        <f ca="1">AVERAGE(OFFSET($R$3,0,0,'Données projet'!$E$9+1,1))-AVERAGE(OFFSET($H$3,0,0,'Données projet'!$E$9+1,1))</f>
        <v>354.30476036506167</v>
      </c>
      <c r="T27" s="59">
        <f t="shared" si="34"/>
        <v>593.51433014569966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7.8174147929299052</v>
      </c>
      <c r="AB27" s="21">
        <f>EXP(-LN(2)/2)*AB26+(1-EXP(-LN(2)/2))/(LN(2)/2)*V27*Y27*VLOOKUP('Données projet'!$B$9,Paramètres!$A$1:$I$89,3,0)*0.475*44/12</f>
        <v>3.4019334669554584</v>
      </c>
      <c r="AC27" s="22">
        <f t="shared" si="3"/>
        <v>11.219348259885363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28.833333333333332</v>
      </c>
      <c r="AI27" s="13">
        <f>IF('Données projet'!$A$62&gt;35,AI26+AH27-AQ26,IF(A27&lt;'Données projet'!$A$62,$AF$205^A27,IF(A27='Données projet'!$A$62,'Données projet'!$B$62,AI26+AH27-AQ26)))</f>
        <v>306.16666666666669</v>
      </c>
      <c r="AJ27" s="13">
        <f>AI27*VLOOKUP('Données projet'!$B$10,Paramètres!$A$1:$I$89,3,0)*VLOOKUP('Données projet'!$B$10,Paramètres!$A$1:$I$89,5,0)</f>
        <v>171.14716666666669</v>
      </c>
      <c r="AK27" s="13">
        <f t="shared" si="35"/>
        <v>43.346850105371793</v>
      </c>
      <c r="AL27" s="20">
        <f t="shared" si="4"/>
        <v>373.57707921130037</v>
      </c>
      <c r="AM27" s="59">
        <f t="shared" si="5"/>
        <v>666.91041254463369</v>
      </c>
      <c r="AN27" s="59">
        <f ca="1">AVERAGE(OFFSET($AM$3,0,0,'Données projet'!$E$10+1,1))-AVERAGE(OFFSET($H$3,0,0,'Données projet'!$E$10+1,1))</f>
        <v>280.11276976762787</v>
      </c>
      <c r="AO27" s="59">
        <f t="shared" si="36"/>
        <v>471.89239871617241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0</v>
      </c>
      <c r="BJ27" s="59">
        <f t="shared" si="38"/>
        <v>0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0</v>
      </c>
      <c r="CE27" s="59">
        <f t="shared" si="40"/>
        <v>0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419</v>
      </c>
      <c r="L28" s="12">
        <f>VLOOKUP(A28,'Données projet'!$A$35:$I$55,9,0)</f>
        <v>31.8</v>
      </c>
      <c r="M28" s="12">
        <f t="array" ref="M28">INDEX(L:L,MIN(IF(ISNUMBER(L28:L224),ROW(L28:L224),"")))</f>
        <v>31.8</v>
      </c>
      <c r="N28" s="13">
        <f>IF('Données projet'!$A$36&gt;35,N27+M28-V27,IF(A28&lt;'Données projet'!$A$36,$K$205^A28,IF(A28='Données projet'!$A$36,'Données projet'!$B$36,N27+M28-V27)))</f>
        <v>419</v>
      </c>
      <c r="O28" s="13">
        <f>N28*VLOOKUP('Données projet'!$B$9,Paramètres!$A$1:$I$89,3,0)*VLOOKUP('Données projet'!$B$9,Paramètres!$A$1:$I$89,5,0)</f>
        <v>234.221</v>
      </c>
      <c r="P28" s="13">
        <f t="shared" si="33"/>
        <v>57.194392182630075</v>
      </c>
      <c r="Q28" s="20">
        <f t="shared" si="2"/>
        <v>507.54847471808063</v>
      </c>
      <c r="R28" s="59">
        <f t="shared" si="0"/>
        <v>800.88180805141394</v>
      </c>
      <c r="S28" s="59">
        <f ca="1">AVERAGE(OFFSET($R$3,0,0,'Données projet'!$E$9+1,1))-AVERAGE(OFFSET($H$3,0,0,'Données projet'!$E$9+1,1))</f>
        <v>354.30476036506167</v>
      </c>
      <c r="T28" s="59">
        <f t="shared" si="34"/>
        <v>593.51433014569966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60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0.34100000000000003</v>
      </c>
      <c r="Y28" s="16">
        <f>IF(ISNA(VLOOKUP(A28,'Données projet'!$A$35:$I$55,7,0)),0%,VLOOKUP(A28,'Données projet'!$A$35:$I$55,7,0))</f>
        <v>0.375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22.716012218108823</v>
      </c>
      <c r="AB28" s="21">
        <f>EXP(-LN(2)/2)*AB27+(1-EXP(-LN(2)/2))/(LN(2)/2)*V28*Y28*VLOOKUP('Données projet'!$B$9,Paramètres!$A$1:$I$89,3,0)*0.475*44/12</f>
        <v>16.646181945768792</v>
      </c>
      <c r="AC28" s="22">
        <f t="shared" si="3"/>
        <v>39.362194163877618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335</v>
      </c>
      <c r="AG28" s="12">
        <f>VLOOKUP(A28,'Données projet'!$A$61:$I$81,9,0)</f>
        <v>28.833333333333332</v>
      </c>
      <c r="AH28" s="12">
        <f t="array" ref="AH28">INDEX(AG:AG,MIN(IF(ISNUMBER(AG28:AG224),ROW(AG28:AG224),"")))</f>
        <v>28.833333333333332</v>
      </c>
      <c r="AI28" s="13">
        <f>IF('Données projet'!$A$62&gt;35,AI27+AH28-AQ27,IF(A28&lt;'Données projet'!$A$62,$AF$205^A28,IF(A28='Données projet'!$A$62,'Données projet'!$B$62,AI27+AH28-AQ27)))</f>
        <v>335</v>
      </c>
      <c r="AJ28" s="13">
        <f>AI28*VLOOKUP('Données projet'!$B$10,Paramètres!$A$1:$I$89,3,0)*VLOOKUP('Données projet'!$B$10,Paramètres!$A$1:$I$89,5,0)</f>
        <v>187.26500000000001</v>
      </c>
      <c r="AK28" s="13">
        <f t="shared" si="35"/>
        <v>46.934773872544483</v>
      </c>
      <c r="AL28" s="20">
        <f t="shared" si="4"/>
        <v>407.89793949468162</v>
      </c>
      <c r="AM28" s="59">
        <f t="shared" si="5"/>
        <v>701.23127282801488</v>
      </c>
      <c r="AN28" s="59">
        <f ca="1">AVERAGE(OFFSET($AM$3,0,0,'Données projet'!$E$10+1,1))-AVERAGE(OFFSET($H$3,0,0,'Données projet'!$E$10+1,1))</f>
        <v>280.11276976762787</v>
      </c>
      <c r="AO28" s="59">
        <f t="shared" si="36"/>
        <v>471.89239871617241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54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0.27500000000000002</v>
      </c>
      <c r="AT28" s="16">
        <f>IF(ISNA(VLOOKUP(A28,'Données projet'!$A$61:$I$81,7,0)),0%,VLOOKUP(A28,'Données projet'!$A$61:$I$81,7,0))</f>
        <v>0.5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10.968652047913231</v>
      </c>
      <c r="AW28" s="21">
        <f>EXP(-LN(2)/2)*AW27+(1-EXP(-LN(2)/2))/(LN(2)/2)*AQ28*AT28*VLOOKUP('Données projet'!$B$10,Paramètres!$A$1:$I$89,3,0)*0.475*44/12</f>
        <v>17.088782066566949</v>
      </c>
      <c r="AX28" s="21">
        <f t="shared" si="6"/>
        <v>28.057434114480181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0</v>
      </c>
      <c r="BJ28" s="59">
        <f t="shared" si="38"/>
        <v>0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0</v>
      </c>
      <c r="CE28" s="59">
        <f t="shared" si="40"/>
        <v>0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33</v>
      </c>
      <c r="N29" s="13">
        <f>IF('Données projet'!$A$36&gt;35,N28+M29-V28,IF(A29&lt;'Données projet'!$A$36,$K$205^A29,IF(A29='Données projet'!$A$36,'Données projet'!$B$36,N28+M29-V28)))</f>
        <v>392</v>
      </c>
      <c r="O29" s="13">
        <f>N29*VLOOKUP('Données projet'!$B$9,Paramètres!$A$1:$I$89,3,0)*VLOOKUP('Données projet'!$B$9,Paramètres!$A$1:$I$89,5,0)</f>
        <v>219.12800000000001</v>
      </c>
      <c r="P29" s="13">
        <f t="shared" si="33"/>
        <v>53.925317044064428</v>
      </c>
      <c r="Q29" s="20">
        <f t="shared" si="2"/>
        <v>475.56786051841215</v>
      </c>
      <c r="R29" s="59">
        <f t="shared" si="0"/>
        <v>768.90119385174546</v>
      </c>
      <c r="S29" s="59">
        <f ca="1">AVERAGE(OFFSET($R$3,0,0,'Données projet'!$E$9+1,1))-AVERAGE(OFFSET($H$3,0,0,'Données projet'!$E$9+1,1))</f>
        <v>354.30476036506167</v>
      </c>
      <c r="T29" s="59">
        <f t="shared" si="34"/>
        <v>593.51433014569966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22.094841669421474</v>
      </c>
      <c r="AB29" s="21">
        <f>EXP(-LN(2)/2)*AB28+(1-EXP(-LN(2)/2))/(LN(2)/2)*V29*Y29*VLOOKUP('Données projet'!$B$9,Paramètres!$A$1:$I$89,3,0)*0.475*44/12</f>
        <v>11.770628134718192</v>
      </c>
      <c r="AC29" s="22">
        <f t="shared" si="3"/>
        <v>33.865469804139664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</v>
      </c>
      <c r="AI29" s="13">
        <f>IF('Données projet'!$A$62&gt;35,AI28+AH29-AQ28,IF(A29&lt;'Données projet'!$A$62,$AF$205^A29,IF(A29='Données projet'!$A$62,'Données projet'!$B$62,AI28+AH29-AQ28)))</f>
        <v>309</v>
      </c>
      <c r="AJ29" s="13">
        <f>AI29*VLOOKUP('Données projet'!$B$10,Paramètres!$A$1:$I$89,3,0)*VLOOKUP('Données projet'!$B$10,Paramètres!$A$1:$I$89,5,0)</f>
        <v>172.73100000000002</v>
      </c>
      <c r="AK29" s="13">
        <f t="shared" si="35"/>
        <v>43.701108252019125</v>
      </c>
      <c r="AL29" s="20">
        <f t="shared" si="4"/>
        <v>376.9525885389333</v>
      </c>
      <c r="AM29" s="59">
        <f t="shared" si="5"/>
        <v>670.28592187226661</v>
      </c>
      <c r="AN29" s="59">
        <f ca="1">AVERAGE(OFFSET($AM$3,0,0,'Données projet'!$E$10+1,1))-AVERAGE(OFFSET($H$3,0,0,'Données projet'!$E$10+1,1))</f>
        <v>280.11276976762787</v>
      </c>
      <c r="AO29" s="59">
        <f t="shared" si="36"/>
        <v>471.89239871617241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10.668713680846702</v>
      </c>
      <c r="AW29" s="21">
        <f>EXP(-LN(2)/2)*AW28+(1-EXP(-LN(2)/2))/(LN(2)/2)*AQ29*AT29*VLOOKUP('Données projet'!$B$10,Paramètres!$A$1:$I$89,3,0)*0.475*44/12</f>
        <v>12.083593681488555</v>
      </c>
      <c r="AX29" s="21">
        <f t="shared" si="6"/>
        <v>22.752307362335259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0</v>
      </c>
      <c r="BJ29" s="59">
        <f t="shared" si="38"/>
        <v>0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0</v>
      </c>
      <c r="CE29" s="59">
        <f t="shared" si="40"/>
        <v>0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33</v>
      </c>
      <c r="N30" s="13">
        <f>IF('Données projet'!$A$36&gt;35,N29+M30-V29,IF(A30&lt;'Données projet'!$A$36,$K$205^A30,IF(A30='Données projet'!$A$36,'Données projet'!$B$36,N29+M30-V29)))</f>
        <v>425</v>
      </c>
      <c r="O30" s="13">
        <f>N30*VLOOKUP('Données projet'!$B$9,Paramètres!$A$1:$I$89,3,0)*VLOOKUP('Données projet'!$B$9,Paramètres!$A$1:$I$89,5,0)</f>
        <v>237.57500000000002</v>
      </c>
      <c r="P30" s="13">
        <f t="shared" si="33"/>
        <v>57.917471937261162</v>
      </c>
      <c r="Q30" s="20">
        <f t="shared" si="2"/>
        <v>514.64938862406325</v>
      </c>
      <c r="R30" s="59">
        <f t="shared" si="0"/>
        <v>807.98272195739651</v>
      </c>
      <c r="S30" s="59">
        <f ca="1">AVERAGE(OFFSET($R$3,0,0,'Données projet'!$E$9+1,1))-AVERAGE(OFFSET($H$3,0,0,'Données projet'!$E$9+1,1))</f>
        <v>354.30476036506167</v>
      </c>
      <c r="T30" s="59">
        <f t="shared" si="34"/>
        <v>593.51433014569966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21.49065706205392</v>
      </c>
      <c r="AB30" s="21">
        <f>EXP(-LN(2)/2)*AB29+(1-EXP(-LN(2)/2))/(LN(2)/2)*V30*Y30*VLOOKUP('Données projet'!$B$9,Paramètres!$A$1:$I$89,3,0)*0.475*44/12</f>
        <v>8.3230909728843976</v>
      </c>
      <c r="AC30" s="22">
        <f t="shared" si="3"/>
        <v>29.813748034938317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</v>
      </c>
      <c r="AI30" s="13">
        <f>IF('Données projet'!$A$62&gt;35,AI29+AH30-AQ29,IF(A30&lt;'Données projet'!$A$62,$AF$205^A30,IF(A30='Données projet'!$A$62,'Données projet'!$B$62,AI29+AH30-AQ29)))</f>
        <v>337</v>
      </c>
      <c r="AJ30" s="13">
        <f>AI30*VLOOKUP('Données projet'!$B$10,Paramètres!$A$1:$I$89,3,0)*VLOOKUP('Données projet'!$B$10,Paramètres!$A$1:$I$89,5,0)</f>
        <v>188.38300000000001</v>
      </c>
      <c r="AK30" s="13">
        <f t="shared" si="35"/>
        <v>47.182279474248382</v>
      </c>
      <c r="AL30" s="20">
        <f t="shared" si="4"/>
        <v>410.27619508431599</v>
      </c>
      <c r="AM30" s="59">
        <f t="shared" si="5"/>
        <v>703.60952841764924</v>
      </c>
      <c r="AN30" s="59">
        <f ca="1">AVERAGE(OFFSET($AM$3,0,0,'Données projet'!$E$10+1,1))-AVERAGE(OFFSET($H$3,0,0,'Données projet'!$E$10+1,1))</f>
        <v>280.11276976762787</v>
      </c>
      <c r="AO30" s="59">
        <f t="shared" si="36"/>
        <v>471.89239871617241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10.37697714420068</v>
      </c>
      <c r="AW30" s="21">
        <f>EXP(-LN(2)/2)*AW29+(1-EXP(-LN(2)/2))/(LN(2)/2)*AQ30*AT30*VLOOKUP('Données projet'!$B$10,Paramètres!$A$1:$I$89,3,0)*0.475*44/12</f>
        <v>8.5443910332834765</v>
      </c>
      <c r="AX30" s="21">
        <f t="shared" si="6"/>
        <v>18.921368177484155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0</v>
      </c>
      <c r="BJ30" s="59">
        <f t="shared" si="38"/>
        <v>0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0</v>
      </c>
      <c r="CE30" s="59">
        <f t="shared" si="40"/>
        <v>0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33</v>
      </c>
      <c r="N31" s="13">
        <f>IF('Données projet'!$A$36&gt;35,N30+M31-V30,IF(A31&lt;'Données projet'!$A$36,$K$205^A31,IF(A31='Données projet'!$A$36,'Données projet'!$B$36,N30+M31-V30)))</f>
        <v>458</v>
      </c>
      <c r="O31" s="13">
        <f>N31*VLOOKUP('Données projet'!$B$9,Paramètres!$A$1:$I$89,3,0)*VLOOKUP('Données projet'!$B$9,Paramètres!$A$1:$I$89,5,0)</f>
        <v>256.02199999999999</v>
      </c>
      <c r="P31" s="13">
        <f t="shared" si="33"/>
        <v>61.873669712051253</v>
      </c>
      <c r="Q31" s="20">
        <f t="shared" si="2"/>
        <v>553.66829141515586</v>
      </c>
      <c r="R31" s="59">
        <f t="shared" si="0"/>
        <v>847.00162474848912</v>
      </c>
      <c r="S31" s="59">
        <f ca="1">AVERAGE(OFFSET($R$3,0,0,'Données projet'!$E$9+1,1))-AVERAGE(OFFSET($H$3,0,0,'Données projet'!$E$9+1,1))</f>
        <v>354.30476036506167</v>
      </c>
      <c r="T31" s="59">
        <f t="shared" si="34"/>
        <v>593.51433014569966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20.902993914547519</v>
      </c>
      <c r="AB31" s="21">
        <f>EXP(-LN(2)/2)*AB30+(1-EXP(-LN(2)/2))/(LN(2)/2)*V31*Y31*VLOOKUP('Données projet'!$B$9,Paramètres!$A$1:$I$89,3,0)*0.475*44/12</f>
        <v>5.8853140673590971</v>
      </c>
      <c r="AC31" s="22">
        <f t="shared" si="3"/>
        <v>26.788307981906616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</v>
      </c>
      <c r="AI31" s="13">
        <f>IF('Données projet'!$A$62&gt;35,AI30+AH31-AQ30,IF(A31&lt;'Données projet'!$A$62,$AF$205^A31,IF(A31='Données projet'!$A$62,'Données projet'!$B$62,AI30+AH31-AQ30)))</f>
        <v>365</v>
      </c>
      <c r="AJ31" s="13">
        <f>AI31*VLOOKUP('Données projet'!$B$10,Paramètres!$A$1:$I$89,3,0)*VLOOKUP('Données projet'!$B$10,Paramètres!$A$1:$I$89,5,0)</f>
        <v>204.035</v>
      </c>
      <c r="AK31" s="13">
        <f t="shared" si="35"/>
        <v>50.629905099971396</v>
      </c>
      <c r="AL31" s="20">
        <f t="shared" si="4"/>
        <v>443.54137638245015</v>
      </c>
      <c r="AM31" s="59">
        <f t="shared" si="5"/>
        <v>736.87470971578341</v>
      </c>
      <c r="AN31" s="59">
        <f ca="1">AVERAGE(OFFSET($AM$3,0,0,'Données projet'!$E$10+1,1))-AVERAGE(OFFSET($H$3,0,0,'Données projet'!$E$10+1,1))</f>
        <v>280.11276976762787</v>
      </c>
      <c r="AO31" s="59">
        <f t="shared" si="36"/>
        <v>471.89239871617241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10.093218158491002</v>
      </c>
      <c r="AW31" s="21">
        <f>EXP(-LN(2)/2)*AW30+(1-EXP(-LN(2)/2))/(LN(2)/2)*AQ31*AT31*VLOOKUP('Données projet'!$B$10,Paramètres!$A$1:$I$89,3,0)*0.475*44/12</f>
        <v>6.0417968407442784</v>
      </c>
      <c r="AX31" s="21">
        <f t="shared" si="6"/>
        <v>16.135014999235281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0</v>
      </c>
      <c r="BJ31" s="59">
        <f t="shared" si="38"/>
        <v>0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0</v>
      </c>
      <c r="CE31" s="59">
        <f t="shared" si="40"/>
        <v>0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33</v>
      </c>
      <c r="N32" s="13">
        <f>IF('Données projet'!$A$36&gt;35,N31+M32-V31,IF(A32&lt;'Données projet'!$A$36,$K$205^A32,IF(A32='Données projet'!$A$36,'Données projet'!$B$36,N31+M32-V31)))</f>
        <v>491</v>
      </c>
      <c r="O32" s="13">
        <f>N32*VLOOKUP('Données projet'!$B$9,Paramètres!$A$1:$I$89,3,0)*VLOOKUP('Données projet'!$B$9,Paramètres!$A$1:$I$89,5,0)</f>
        <v>274.46899999999999</v>
      </c>
      <c r="P32" s="13">
        <f t="shared" si="33"/>
        <v>65.796795812732981</v>
      </c>
      <c r="Q32" s="20">
        <f t="shared" si="2"/>
        <v>592.62959437384313</v>
      </c>
      <c r="R32" s="59">
        <f t="shared" si="0"/>
        <v>885.9629277071765</v>
      </c>
      <c r="S32" s="59">
        <f ca="1">AVERAGE(OFFSET($R$3,0,0,'Données projet'!$E$9+1,1))-AVERAGE(OFFSET($H$3,0,0,'Données projet'!$E$9+1,1))</f>
        <v>354.30476036506167</v>
      </c>
      <c r="T32" s="59">
        <f t="shared" si="34"/>
        <v>593.51433014569966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20.331400446713541</v>
      </c>
      <c r="AB32" s="21">
        <f>EXP(-LN(2)/2)*AB31+(1-EXP(-LN(2)/2))/(LN(2)/2)*V32*Y32*VLOOKUP('Données projet'!$B$9,Paramètres!$A$1:$I$89,3,0)*0.475*44/12</f>
        <v>4.1615454864421997</v>
      </c>
      <c r="AC32" s="22">
        <f t="shared" si="3"/>
        <v>24.492945933155742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</v>
      </c>
      <c r="AI32" s="13">
        <f>IF('Données projet'!$A$62&gt;35,AI31+AH32-AQ31,IF(A32&lt;'Données projet'!$A$62,$AF$205^A32,IF(A32='Données projet'!$A$62,'Données projet'!$B$62,AI31+AH32-AQ31)))</f>
        <v>393</v>
      </c>
      <c r="AJ32" s="13">
        <f>AI32*VLOOKUP('Données projet'!$B$10,Paramètres!$A$1:$I$89,3,0)*VLOOKUP('Données projet'!$B$10,Paramètres!$A$1:$I$89,5,0)</f>
        <v>219.68700000000001</v>
      </c>
      <c r="AK32" s="13">
        <f t="shared" si="35"/>
        <v>54.046851081096591</v>
      </c>
      <c r="AL32" s="20">
        <f t="shared" si="4"/>
        <v>476.75312396624321</v>
      </c>
      <c r="AM32" s="59">
        <f t="shared" si="5"/>
        <v>770.08645729957652</v>
      </c>
      <c r="AN32" s="59">
        <f ca="1">AVERAGE(OFFSET($AM$3,0,0,'Données projet'!$E$10+1,1))-AVERAGE(OFFSET($H$3,0,0,'Données projet'!$E$10+1,1))</f>
        <v>280.11276976762787</v>
      </c>
      <c r="AO32" s="59">
        <f t="shared" si="36"/>
        <v>471.89239871617241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9.8172185771677913</v>
      </c>
      <c r="AW32" s="21">
        <f>EXP(-LN(2)/2)*AW31+(1-EXP(-LN(2)/2))/(LN(2)/2)*AQ32*AT32*VLOOKUP('Données projet'!$B$10,Paramètres!$A$1:$I$89,3,0)*0.475*44/12</f>
        <v>4.2721955166417391</v>
      </c>
      <c r="AX32" s="21">
        <f t="shared" si="6"/>
        <v>14.08941409380953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0</v>
      </c>
      <c r="BJ32" s="59">
        <f t="shared" si="38"/>
        <v>0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0</v>
      </c>
      <c r="CE32" s="59">
        <f t="shared" si="40"/>
        <v>0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524</v>
      </c>
      <c r="L33" s="12">
        <f>VLOOKUP(A33,'Données projet'!$A$35:$I$55,9,0)</f>
        <v>33</v>
      </c>
      <c r="M33" s="12">
        <f t="array" ref="M33">INDEX(L:L,MIN(IF(ISNUMBER(L33:L229),ROW(L33:L229),"")))</f>
        <v>33</v>
      </c>
      <c r="N33" s="13">
        <f>IF('Données projet'!$A$36&gt;35,N32+M33-V32,IF(A33&lt;'Données projet'!$A$36,$K$205^A33,IF(A33='Données projet'!$A$36,'Données projet'!$B$36,N32+M33-V32)))</f>
        <v>524</v>
      </c>
      <c r="O33" s="13">
        <f>N33*VLOOKUP('Données projet'!$B$9,Paramètres!$A$1:$I$89,3,0)*VLOOKUP('Données projet'!$B$9,Paramètres!$A$1:$I$89,5,0)</f>
        <v>292.916</v>
      </c>
      <c r="P33" s="13">
        <f t="shared" si="33"/>
        <v>69.68932587703776</v>
      </c>
      <c r="Q33" s="20">
        <f t="shared" si="2"/>
        <v>631.53760923584082</v>
      </c>
      <c r="R33" s="59">
        <f t="shared" si="0"/>
        <v>924.87094256917408</v>
      </c>
      <c r="S33" s="59">
        <f ca="1">AVERAGE(OFFSET($R$3,0,0,'Données projet'!$E$9+1,1))-AVERAGE(OFFSET($H$3,0,0,'Données projet'!$E$9+1,1))</f>
        <v>354.30476036506167</v>
      </c>
      <c r="T33" s="59">
        <f t="shared" si="34"/>
        <v>593.51433014569966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90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0.36965500000000007</v>
      </c>
      <c r="Y33" s="16">
        <f>IF(ISNA(VLOOKUP(A33,'Données projet'!$A$35:$I$55,7,0)),0%,VLOOKUP(A33,'Données projet'!$A$35:$I$55,7,0))</f>
        <v>0.33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44.348874036991219</v>
      </c>
      <c r="AB33" s="21">
        <f>EXP(-LN(2)/2)*AB32+(1-EXP(-LN(2)/2))/(LN(2)/2)*V33*Y33*VLOOKUP('Données projet'!$B$9,Paramètres!$A$1:$I$89,3,0)*0.475*44/12</f>
        <v>21.740317306903194</v>
      </c>
      <c r="AC33" s="22">
        <f t="shared" si="3"/>
        <v>66.089191343894413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421</v>
      </c>
      <c r="AG33" s="12">
        <f>VLOOKUP(A33,'Données projet'!$A$61:$I$81,9,0)</f>
        <v>28</v>
      </c>
      <c r="AH33" s="12">
        <f t="array" ref="AH33">INDEX(AG:AG,MIN(IF(ISNUMBER(AG33:AG229),ROW(AG33:AG229),"")))</f>
        <v>28</v>
      </c>
      <c r="AI33" s="13">
        <f>IF('Données projet'!$A$62&gt;35,AI32+AH33-AQ32,IF(A33&lt;'Données projet'!$A$62,$AF$205^A33,IF(A33='Données projet'!$A$62,'Données projet'!$B$62,AI32+AH33-AQ32)))</f>
        <v>421</v>
      </c>
      <c r="AJ33" s="13">
        <f>AI33*VLOOKUP('Données projet'!$B$10,Paramètres!$A$1:$I$89,3,0)*VLOOKUP('Données projet'!$B$10,Paramètres!$A$1:$I$89,5,0)</f>
        <v>235.339</v>
      </c>
      <c r="AK33" s="13">
        <f t="shared" si="35"/>
        <v>57.43555185051494</v>
      </c>
      <c r="AL33" s="20">
        <f t="shared" si="4"/>
        <v>509.91567780631357</v>
      </c>
      <c r="AM33" s="59">
        <f t="shared" si="5"/>
        <v>803.24901113964688</v>
      </c>
      <c r="AN33" s="59">
        <f ca="1">AVERAGE(OFFSET($AM$3,0,0,'Données projet'!$E$10+1,1))-AVERAGE(OFFSET($H$3,0,0,'Données projet'!$E$10+1,1))</f>
        <v>280.11276976762787</v>
      </c>
      <c r="AO33" s="59">
        <f t="shared" si="36"/>
        <v>471.89239871617241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54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0.34100000000000003</v>
      </c>
      <c r="AT33" s="16">
        <f>IF(ISNA(VLOOKUP(A33,'Données projet'!$A$61:$I$81,7,0)),0%,VLOOKUP(A33,'Données projet'!$A$61:$I$81,7,0))</f>
        <v>0.375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23.149894758322461</v>
      </c>
      <c r="AW33" s="21">
        <f>EXP(-LN(2)/2)*AW32+(1-EXP(-LN(2)/2))/(LN(2)/2)*AQ33*AT33*VLOOKUP('Données projet'!$B$10,Paramètres!$A$1:$I$89,3,0)*0.475*44/12</f>
        <v>15.837484970297352</v>
      </c>
      <c r="AX33" s="21">
        <f t="shared" si="6"/>
        <v>38.987379728619814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0</v>
      </c>
      <c r="BJ33" s="59">
        <f t="shared" si="38"/>
        <v>0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0</v>
      </c>
      <c r="CE33" s="59">
        <f t="shared" si="40"/>
        <v>0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28.4</v>
      </c>
      <c r="N34" s="13">
        <f>IF('Données projet'!$A$36&gt;35,N33+M34-V33,IF(A34&lt;'Données projet'!$A$36,$K$205^A34,IF(A34='Données projet'!$A$36,'Données projet'!$B$36,N33+M34-V33)))</f>
        <v>462.4</v>
      </c>
      <c r="O34" s="13">
        <f>N34*VLOOKUP('Données projet'!$B$9,Paramètres!$A$1:$I$89,3,0)*VLOOKUP('Données projet'!$B$9,Paramètres!$A$1:$I$89,5,0)</f>
        <v>258.48160000000001</v>
      </c>
      <c r="P34" s="13">
        <f t="shared" si="33"/>
        <v>62.398606187610767</v>
      </c>
      <c r="Q34" s="20">
        <f t="shared" si="2"/>
        <v>558.86635911008875</v>
      </c>
      <c r="R34" s="59">
        <f t="shared" si="0"/>
        <v>852.19969244342201</v>
      </c>
      <c r="S34" s="59">
        <f ca="1">AVERAGE(OFFSET($R$3,0,0,'Données projet'!$E$9+1,1))-AVERAGE(OFFSET($H$3,0,0,'Données projet'!$E$9+1,1))</f>
        <v>354.30476036506167</v>
      </c>
      <c r="T34" s="59">
        <f t="shared" si="34"/>
        <v>593.51433014569966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43.136151744243769</v>
      </c>
      <c r="AB34" s="21">
        <f>EXP(-LN(2)/2)*AB33+(1-EXP(-LN(2)/2))/(LN(2)/2)*V34*Y34*VLOOKUP('Données projet'!$B$9,Paramètres!$A$1:$I$89,3,0)*0.475*44/12</f>
        <v>15.37272579285851</v>
      </c>
      <c r="AC34" s="22">
        <f t="shared" si="3"/>
        <v>58.508877537102279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27.6</v>
      </c>
      <c r="AI34" s="13">
        <f>IF('Données projet'!$A$62&gt;35,AI33+AH34-AQ33,IF(A34&lt;'Données projet'!$A$62,$AF$205^A34,IF(A34='Données projet'!$A$62,'Données projet'!$B$62,AI33+AH34-AQ33)))</f>
        <v>394.6</v>
      </c>
      <c r="AJ34" s="13">
        <f>AI34*VLOOKUP('Données projet'!$B$10,Paramètres!$A$1:$I$89,3,0)*VLOOKUP('Données projet'!$B$10,Paramètres!$A$1:$I$89,5,0)</f>
        <v>220.5814</v>
      </c>
      <c r="AK34" s="13">
        <f t="shared" si="35"/>
        <v>54.241230721401301</v>
      </c>
      <c r="AL34" s="20">
        <f t="shared" si="4"/>
        <v>478.64941517310723</v>
      </c>
      <c r="AM34" s="59">
        <f t="shared" si="5"/>
        <v>771.98274850644054</v>
      </c>
      <c r="AN34" s="59">
        <f ca="1">AVERAGE(OFFSET($AM$3,0,0,'Données projet'!$E$10+1,1))-AVERAGE(OFFSET($H$3,0,0,'Données projet'!$E$10+1,1))</f>
        <v>280.11276976762787</v>
      </c>
      <c r="AO34" s="59">
        <f t="shared" si="36"/>
        <v>471.89239871617241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22.516859668756076</v>
      </c>
      <c r="AW34" s="21">
        <f>EXP(-LN(2)/2)*AW33+(1-EXP(-LN(2)/2))/(LN(2)/2)*AQ34*AT34*VLOOKUP('Données projet'!$B$10,Paramètres!$A$1:$I$89,3,0)*0.475*44/12</f>
        <v>11.198793019437286</v>
      </c>
      <c r="AX34" s="21">
        <f t="shared" si="6"/>
        <v>33.715652688193359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0</v>
      </c>
      <c r="BJ34" s="59">
        <f t="shared" si="38"/>
        <v>0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0</v>
      </c>
      <c r="CE34" s="59">
        <f t="shared" si="40"/>
        <v>0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28.4</v>
      </c>
      <c r="N35" s="13">
        <f>IF('Données projet'!$A$36&gt;35,N34+M35-V34,IF(A35&lt;'Données projet'!$A$36,$K$205^A35,IF(A35='Données projet'!$A$36,'Données projet'!$B$36,N34+M35-V34)))</f>
        <v>490.79999999999995</v>
      </c>
      <c r="O35" s="13">
        <f>N35*VLOOKUP('Données projet'!$B$9,Paramètres!$A$1:$I$89,3,0)*VLOOKUP('Données projet'!$B$9,Paramètres!$A$1:$I$89,5,0)</f>
        <v>274.35719999999998</v>
      </c>
      <c r="P35" s="13">
        <f t="shared" si="33"/>
        <v>65.773113764972635</v>
      </c>
      <c r="Q35" s="20">
        <f t="shared" ref="Q35:Q66" si="53">(O35+P35)*0.475*44/12</f>
        <v>592.39362980732722</v>
      </c>
      <c r="R35" s="59">
        <f t="shared" si="0"/>
        <v>885.72696314066047</v>
      </c>
      <c r="S35" s="59">
        <f ca="1">AVERAGE(OFFSET($R$3,0,0,'Données projet'!$E$9+1,1))-AVERAGE(OFFSET($H$3,0,0,'Données projet'!$E$9+1,1))</f>
        <v>354.30476036506167</v>
      </c>
      <c r="T35" s="59">
        <f t="shared" si="34"/>
        <v>593.51433014569966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41.956591406365789</v>
      </c>
      <c r="AB35" s="21">
        <f>EXP(-LN(2)/2)*AB34+(1-EXP(-LN(2)/2))/(LN(2)/2)*V35*Y35*VLOOKUP('Données projet'!$B$9,Paramètres!$A$1:$I$89,3,0)*0.475*44/12</f>
        <v>10.870158653451599</v>
      </c>
      <c r="AC35" s="22">
        <f t="shared" si="3"/>
        <v>52.826750059817385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27.6</v>
      </c>
      <c r="AI35" s="13">
        <f>IF('Données projet'!$A$62&gt;35,AI34+AH35-AQ34,IF(A35&lt;'Données projet'!$A$62,$AF$205^A35,IF(A35='Données projet'!$A$62,'Données projet'!$B$62,AI34+AH35-AQ34)))</f>
        <v>422.20000000000005</v>
      </c>
      <c r="AJ35" s="13">
        <f>AI35*VLOOKUP('Données projet'!$B$10,Paramètres!$A$1:$I$89,3,0)*VLOOKUP('Données projet'!$B$10,Paramètres!$A$1:$I$89,5,0)</f>
        <v>236.00980000000004</v>
      </c>
      <c r="AK35" s="13">
        <f t="shared" si="35"/>
        <v>57.580183613654185</v>
      </c>
      <c r="AL35" s="20">
        <f t="shared" si="4"/>
        <v>511.3358881271144</v>
      </c>
      <c r="AM35" s="59">
        <f t="shared" si="5"/>
        <v>804.66922146044772</v>
      </c>
      <c r="AN35" s="59">
        <f ca="1">AVERAGE(OFFSET($AM$3,0,0,'Données projet'!$E$10+1,1))-AVERAGE(OFFSET($H$3,0,0,'Données projet'!$E$10+1,1))</f>
        <v>280.11276976762787</v>
      </c>
      <c r="AO35" s="59">
        <f t="shared" si="36"/>
        <v>471.89239871617241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21.901134957003755</v>
      </c>
      <c r="AW35" s="21">
        <f>EXP(-LN(2)/2)*AW34+(1-EXP(-LN(2)/2))/(LN(2)/2)*AQ35*AT35*VLOOKUP('Données projet'!$B$10,Paramètres!$A$1:$I$89,3,0)*0.475*44/12</f>
        <v>7.9187424851486776</v>
      </c>
      <c r="AX35" s="21">
        <f t="shared" si="6"/>
        <v>29.819877442152432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0</v>
      </c>
      <c r="BJ35" s="59">
        <f t="shared" si="38"/>
        <v>0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0</v>
      </c>
      <c r="CE35" s="59">
        <f t="shared" si="40"/>
        <v>0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28.4</v>
      </c>
      <c r="N36" s="13">
        <f>IF('Données projet'!$A$36&gt;35,N35+M36-V35,IF(A36&lt;'Données projet'!$A$36,$K$205^A36,IF(A36='Données projet'!$A$36,'Données projet'!$B$36,N35+M36-V35)))</f>
        <v>519.19999999999993</v>
      </c>
      <c r="O36" s="13">
        <f>N36*VLOOKUP('Données projet'!$B$9,Paramètres!$A$1:$I$89,3,0)*VLOOKUP('Données projet'!$B$9,Paramètres!$A$1:$I$89,5,0)</f>
        <v>290.2328</v>
      </c>
      <c r="P36" s="13">
        <f t="shared" si="33"/>
        <v>69.124955529636495</v>
      </c>
      <c r="Q36" s="20">
        <f t="shared" si="53"/>
        <v>625.88142421411692</v>
      </c>
      <c r="R36" s="59">
        <f t="shared" si="0"/>
        <v>919.21475754745029</v>
      </c>
      <c r="S36" s="59">
        <f ca="1">AVERAGE(OFFSET($R$3,0,0,'Données projet'!$E$9+1,1))-AVERAGE(OFFSET($H$3,0,0,'Données projet'!$E$9+1,1))</f>
        <v>354.30476036506167</v>
      </c>
      <c r="T36" s="59">
        <f t="shared" si="34"/>
        <v>593.51433014569966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40.80928620795747</v>
      </c>
      <c r="AB36" s="21">
        <f>EXP(-LN(2)/2)*AB35+(1-EXP(-LN(2)/2))/(LN(2)/2)*V36*Y36*VLOOKUP('Données projet'!$B$9,Paramètres!$A$1:$I$89,3,0)*0.475*44/12</f>
        <v>7.6863628964292561</v>
      </c>
      <c r="AC36" s="22">
        <f t="shared" si="3"/>
        <v>48.495649104386729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27.6</v>
      </c>
      <c r="AI36" s="13">
        <f>IF('Données projet'!$A$62&gt;35,AI35+AH36-AQ35,IF(A36&lt;'Données projet'!$A$62,$AF$205^A36,IF(A36='Données projet'!$A$62,'Données projet'!$B$62,AI35+AH36-AQ35)))</f>
        <v>449.80000000000007</v>
      </c>
      <c r="AJ36" s="13">
        <f>AI36*VLOOKUP('Données projet'!$B$10,Paramètres!$A$1:$I$89,3,0)*VLOOKUP('Données projet'!$B$10,Paramètres!$A$1:$I$89,5,0)</f>
        <v>251.43820000000002</v>
      </c>
      <c r="AK36" s="13">
        <f t="shared" si="35"/>
        <v>60.893806844597648</v>
      </c>
      <c r="AL36" s="20">
        <f t="shared" si="4"/>
        <v>543.978245254341</v>
      </c>
      <c r="AM36" s="59">
        <f t="shared" si="5"/>
        <v>837.31157858767438</v>
      </c>
      <c r="AN36" s="59">
        <f ca="1">AVERAGE(OFFSET($AM$3,0,0,'Données projet'!$E$10+1,1))-AVERAGE(OFFSET($H$3,0,0,'Données projet'!$E$10+1,1))</f>
        <v>280.11276976762787</v>
      </c>
      <c r="AO36" s="59">
        <f t="shared" si="36"/>
        <v>471.89239871617241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21.302247269873856</v>
      </c>
      <c r="AW36" s="21">
        <f>EXP(-LN(2)/2)*AW35+(1-EXP(-LN(2)/2))/(LN(2)/2)*AQ36*AT36*VLOOKUP('Données projet'!$B$10,Paramètres!$A$1:$I$89,3,0)*0.475*44/12</f>
        <v>5.5993965097186438</v>
      </c>
      <c r="AX36" s="21">
        <f t="shared" si="6"/>
        <v>26.901643779592501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0</v>
      </c>
      <c r="BJ36" s="59">
        <f t="shared" si="38"/>
        <v>0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0</v>
      </c>
      <c r="CE36" s="59">
        <f t="shared" si="40"/>
        <v>0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28.4</v>
      </c>
      <c r="N37" s="13">
        <f>IF('Données projet'!$A$36&gt;35,N36+M37-V36,IF(A37&lt;'Données projet'!$A$36,$K$205^A37,IF(A37='Données projet'!$A$36,'Données projet'!$B$36,N36+M37-V36)))</f>
        <v>547.59999999999991</v>
      </c>
      <c r="O37" s="13">
        <f>N37*VLOOKUP('Données projet'!$B$9,Paramètres!$A$1:$I$89,3,0)*VLOOKUP('Données projet'!$B$9,Paramètres!$A$1:$I$89,5,0)</f>
        <v>306.10839999999996</v>
      </c>
      <c r="P37" s="13">
        <f t="shared" si="33"/>
        <v>72.455512621968097</v>
      </c>
      <c r="Q37" s="20">
        <f t="shared" si="53"/>
        <v>659.33214781659433</v>
      </c>
      <c r="R37" s="59">
        <f t="shared" si="0"/>
        <v>952.6654811499277</v>
      </c>
      <c r="S37" s="59">
        <f ca="1">AVERAGE(OFFSET($R$3,0,0,'Données projet'!$E$9+1,1))-AVERAGE(OFFSET($H$3,0,0,'Données projet'!$E$9+1,1))</f>
        <v>354.30476036506167</v>
      </c>
      <c r="T37" s="59">
        <f t="shared" si="34"/>
        <v>593.51433014569966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39.693354130533784</v>
      </c>
      <c r="AB37" s="21">
        <f>EXP(-LN(2)/2)*AB36+(1-EXP(-LN(2)/2))/(LN(2)/2)*V37*Y37*VLOOKUP('Données projet'!$B$9,Paramètres!$A$1:$I$89,3,0)*0.475*44/12</f>
        <v>5.4350793267258002</v>
      </c>
      <c r="AC37" s="22">
        <f t="shared" si="3"/>
        <v>45.128433457259582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27.6</v>
      </c>
      <c r="AI37" s="13">
        <f>IF('Données projet'!$A$62&gt;35,AI36+AH37-AQ36,IF(A37&lt;'Données projet'!$A$62,$AF$205^A37,IF(A37='Données projet'!$A$62,'Données projet'!$B$62,AI36+AH37-AQ36)))</f>
        <v>477.40000000000009</v>
      </c>
      <c r="AJ37" s="13">
        <f>AI37*VLOOKUP('Données projet'!$B$10,Paramètres!$A$1:$I$89,3,0)*VLOOKUP('Données projet'!$B$10,Paramètres!$A$1:$I$89,5,0)</f>
        <v>266.86660000000006</v>
      </c>
      <c r="AK37" s="13">
        <f t="shared" si="35"/>
        <v>64.183831628008477</v>
      </c>
      <c r="AL37" s="20">
        <f t="shared" si="4"/>
        <v>576.57950175211477</v>
      </c>
      <c r="AM37" s="59">
        <f t="shared" si="5"/>
        <v>869.91283508544802</v>
      </c>
      <c r="AN37" s="59">
        <f ca="1">AVERAGE(OFFSET($AM$3,0,0,'Données projet'!$E$10+1,1))-AVERAGE(OFFSET($H$3,0,0,'Données projet'!$E$10+1,1))</f>
        <v>280.11276976762787</v>
      </c>
      <c r="AO37" s="59">
        <f t="shared" si="36"/>
        <v>471.89239871617241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20.719736198042657</v>
      </c>
      <c r="AW37" s="21">
        <f>EXP(-LN(2)/2)*AW36+(1-EXP(-LN(2)/2))/(LN(2)/2)*AQ37*AT37*VLOOKUP('Données projet'!$B$10,Paramètres!$A$1:$I$89,3,0)*0.475*44/12</f>
        <v>3.9593712425743393</v>
      </c>
      <c r="AX37" s="21">
        <f t="shared" si="6"/>
        <v>24.679107440616995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0</v>
      </c>
      <c r="BJ37" s="59">
        <f t="shared" si="38"/>
        <v>0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0</v>
      </c>
      <c r="CE37" s="59">
        <f t="shared" si="40"/>
        <v>0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576</v>
      </c>
      <c r="L38" s="12">
        <f>VLOOKUP(A38,'Données projet'!$A$35:$I$55,9,0)</f>
        <v>28.4</v>
      </c>
      <c r="M38" s="12">
        <f t="array" ref="M38">INDEX(L:L,MIN(IF(ISNUMBER(L38:L234),ROW(L38:L234),"")))</f>
        <v>28.4</v>
      </c>
      <c r="N38" s="13">
        <f>IF('Données projet'!$A$36&gt;35,N37+M38-V37,IF(A38&lt;'Données projet'!$A$36,$K$205^A38,IF(A38='Données projet'!$A$36,'Données projet'!$B$36,N37+M38-V37)))</f>
        <v>575.99999999999989</v>
      </c>
      <c r="O38" s="13">
        <f>N38*VLOOKUP('Données projet'!$B$9,Paramètres!$A$1:$I$89,3,0)*VLOOKUP('Données projet'!$B$9,Paramètres!$A$1:$I$89,5,0)</f>
        <v>321.98399999999992</v>
      </c>
      <c r="P38" s="13">
        <f t="shared" si="33"/>
        <v>75.76601483154208</v>
      </c>
      <c r="Q38" s="20">
        <f t="shared" si="53"/>
        <v>692.74794249826891</v>
      </c>
      <c r="R38" s="59">
        <f t="shared" si="0"/>
        <v>986.08127583160217</v>
      </c>
      <c r="S38" s="59">
        <f ca="1">AVERAGE(OFFSET($R$3,0,0,'Données projet'!$E$9+1,1))-AVERAGE(OFFSET($H$3,0,0,'Données projet'!$E$9+1,1))</f>
        <v>354.30476036506167</v>
      </c>
      <c r="T38" s="59">
        <f t="shared" si="34"/>
        <v>593.51433014569966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72</v>
      </c>
      <c r="W38" s="16">
        <f>IF(ISNA(VLOOKUP(A38,'Données projet'!$A$35:$I$55,5,0)),0%,VLOOKUP(A38,'Données projet'!$A$35:$I$55,5,0)*VLOOKUP('Données projet'!$B$9,Paramètres!$A$1:$I$89,7,0))</f>
        <v>0.17050000000000001</v>
      </c>
      <c r="X38" s="16">
        <f>IF(ISNA(VLOOKUP(A38,'Données projet'!$A$35:$I$55,6,0)),0%,VLOOKUP(A38,'Données projet'!$A$35:$I$55,6,0)*VLOOKUP('Données projet'!$B$9,Paramètres!$A$1:$I$89,7,0))</f>
        <v>0.20625000000000002</v>
      </c>
      <c r="Y38" s="16">
        <f>IF(ISNA(VLOOKUP(A38,'Données projet'!$A$35:$I$55,7,0)),0%,VLOOKUP(A38,'Données projet'!$A$35:$I$55,7,0))</f>
        <v>0.31</v>
      </c>
      <c r="Z38" s="21">
        <f>EXP(-LN(2)/35)*Z37+(1-EXP(-LN(2)/35))/(LN(2)/35)*V38*W38*VLOOKUP('Données projet'!$B$9,Paramètres!$A$1:$I$89,3,0)*0.475*44/12</f>
        <v>9.1032620375314686</v>
      </c>
      <c r="AA38" s="21">
        <f>EXP(-LN(2)/25)*AA37+(1-EXP(-LN(2)/25))/(LN(2)/25)*Calculateur!V38*Calculateur!X38*VLOOKUP('Données projet'!$B$9,Paramètres!$A$1:$I$89,3,0)*0.475*44/12</f>
        <v>49.576589322364796</v>
      </c>
      <c r="AB38" s="21">
        <f>EXP(-LN(2)/2)*AB37+(1-EXP(-LN(2)/2))/(LN(2)/2)*V38*Y38*VLOOKUP('Données projet'!$B$9,Paramètres!$A$1:$I$89,3,0)*0.475*44/12</f>
        <v>17.969907956576641</v>
      </c>
      <c r="AC38" s="22">
        <f t="shared" si="3"/>
        <v>76.64975931647291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505</v>
      </c>
      <c r="AG38" s="12">
        <f>VLOOKUP(A38,'Données projet'!$A$61:$I$81,9,0)</f>
        <v>27.6</v>
      </c>
      <c r="AH38" s="12">
        <f t="array" ref="AH38">INDEX(AG:AG,MIN(IF(ISNUMBER(AG38:AG234),ROW(AG38:AG234),"")))</f>
        <v>27.6</v>
      </c>
      <c r="AI38" s="13">
        <f>IF('Données projet'!$A$62&gt;35,AI37+AH38-AQ37,IF(A38&lt;'Données projet'!$A$62,$AF$205^A38,IF(A38='Données projet'!$A$62,'Données projet'!$B$62,AI37+AH38-AQ37)))</f>
        <v>505.00000000000011</v>
      </c>
      <c r="AJ38" s="13">
        <f>AI38*VLOOKUP('Données projet'!$B$10,Paramètres!$A$1:$I$89,3,0)*VLOOKUP('Données projet'!$B$10,Paramètres!$A$1:$I$89,5,0)</f>
        <v>282.29500000000007</v>
      </c>
      <c r="AK38" s="13">
        <f t="shared" si="35"/>
        <v>67.451777696853824</v>
      </c>
      <c r="AL38" s="20">
        <f t="shared" si="4"/>
        <v>609.14230448868716</v>
      </c>
      <c r="AM38" s="59">
        <f t="shared" si="5"/>
        <v>902.47563782202042</v>
      </c>
      <c r="AN38" s="59">
        <f ca="1">AVERAGE(OFFSET($AM$3,0,0,'Données projet'!$E$10+1,1))-AVERAGE(OFFSET($H$3,0,0,'Données projet'!$E$10+1,1))</f>
        <v>280.11276976762787</v>
      </c>
      <c r="AO38" s="59">
        <f t="shared" si="36"/>
        <v>471.89239871617241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69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0.36965500000000007</v>
      </c>
      <c r="AT38" s="16">
        <f>IF(ISNA(VLOOKUP(A38,'Données projet'!$A$61:$I$81,7,0)),0%,VLOOKUP(A38,'Données projet'!$A$61:$I$81,7,0))</f>
        <v>0.33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38.992788805687738</v>
      </c>
      <c r="AW38" s="21">
        <f>EXP(-LN(2)/2)*AW37+(1-EXP(-LN(2)/2))/(LN(2)/2)*AQ38*AT38*VLOOKUP('Données projet'!$B$10,Paramètres!$A$1:$I$89,3,0)*0.475*44/12</f>
        <v>17.211237797664118</v>
      </c>
      <c r="AX38" s="21">
        <f t="shared" si="6"/>
        <v>56.204026603351856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0</v>
      </c>
      <c r="BJ38" s="59">
        <f t="shared" si="38"/>
        <v>0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0</v>
      </c>
      <c r="CE38" s="59">
        <f t="shared" si="40"/>
        <v>0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27</v>
      </c>
      <c r="N39" s="13">
        <f>IF('Données projet'!$A$36&gt;35,N38+M39-V38,IF(A39&lt;'Données projet'!$A$36,$K$205^A39,IF(A39='Données projet'!$A$36,'Données projet'!$B$36,N38+M39-V38)))</f>
        <v>530.99999999999989</v>
      </c>
      <c r="O39" s="13">
        <f>N39*VLOOKUP('Données projet'!$B$9,Paramètres!$A$1:$I$89,3,0)*VLOOKUP('Données projet'!$B$9,Paramètres!$A$1:$I$89,5,0)</f>
        <v>296.82899999999995</v>
      </c>
      <c r="P39" s="13">
        <f t="shared" si="33"/>
        <v>70.511289513454344</v>
      </c>
      <c r="Q39" s="20">
        <f t="shared" si="53"/>
        <v>639.78433756926631</v>
      </c>
      <c r="R39" s="59">
        <f t="shared" si="0"/>
        <v>933.11767090259968</v>
      </c>
      <c r="S39" s="59">
        <f ca="1">AVERAGE(OFFSET($R$3,0,0,'Données projet'!$E$9+1,1))-AVERAGE(OFFSET($H$3,0,0,'Données projet'!$E$9+1,1))</f>
        <v>354.30476036506167</v>
      </c>
      <c r="T39" s="59">
        <f t="shared" si="34"/>
        <v>593.51433014569966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8.9247526214170616</v>
      </c>
      <c r="AA39" s="21">
        <f>EXP(-LN(2)/25)*AA38+(1-EXP(-LN(2)/25))/(LN(2)/25)*Calculateur!V39*Calculateur!X39*VLOOKUP('Données projet'!$B$9,Paramètres!$A$1:$I$89,3,0)*0.475*44/12</f>
        <v>48.220914880225209</v>
      </c>
      <c r="AB39" s="21">
        <f>EXP(-LN(2)/2)*AB38+(1-EXP(-LN(2)/2))/(LN(2)/2)*V39*Y39*VLOOKUP('Données projet'!$B$9,Paramètres!$A$1:$I$89,3,0)*0.475*44/12</f>
        <v>12.70664377339344</v>
      </c>
      <c r="AC39" s="22">
        <f t="shared" si="3"/>
        <v>69.852311275035717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25.6</v>
      </c>
      <c r="AI39" s="13">
        <f>IF('Données projet'!$A$62&gt;35,AI38+AH39-AQ38,IF(A39&lt;'Données projet'!$A$62,$AF$205^A39,IF(A39='Données projet'!$A$62,'Données projet'!$B$62,AI38+AH39-AQ38)))</f>
        <v>461.60000000000014</v>
      </c>
      <c r="AJ39" s="13">
        <f>AI39*VLOOKUP('Données projet'!$B$10,Paramètres!$A$1:$I$89,3,0)*VLOOKUP('Données projet'!$B$10,Paramètres!$A$1:$I$89,5,0)</f>
        <v>258.03440000000006</v>
      </c>
      <c r="AK39" s="13">
        <f t="shared" si="35"/>
        <v>62.303206596431174</v>
      </c>
      <c r="AL39" s="20">
        <f t="shared" si="4"/>
        <v>557.9213314887844</v>
      </c>
      <c r="AM39" s="59">
        <f t="shared" si="5"/>
        <v>851.25466482211777</v>
      </c>
      <c r="AN39" s="59">
        <f ca="1">AVERAGE(OFFSET($AM$3,0,0,'Données projet'!$E$10+1,1))-AVERAGE(OFFSET($H$3,0,0,'Données projet'!$E$10+1,1))</f>
        <v>280.11276976762787</v>
      </c>
      <c r="AO39" s="59">
        <f t="shared" si="36"/>
        <v>471.89239871617241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37.92652894525456</v>
      </c>
      <c r="AW39" s="21">
        <f>EXP(-LN(2)/2)*AW38+(1-EXP(-LN(2)/2))/(LN(2)/2)*AQ39*AT39*VLOOKUP('Données projet'!$B$10,Paramètres!$A$1:$I$89,3,0)*0.475*44/12</f>
        <v>12.170182959342519</v>
      </c>
      <c r="AX39" s="21">
        <f t="shared" si="6"/>
        <v>50.096711904597079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0</v>
      </c>
      <c r="BJ39" s="59">
        <f t="shared" si="38"/>
        <v>0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0</v>
      </c>
      <c r="CE39" s="59">
        <f t="shared" si="40"/>
        <v>0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27</v>
      </c>
      <c r="N40" s="13">
        <f>IF('Données projet'!$A$36&gt;35,N39+M40-V39,IF(A40&lt;'Données projet'!$A$36,$K$205^A40,IF(A40='Données projet'!$A$36,'Données projet'!$B$36,N39+M40-V39)))</f>
        <v>557.99999999999989</v>
      </c>
      <c r="O40" s="13">
        <f>N40*VLOOKUP('Données projet'!$B$9,Paramètres!$A$1:$I$89,3,0)*VLOOKUP('Données projet'!$B$9,Paramètres!$A$1:$I$89,5,0)</f>
        <v>311.92199999999991</v>
      </c>
      <c r="P40" s="13">
        <f t="shared" si="33"/>
        <v>73.670075764965745</v>
      </c>
      <c r="Q40" s="20">
        <f t="shared" si="53"/>
        <v>671.57286529064845</v>
      </c>
      <c r="R40" s="59">
        <f t="shared" si="0"/>
        <v>964.90619862398171</v>
      </c>
      <c r="S40" s="59">
        <f ca="1">AVERAGE(OFFSET($R$3,0,0,'Données projet'!$E$9+1,1))-AVERAGE(OFFSET($H$3,0,0,'Données projet'!$E$9+1,1))</f>
        <v>354.30476036506167</v>
      </c>
      <c r="T40" s="59">
        <f t="shared" si="34"/>
        <v>593.51433014569966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8.7497436660726642</v>
      </c>
      <c r="AA40" s="21">
        <f>EXP(-LN(2)/25)*AA39+(1-EXP(-LN(2)/25))/(LN(2)/25)*Calculateur!V40*Calculateur!X40*VLOOKUP('Données projet'!$B$9,Paramètres!$A$1:$I$89,3,0)*0.475*44/12</f>
        <v>46.902311426997748</v>
      </c>
      <c r="AB40" s="21">
        <f>EXP(-LN(2)/2)*AB39+(1-EXP(-LN(2)/2))/(LN(2)/2)*V40*Y40*VLOOKUP('Données projet'!$B$9,Paramètres!$A$1:$I$89,3,0)*0.475*44/12</f>
        <v>8.9849539782883223</v>
      </c>
      <c r="AC40" s="22">
        <f t="shared" si="3"/>
        <v>64.637009071358733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25.6</v>
      </c>
      <c r="AI40" s="13">
        <f>IF('Données projet'!$A$62&gt;35,AI39+AH40-AQ39,IF(A40&lt;'Données projet'!$A$62,$AF$205^A40,IF(A40='Données projet'!$A$62,'Données projet'!$B$62,AI39+AH40-AQ39)))</f>
        <v>487.20000000000016</v>
      </c>
      <c r="AJ40" s="13">
        <f>AI40*VLOOKUP('Données projet'!$B$10,Paramètres!$A$1:$I$89,3,0)*VLOOKUP('Données projet'!$B$10,Paramètres!$A$1:$I$89,5,0)</f>
        <v>272.34480000000008</v>
      </c>
      <c r="AK40" s="13">
        <f t="shared" si="35"/>
        <v>65.346644318451709</v>
      </c>
      <c r="AL40" s="20">
        <f t="shared" si="4"/>
        <v>588.14593218797006</v>
      </c>
      <c r="AM40" s="59">
        <f t="shared" si="5"/>
        <v>881.47926552130343</v>
      </c>
      <c r="AN40" s="59">
        <f ca="1">AVERAGE(OFFSET($AM$3,0,0,'Données projet'!$E$10+1,1))-AVERAGE(OFFSET($H$3,0,0,'Données projet'!$E$10+1,1))</f>
        <v>280.11276976762787</v>
      </c>
      <c r="AO40" s="59">
        <f t="shared" si="36"/>
        <v>471.89239871617241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36.889426016777101</v>
      </c>
      <c r="AW40" s="21">
        <f>EXP(-LN(2)/2)*AW39+(1-EXP(-LN(2)/2))/(LN(2)/2)*AQ40*AT40*VLOOKUP('Données projet'!$B$10,Paramètres!$A$1:$I$89,3,0)*0.475*44/12</f>
        <v>8.605618898832061</v>
      </c>
      <c r="AX40" s="21">
        <f t="shared" si="6"/>
        <v>45.495044915609164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0</v>
      </c>
      <c r="BJ40" s="59">
        <f t="shared" si="38"/>
        <v>0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0</v>
      </c>
      <c r="CE40" s="59">
        <f t="shared" si="40"/>
        <v>0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27</v>
      </c>
      <c r="N41" s="13">
        <f>IF('Données projet'!$A$36&gt;35,N40+M41-V40,IF(A41&lt;'Données projet'!$A$36,$K$205^A41,IF(A41='Données projet'!$A$36,'Données projet'!$B$36,N40+M41-V40)))</f>
        <v>584.99999999999989</v>
      </c>
      <c r="O41" s="13">
        <f>N41*VLOOKUP('Données projet'!$B$9,Paramètres!$A$1:$I$89,3,0)*VLOOKUP('Données projet'!$B$9,Paramètres!$A$1:$I$89,5,0)</f>
        <v>327.01499999999993</v>
      </c>
      <c r="P41" s="13">
        <f t="shared" si="33"/>
        <v>76.811113612871907</v>
      </c>
      <c r="Q41" s="20">
        <f t="shared" si="53"/>
        <v>703.33048120908506</v>
      </c>
      <c r="R41" s="59">
        <f t="shared" si="0"/>
        <v>996.66381454241832</v>
      </c>
      <c r="S41" s="59">
        <f ca="1">AVERAGE(OFFSET($R$3,0,0,'Données projet'!$E$9+1,1))-AVERAGE(OFFSET($H$3,0,0,'Données projet'!$E$9+1,1))</f>
        <v>354.30476036506167</v>
      </c>
      <c r="T41" s="59">
        <f t="shared" si="34"/>
        <v>593.51433014569966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8.5781665295976488</v>
      </c>
      <c r="AA41" s="21">
        <f>EXP(-LN(2)/25)*AA40+(1-EXP(-LN(2)/25))/(LN(2)/25)*Calculateur!V41*Calculateur!X41*VLOOKUP('Données projet'!$B$9,Paramètres!$A$1:$I$89,3,0)*0.475*44/12</f>
        <v>45.619765254541136</v>
      </c>
      <c r="AB41" s="21">
        <f>EXP(-LN(2)/2)*AB40+(1-EXP(-LN(2)/2))/(LN(2)/2)*V41*Y41*VLOOKUP('Données projet'!$B$9,Paramètres!$A$1:$I$89,3,0)*0.475*44/12</f>
        <v>6.3533218866967207</v>
      </c>
      <c r="AC41" s="22">
        <f t="shared" si="3"/>
        <v>60.551253670835507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25.6</v>
      </c>
      <c r="AI41" s="13">
        <f>IF('Données projet'!$A$62&gt;35,AI40+AH41-AQ40,IF(A41&lt;'Données projet'!$A$62,$AF$205^A41,IF(A41='Données projet'!$A$62,'Données projet'!$B$62,AI40+AH41-AQ40)))</f>
        <v>512.80000000000018</v>
      </c>
      <c r="AJ41" s="13">
        <f>AI41*VLOOKUP('Données projet'!$B$10,Paramètres!$A$1:$I$89,3,0)*VLOOKUP('Données projet'!$B$10,Paramètres!$A$1:$I$89,5,0)</f>
        <v>286.65520000000009</v>
      </c>
      <c r="AK41" s="13">
        <f t="shared" si="35"/>
        <v>68.37151538584105</v>
      </c>
      <c r="AL41" s="20">
        <f t="shared" si="4"/>
        <v>618.33819596367323</v>
      </c>
      <c r="AM41" s="59">
        <f t="shared" si="5"/>
        <v>911.6715292970066</v>
      </c>
      <c r="AN41" s="59">
        <f ca="1">AVERAGE(OFFSET($AM$3,0,0,'Données projet'!$E$10+1,1))-AVERAGE(OFFSET($H$3,0,0,'Données projet'!$E$10+1,1))</f>
        <v>280.11276976762787</v>
      </c>
      <c r="AO41" s="59">
        <f t="shared" si="36"/>
        <v>471.89239871617241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35.880682722417731</v>
      </c>
      <c r="AW41" s="21">
        <f>EXP(-LN(2)/2)*AW40+(1-EXP(-LN(2)/2))/(LN(2)/2)*AQ41*AT41*VLOOKUP('Données projet'!$B$10,Paramètres!$A$1:$I$89,3,0)*0.475*44/12</f>
        <v>6.0850914796712603</v>
      </c>
      <c r="AX41" s="21">
        <f t="shared" si="6"/>
        <v>41.965774202088994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0</v>
      </c>
      <c r="BJ41" s="59">
        <f t="shared" si="38"/>
        <v>0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0</v>
      </c>
      <c r="CE41" s="59">
        <f t="shared" si="40"/>
        <v>0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27</v>
      </c>
      <c r="N42" s="13">
        <f>IF('Données projet'!$A$36&gt;35,N41+M42-V41,IF(A42&lt;'Données projet'!$A$36,$K$205^A42,IF(A42='Données projet'!$A$36,'Données projet'!$B$36,N41+M42-V41)))</f>
        <v>611.99999999999989</v>
      </c>
      <c r="O42" s="13">
        <f>N42*VLOOKUP('Données projet'!$B$9,Paramètres!$A$1:$I$89,3,0)*VLOOKUP('Données projet'!$B$9,Paramètres!$A$1:$I$89,5,0)</f>
        <v>342.10799999999995</v>
      </c>
      <c r="P42" s="13">
        <f t="shared" si="33"/>
        <v>79.935315774430151</v>
      </c>
      <c r="Q42" s="20">
        <f t="shared" si="53"/>
        <v>735.0587749737989</v>
      </c>
      <c r="R42" s="59">
        <f t="shared" si="0"/>
        <v>1028.3921083071323</v>
      </c>
      <c r="S42" s="59">
        <f ca="1">AVERAGE(OFFSET($R$3,0,0,'Données projet'!$E$9+1,1))-AVERAGE(OFFSET($H$3,0,0,'Données projet'!$E$9+1,1))</f>
        <v>354.30476036506167</v>
      </c>
      <c r="T42" s="59">
        <f t="shared" si="34"/>
        <v>593.51433014569966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8.409953916117189</v>
      </c>
      <c r="AA42" s="21">
        <f>EXP(-LN(2)/25)*AA41+(1-EXP(-LN(2)/25))/(LN(2)/25)*Calculateur!V42*Calculateur!X42*VLOOKUP('Données projet'!$B$9,Paramètres!$A$1:$I$89,3,0)*0.475*44/12</f>
        <v>44.372290374616519</v>
      </c>
      <c r="AB42" s="21">
        <f>EXP(-LN(2)/2)*AB41+(1-EXP(-LN(2)/2))/(LN(2)/2)*V42*Y42*VLOOKUP('Données projet'!$B$9,Paramètres!$A$1:$I$89,3,0)*0.475*44/12</f>
        <v>4.492476989144162</v>
      </c>
      <c r="AC42" s="22">
        <f t="shared" si="3"/>
        <v>57.274721279877866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25.6</v>
      </c>
      <c r="AI42" s="13">
        <f>IF('Données projet'!$A$62&gt;35,AI41+AH42-AQ41,IF(A42&lt;'Données projet'!$A$62,$AF$205^A42,IF(A42='Données projet'!$A$62,'Données projet'!$B$62,AI41+AH42-AQ41)))</f>
        <v>538.4000000000002</v>
      </c>
      <c r="AJ42" s="13">
        <f>AI42*VLOOKUP('Données projet'!$B$10,Paramètres!$A$1:$I$89,3,0)*VLOOKUP('Données projet'!$B$10,Paramètres!$A$1:$I$89,5,0)</f>
        <v>300.96560000000011</v>
      </c>
      <c r="AK42" s="13">
        <f t="shared" si="35"/>
        <v>71.378852450242803</v>
      </c>
      <c r="AL42" s="20">
        <f t="shared" si="4"/>
        <v>648.49992135083971</v>
      </c>
      <c r="AM42" s="59">
        <f t="shared" si="5"/>
        <v>941.83325468417297</v>
      </c>
      <c r="AN42" s="59">
        <f ca="1">AVERAGE(OFFSET($AM$3,0,0,'Données projet'!$E$10+1,1))-AVERAGE(OFFSET($H$3,0,0,'Données projet'!$E$10+1,1))</f>
        <v>280.11276976762787</v>
      </c>
      <c r="AO42" s="59">
        <f t="shared" si="36"/>
        <v>471.89239871617241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34.899523566490117</v>
      </c>
      <c r="AW42" s="21">
        <f>EXP(-LN(2)/2)*AW41+(1-EXP(-LN(2)/2))/(LN(2)/2)*AQ42*AT42*VLOOKUP('Données projet'!$B$10,Paramètres!$A$1:$I$89,3,0)*0.475*44/12</f>
        <v>4.3028094494160305</v>
      </c>
      <c r="AX42" s="21">
        <f t="shared" si="6"/>
        <v>39.202333015906149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0</v>
      </c>
      <c r="BJ42" s="59">
        <f t="shared" si="38"/>
        <v>0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0</v>
      </c>
      <c r="CE42" s="59">
        <f t="shared" si="40"/>
        <v>0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639</v>
      </c>
      <c r="L43" s="12">
        <f>VLOOKUP(A43,'Données projet'!$A$35:$I$55,9,0)</f>
        <v>27</v>
      </c>
      <c r="M43" s="12">
        <f t="array" ref="M43">INDEX(L:L,MIN(IF(ISNUMBER(L43:L239),ROW(L43:L239),"")))</f>
        <v>27</v>
      </c>
      <c r="N43" s="13">
        <f>IF('Données projet'!$A$36&gt;35,N42+M43-V42,IF(A43&lt;'Données projet'!$A$36,$K$205^A43,IF(A43='Données projet'!$A$36,'Données projet'!$B$36,N42+M43-V42)))</f>
        <v>638.99999999999989</v>
      </c>
      <c r="O43" s="13">
        <f>N43*VLOOKUP('Données projet'!$B$9,Paramètres!$A$1:$I$89,3,0)*VLOOKUP('Données projet'!$B$9,Paramètres!$A$1:$I$89,5,0)</f>
        <v>357.20099999999991</v>
      </c>
      <c r="P43" s="13">
        <f t="shared" si="33"/>
        <v>83.043509879488369</v>
      </c>
      <c r="Q43" s="20">
        <f t="shared" si="53"/>
        <v>766.75918804010871</v>
      </c>
      <c r="R43" s="59">
        <f t="shared" si="0"/>
        <v>1060.092521373442</v>
      </c>
      <c r="S43" s="59">
        <f ca="1">AVERAGE(OFFSET($R$3,0,0,'Données projet'!$E$9+1,1))-AVERAGE(OFFSET($H$3,0,0,'Données projet'!$E$9+1,1))</f>
        <v>354.30476036506167</v>
      </c>
      <c r="T43" s="59">
        <f t="shared" si="34"/>
        <v>593.51433014569966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77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8.245039849387517</v>
      </c>
      <c r="AA43" s="21">
        <f>EXP(-LN(2)/25)*AA42+(1-EXP(-LN(2)/25))/(LN(2)/25)*Calculateur!V43*Calculateur!X43*VLOOKUP('Données projet'!$B$9,Paramètres!$A$1:$I$89,3,0)*0.475*44/12</f>
        <v>43.158927760885291</v>
      </c>
      <c r="AB43" s="21">
        <f>EXP(-LN(2)/2)*AB42+(1-EXP(-LN(2)/2))/(LN(2)/2)*V43*Y43*VLOOKUP('Données projet'!$B$9,Paramètres!$A$1:$I$89,3,0)*0.475*44/12</f>
        <v>3.1766609433483612</v>
      </c>
      <c r="AC43" s="22">
        <f t="shared" si="3"/>
        <v>54.580628553621167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564</v>
      </c>
      <c r="AG43" s="12">
        <f>VLOOKUP(A43,'Données projet'!$A$61:$I$81,9,0)</f>
        <v>25.6</v>
      </c>
      <c r="AH43" s="12">
        <f t="array" ref="AH43">INDEX(AG:AG,MIN(IF(ISNUMBER(AG43:AG239),ROW(AG43:AG239),"")))</f>
        <v>25.6</v>
      </c>
      <c r="AI43" s="13">
        <f>IF('Données projet'!$A$62&gt;35,AI42+AH43-AQ42,IF(A43&lt;'Données projet'!$A$62,$AF$205^A43,IF(A43='Données projet'!$A$62,'Données projet'!$B$62,AI42+AH43-AQ42)))</f>
        <v>564.00000000000023</v>
      </c>
      <c r="AJ43" s="13">
        <f>AI43*VLOOKUP('Données projet'!$B$10,Paramètres!$A$1:$I$89,3,0)*VLOOKUP('Données projet'!$B$10,Paramètres!$A$1:$I$89,5,0)</f>
        <v>315.27600000000012</v>
      </c>
      <c r="AK43" s="13">
        <f t="shared" si="35"/>
        <v>74.36958441265493</v>
      </c>
      <c r="AL43" s="20">
        <f t="shared" si="4"/>
        <v>678.63272618537417</v>
      </c>
      <c r="AM43" s="59">
        <f t="shared" si="5"/>
        <v>971.96605951870743</v>
      </c>
      <c r="AN43" s="59">
        <f ca="1">AVERAGE(OFFSET($AM$3,0,0,'Données projet'!$E$10+1,1))-AVERAGE(OFFSET($H$3,0,0,'Données projet'!$E$10+1,1))</f>
        <v>280.11276976762787</v>
      </c>
      <c r="AO43" s="59">
        <f t="shared" si="36"/>
        <v>471.89239871617241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72</v>
      </c>
      <c r="AR43" s="16">
        <f>IF(ISNA(VLOOKUP(A43,'Données projet'!$A$61:$I$81,5,0)),0%,VLOOKUP(A43,'Données projet'!$A$61:$I$81,5,0)*VLOOKUP('Données projet'!$B$10,Paramètres!$A$1:$I$89,7,0))</f>
        <v>0.17050000000000001</v>
      </c>
      <c r="AS43" s="16">
        <f>IF(ISNA(VLOOKUP(A43,'Données projet'!$A$61:$I$81,6,0)),0%,VLOOKUP(A43,'Données projet'!$A$61:$I$81,6,0)*VLOOKUP('Données projet'!$B$10,Paramètres!$A$1:$I$89,7,0))</f>
        <v>0.20625000000000002</v>
      </c>
      <c r="AT43" s="16">
        <f>IF(ISNA(VLOOKUP(A43,'Données projet'!$A$61:$I$81,7,0)),0%,VLOOKUP(A43,'Données projet'!$A$61:$I$81,7,0))</f>
        <v>0.31</v>
      </c>
      <c r="AU43" s="21">
        <f>EXP(-LN(2)/35)*AU42+(1-EXP(-LN(2)/35))/(LN(2)/35)*AQ43*AR43*VLOOKUP('Données projet'!$B$10,Paramètres!$A$1:$I$89,3,0)*0.475*44/12</f>
        <v>9.1032620375314686</v>
      </c>
      <c r="AV43" s="21">
        <f>EXP(-LN(2)/25)*AV42+(1-EXP(-LN(2)/25))/(LN(2)/25)*Calculateur!AQ43*Calculateur!AS43*VLOOKUP('Données projet'!$B$10,Paramètres!$A$1:$I$89,3,0)*0.475*44/12</f>
        <v>44.913846307191498</v>
      </c>
      <c r="AW43" s="21">
        <f>EXP(-LN(2)/2)*AW42+(1-EXP(-LN(2)/2))/(LN(2)/2)*AQ43*AT43*VLOOKUP('Données projet'!$B$10,Paramètres!$A$1:$I$89,3,0)*0.475*44/12</f>
        <v>17.169272248197643</v>
      </c>
      <c r="AX43" s="21">
        <f t="shared" si="6"/>
        <v>71.186380592920614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0</v>
      </c>
      <c r="BJ43" s="59">
        <f t="shared" si="38"/>
        <v>0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0</v>
      </c>
      <c r="CE43" s="59">
        <f t="shared" si="40"/>
        <v>0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24.8</v>
      </c>
      <c r="N44" s="13">
        <f>IF('Données projet'!$A$36&gt;35,N43+M44-V43,IF(A44&lt;'Données projet'!$A$36,$K$205^A44,IF(A44='Données projet'!$A$36,'Données projet'!$B$36,N43+M44-V43)))</f>
        <v>586.79999999999984</v>
      </c>
      <c r="O44" s="13">
        <f>N44*VLOOKUP('Données projet'!$B$9,Paramètres!$A$1:$I$89,3,0)*VLOOKUP('Données projet'!$B$9,Paramètres!$A$1:$I$89,5,0)</f>
        <v>328.02119999999991</v>
      </c>
      <c r="P44" s="13">
        <f t="shared" si="33"/>
        <v>77.019907950957702</v>
      </c>
      <c r="Q44" s="20">
        <f t="shared" si="53"/>
        <v>705.44659634791776</v>
      </c>
      <c r="R44" s="59">
        <f t="shared" si="0"/>
        <v>998.77992968125113</v>
      </c>
      <c r="S44" s="59">
        <f ca="1">AVERAGE(OFFSET($R$3,0,0,'Données projet'!$E$9+1,1))-AVERAGE(OFFSET($H$3,0,0,'Données projet'!$E$9+1,1))</f>
        <v>354.30476036506167</v>
      </c>
      <c r="T44" s="59">
        <f t="shared" si="34"/>
        <v>593.51433014569966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8.0833596469187654</v>
      </c>
      <c r="AA44" s="21">
        <f>EXP(-LN(2)/25)*AA43+(1-EXP(-LN(2)/25))/(LN(2)/25)*Calculateur!V44*Calculateur!X44*VLOOKUP('Données projet'!$B$9,Paramètres!$A$1:$I$89,3,0)*0.475*44/12</f>
        <v>41.978744611634511</v>
      </c>
      <c r="AB44" s="21">
        <f>EXP(-LN(2)/2)*AB43+(1-EXP(-LN(2)/2))/(LN(2)/2)*V44*Y44*VLOOKUP('Données projet'!$B$9,Paramètres!$A$1:$I$89,3,0)*0.475*44/12</f>
        <v>2.2462384945720815</v>
      </c>
      <c r="AC44" s="22">
        <f t="shared" si="3"/>
        <v>52.308342753125359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22.8</v>
      </c>
      <c r="AI44" s="13">
        <f>IF('Données projet'!$A$62&gt;35,AI43+AH44-AQ43,IF(A44&lt;'Données projet'!$A$62,$AF$205^A44,IF(A44='Données projet'!$A$62,'Données projet'!$B$62,AI43+AH44-AQ43)))</f>
        <v>514.80000000000018</v>
      </c>
      <c r="AJ44" s="13">
        <f>AI44*VLOOKUP('Données projet'!$B$10,Paramètres!$A$1:$I$89,3,0)*VLOOKUP('Données projet'!$B$10,Paramètres!$A$1:$I$89,5,0)</f>
        <v>287.77320000000009</v>
      </c>
      <c r="AK44" s="13">
        <f t="shared" si="35"/>
        <v>68.607082381743922</v>
      </c>
      <c r="AL44" s="20">
        <f t="shared" si="4"/>
        <v>620.69565848153741</v>
      </c>
      <c r="AM44" s="59">
        <f t="shared" si="5"/>
        <v>914.02899181487078</v>
      </c>
      <c r="AN44" s="59">
        <f ca="1">AVERAGE(OFFSET($AM$3,0,0,'Données projet'!$E$10+1,1))-AVERAGE(OFFSET($H$3,0,0,'Données projet'!$E$10+1,1))</f>
        <v>280.11276976762787</v>
      </c>
      <c r="AO44" s="59">
        <f t="shared" si="36"/>
        <v>471.89239871617241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8.9247526214170616</v>
      </c>
      <c r="AV44" s="21">
        <f>EXP(-LN(2)/25)*AV43+(1-EXP(-LN(2)/25))/(LN(2)/25)*Calculateur!AQ44*Calculateur!AS44*VLOOKUP('Données projet'!$B$10,Paramètres!$A$1:$I$89,3,0)*0.475*44/12</f>
        <v>43.68567481800482</v>
      </c>
      <c r="AW44" s="21">
        <f>EXP(-LN(2)/2)*AW43+(1-EXP(-LN(2)/2))/(LN(2)/2)*AQ44*AT44*VLOOKUP('Données projet'!$B$10,Paramètres!$A$1:$I$89,3,0)*0.475*44/12</f>
        <v>12.140508834738554</v>
      </c>
      <c r="AX44" s="21">
        <f t="shared" si="6"/>
        <v>64.750936274160438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0</v>
      </c>
      <c r="BJ44" s="59">
        <f t="shared" si="38"/>
        <v>0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0</v>
      </c>
      <c r="CE44" s="59">
        <f t="shared" si="40"/>
        <v>0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24.8</v>
      </c>
      <c r="N45" s="13">
        <f>IF('Données projet'!$A$36&gt;35,N44+M45-V44,IF(A45&lt;'Données projet'!$A$36,$K$205^A45,IF(A45='Données projet'!$A$36,'Données projet'!$B$36,N44+M45-V44)))</f>
        <v>611.5999999999998</v>
      </c>
      <c r="O45" s="13">
        <f>N45*VLOOKUP('Données projet'!$B$9,Paramètres!$A$1:$I$89,3,0)*VLOOKUP('Données projet'!$B$9,Paramètres!$A$1:$I$89,5,0)</f>
        <v>341.88439999999986</v>
      </c>
      <c r="P45" s="13">
        <f t="shared" si="33"/>
        <v>79.889150066970018</v>
      </c>
      <c r="Q45" s="20">
        <f t="shared" si="53"/>
        <v>734.58893303330581</v>
      </c>
      <c r="R45" s="59">
        <f t="shared" si="0"/>
        <v>1027.9222663666392</v>
      </c>
      <c r="S45" s="59">
        <f ca="1">AVERAGE(OFFSET($R$3,0,0,'Données projet'!$E$9+1,1))-AVERAGE(OFFSET($H$3,0,0,'Données projet'!$E$9+1,1))</f>
        <v>354.30476036506167</v>
      </c>
      <c r="T45" s="59">
        <f t="shared" si="34"/>
        <v>593.51433014569966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7.9248498946052406</v>
      </c>
      <c r="AA45" s="21">
        <f>EXP(-LN(2)/25)*AA44+(1-EXP(-LN(2)/25))/(LN(2)/25)*Calculateur!V45*Calculateur!X45*VLOOKUP('Données projet'!$B$9,Paramètres!$A$1:$I$89,3,0)*0.475*44/12</f>
        <v>40.830833632663129</v>
      </c>
      <c r="AB45" s="21">
        <f>EXP(-LN(2)/2)*AB44+(1-EXP(-LN(2)/2))/(LN(2)/2)*V45*Y45*VLOOKUP('Données projet'!$B$9,Paramètres!$A$1:$I$89,3,0)*0.475*44/12</f>
        <v>1.5883304716741808</v>
      </c>
      <c r="AC45" s="22">
        <f t="shared" si="3"/>
        <v>50.34401399894255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22.8</v>
      </c>
      <c r="AI45" s="13">
        <f>IF('Données projet'!$A$62&gt;35,AI44+AH45-AQ44,IF(A45&lt;'Données projet'!$A$62,$AF$205^A45,IF(A45='Données projet'!$A$62,'Données projet'!$B$62,AI44+AH45-AQ44)))</f>
        <v>537.60000000000014</v>
      </c>
      <c r="AJ45" s="13">
        <f>AI45*VLOOKUP('Données projet'!$B$10,Paramètres!$A$1:$I$89,3,0)*VLOOKUP('Données projet'!$B$10,Paramètres!$A$1:$I$89,5,0)</f>
        <v>300.5184000000001</v>
      </c>
      <c r="AK45" s="13">
        <f t="shared" si="35"/>
        <v>71.285129105116411</v>
      </c>
      <c r="AL45" s="20">
        <f t="shared" si="4"/>
        <v>647.55781319141124</v>
      </c>
      <c r="AM45" s="59">
        <f t="shared" si="5"/>
        <v>940.8911465247445</v>
      </c>
      <c r="AN45" s="59">
        <f ca="1">AVERAGE(OFFSET($AM$3,0,0,'Données projet'!$E$10+1,1))-AVERAGE(OFFSET($H$3,0,0,'Données projet'!$E$10+1,1))</f>
        <v>280.11276976762787</v>
      </c>
      <c r="AO45" s="59">
        <f t="shared" si="36"/>
        <v>471.89239871617241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8.7497436660726642</v>
      </c>
      <c r="AV45" s="21">
        <f>EXP(-LN(2)/25)*AV44+(1-EXP(-LN(2)/25))/(LN(2)/25)*Calculateur!AQ45*Calculateur!AS45*VLOOKUP('Données projet'!$B$10,Paramètres!$A$1:$I$89,3,0)*0.475*44/12</f>
        <v>42.491087742776685</v>
      </c>
      <c r="AW45" s="21">
        <f>EXP(-LN(2)/2)*AW44+(1-EXP(-LN(2)/2))/(LN(2)/2)*AQ45*AT45*VLOOKUP('Données projet'!$B$10,Paramètres!$A$1:$I$89,3,0)*0.475*44/12</f>
        <v>8.5846361240988234</v>
      </c>
      <c r="AX45" s="21">
        <f t="shared" si="6"/>
        <v>59.825467532948167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0</v>
      </c>
      <c r="BJ45" s="59">
        <f t="shared" si="38"/>
        <v>0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0</v>
      </c>
      <c r="CE45" s="59">
        <f t="shared" si="40"/>
        <v>0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24.8</v>
      </c>
      <c r="N46" s="13">
        <f>IF('Données projet'!$A$36&gt;35,N45+M46-V45,IF(A46&lt;'Données projet'!$A$36,$K$205^A46,IF(A46='Données projet'!$A$36,'Données projet'!$B$36,N45+M46-V45)))</f>
        <v>636.39999999999975</v>
      </c>
      <c r="O46" s="13">
        <f>N46*VLOOKUP('Données projet'!$B$9,Paramètres!$A$1:$I$89,3,0)*VLOOKUP('Données projet'!$B$9,Paramètres!$A$1:$I$89,5,0)</f>
        <v>355.74759999999986</v>
      </c>
      <c r="P46" s="13">
        <f t="shared" si="33"/>
        <v>82.744877508992289</v>
      </c>
      <c r="Q46" s="20">
        <f t="shared" si="53"/>
        <v>763.70773166149456</v>
      </c>
      <c r="R46" s="59">
        <f t="shared" si="0"/>
        <v>1057.0410649948278</v>
      </c>
      <c r="S46" s="59">
        <f ca="1">AVERAGE(OFFSET($R$3,0,0,'Données projet'!$E$9+1,1))-AVERAGE(OFFSET($H$3,0,0,'Données projet'!$E$9+1,1))</f>
        <v>354.30476036506167</v>
      </c>
      <c r="T46" s="59">
        <f t="shared" si="34"/>
        <v>593.51433014569966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7.7694484218531814</v>
      </c>
      <c r="AA46" s="21">
        <f>EXP(-LN(2)/25)*AA45+(1-EXP(-LN(2)/25))/(LN(2)/25)*Calculateur!V46*Calculateur!X46*VLOOKUP('Données projet'!$B$9,Paramètres!$A$1:$I$89,3,0)*0.475*44/12</f>
        <v>39.714312339777734</v>
      </c>
      <c r="AB46" s="21">
        <f>EXP(-LN(2)/2)*AB45+(1-EXP(-LN(2)/2))/(LN(2)/2)*V46*Y46*VLOOKUP('Données projet'!$B$9,Paramètres!$A$1:$I$89,3,0)*0.475*44/12</f>
        <v>1.123119247286041</v>
      </c>
      <c r="AC46" s="22">
        <f t="shared" si="3"/>
        <v>48.60688000891696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22.8</v>
      </c>
      <c r="AI46" s="13">
        <f>IF('Données projet'!$A$62&gt;35,AI45+AH46-AQ45,IF(A46&lt;'Données projet'!$A$62,$AF$205^A46,IF(A46='Données projet'!$A$62,'Données projet'!$B$62,AI45+AH46-AQ45)))</f>
        <v>560.40000000000009</v>
      </c>
      <c r="AJ46" s="13">
        <f>AI46*VLOOKUP('Données projet'!$B$10,Paramètres!$A$1:$I$89,3,0)*VLOOKUP('Données projet'!$B$10,Paramètres!$A$1:$I$89,5,0)</f>
        <v>313.26360000000005</v>
      </c>
      <c r="AK46" s="13">
        <f t="shared" si="35"/>
        <v>73.949983766039026</v>
      </c>
      <c r="AL46" s="20">
        <f t="shared" si="4"/>
        <v>674.39699172585131</v>
      </c>
      <c r="AM46" s="59">
        <f t="shared" si="5"/>
        <v>967.73032505918468</v>
      </c>
      <c r="AN46" s="59">
        <f ca="1">AVERAGE(OFFSET($AM$3,0,0,'Données projet'!$E$10+1,1))-AVERAGE(OFFSET($H$3,0,0,'Données projet'!$E$10+1,1))</f>
        <v>280.11276976762787</v>
      </c>
      <c r="AO46" s="59">
        <f t="shared" si="36"/>
        <v>471.89239871617241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8.5781665295976488</v>
      </c>
      <c r="AV46" s="21">
        <f>EXP(-LN(2)/25)*AV45+(1-EXP(-LN(2)/25))/(LN(2)/25)*Calculateur!AQ46*Calculateur!AS46*VLOOKUP('Données projet'!$B$10,Paramètres!$A$1:$I$89,3,0)*0.475*44/12</f>
        <v>41.32916671394127</v>
      </c>
      <c r="AW46" s="21">
        <f>EXP(-LN(2)/2)*AW45+(1-EXP(-LN(2)/2))/(LN(2)/2)*AQ46*AT46*VLOOKUP('Données projet'!$B$10,Paramètres!$A$1:$I$89,3,0)*0.475*44/12</f>
        <v>6.070254417369279</v>
      </c>
      <c r="AX46" s="21">
        <f t="shared" si="6"/>
        <v>55.977587660908192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0</v>
      </c>
      <c r="BJ46" s="59">
        <f t="shared" si="38"/>
        <v>0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0</v>
      </c>
      <c r="CE46" s="59">
        <f t="shared" si="40"/>
        <v>0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24.8</v>
      </c>
      <c r="N47" s="13">
        <f>IF('Données projet'!$A$36&gt;35,N46+M47-V46,IF(A47&lt;'Données projet'!$A$36,$K$205^A47,IF(A47='Données projet'!$A$36,'Données projet'!$B$36,N46+M47-V46)))</f>
        <v>661.1999999999997</v>
      </c>
      <c r="O47" s="13">
        <f>N47*VLOOKUP('Données projet'!$B$9,Paramètres!$A$1:$I$89,3,0)*VLOOKUP('Données projet'!$B$9,Paramètres!$A$1:$I$89,5,0)</f>
        <v>369.61079999999981</v>
      </c>
      <c r="P47" s="13">
        <f t="shared" si="33"/>
        <v>85.587677206936931</v>
      </c>
      <c r="Q47" s="20">
        <f t="shared" si="53"/>
        <v>792.80401446874805</v>
      </c>
      <c r="R47" s="59">
        <f t="shared" si="0"/>
        <v>1086.1373478020814</v>
      </c>
      <c r="S47" s="59">
        <f ca="1">AVERAGE(OFFSET($R$3,0,0,'Données projet'!$E$9+1,1))-AVERAGE(OFFSET($H$3,0,0,'Données projet'!$E$9+1,1))</f>
        <v>354.30476036506167</v>
      </c>
      <c r="T47" s="59">
        <f t="shared" si="34"/>
        <v>593.51433014569966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7.6170942771962507</v>
      </c>
      <c r="AA47" s="21">
        <f>EXP(-LN(2)/25)*AA46+(1-EXP(-LN(2)/25))/(LN(2)/25)*Calculateur!V47*Calculateur!X47*VLOOKUP('Données projet'!$B$9,Paramètres!$A$1:$I$89,3,0)*0.475*44/12</f>
        <v>38.628322380361595</v>
      </c>
      <c r="AB47" s="21">
        <f>EXP(-LN(2)/2)*AB46+(1-EXP(-LN(2)/2))/(LN(2)/2)*V47*Y47*VLOOKUP('Données projet'!$B$9,Paramètres!$A$1:$I$89,3,0)*0.475*44/12</f>
        <v>0.79416523583709053</v>
      </c>
      <c r="AC47" s="22">
        <f t="shared" si="3"/>
        <v>47.039581893394939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22.8</v>
      </c>
      <c r="AI47" s="13">
        <f>IF('Données projet'!$A$62&gt;35,AI46+AH47-AQ46,IF(A47&lt;'Données projet'!$A$62,$AF$205^A47,IF(A47='Données projet'!$A$62,'Données projet'!$B$62,AI46+AH47-AQ46)))</f>
        <v>583.20000000000005</v>
      </c>
      <c r="AJ47" s="13">
        <f>AI47*VLOOKUP('Données projet'!$B$10,Paramètres!$A$1:$I$89,3,0)*VLOOKUP('Données projet'!$B$10,Paramètres!$A$1:$I$89,5,0)</f>
        <v>326.00880000000001</v>
      </c>
      <c r="AK47" s="13">
        <f t="shared" si="35"/>
        <v>76.602244480772981</v>
      </c>
      <c r="AL47" s="20">
        <f t="shared" si="4"/>
        <v>701.2142358040129</v>
      </c>
      <c r="AM47" s="59">
        <f t="shared" si="5"/>
        <v>994.54756913734627</v>
      </c>
      <c r="AN47" s="59">
        <f ca="1">AVERAGE(OFFSET($AM$3,0,0,'Données projet'!$E$10+1,1))-AVERAGE(OFFSET($H$3,0,0,'Données projet'!$E$10+1,1))</f>
        <v>280.11276976762787</v>
      </c>
      <c r="AO47" s="59">
        <f t="shared" si="36"/>
        <v>471.89239871617241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8.409953916117189</v>
      </c>
      <c r="AV47" s="21">
        <f>EXP(-LN(2)/25)*AV46+(1-EXP(-LN(2)/25))/(LN(2)/25)*Calculateur!AQ47*Calculateur!AS47*VLOOKUP('Données projet'!$B$10,Paramètres!$A$1:$I$89,3,0)*0.475*44/12</f>
        <v>40.199018476742125</v>
      </c>
      <c r="AW47" s="21">
        <f>EXP(-LN(2)/2)*AW46+(1-EXP(-LN(2)/2))/(LN(2)/2)*AQ47*AT47*VLOOKUP('Données projet'!$B$10,Paramètres!$A$1:$I$89,3,0)*0.475*44/12</f>
        <v>4.2923180620494126</v>
      </c>
      <c r="AX47" s="21">
        <f t="shared" si="6"/>
        <v>52.901290454908725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0</v>
      </c>
      <c r="BJ47" s="59">
        <f t="shared" si="38"/>
        <v>0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0</v>
      </c>
      <c r="CE47" s="59">
        <f t="shared" si="40"/>
        <v>0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686</v>
      </c>
      <c r="L48" s="12">
        <f>VLOOKUP(A48,'Données projet'!$A$35:$I$55,9,0)</f>
        <v>24.8</v>
      </c>
      <c r="M48" s="12">
        <f t="array" ref="M48">INDEX(L:L,MIN(IF(ISNUMBER(L48:L244),ROW(L48:L244),"")))</f>
        <v>24.8</v>
      </c>
      <c r="N48" s="13">
        <f>IF('Données projet'!$A$36&gt;35,N47+M48-V47,IF(A48&lt;'Données projet'!$A$36,$K$205^A48,IF(A48='Données projet'!$A$36,'Données projet'!$B$36,N47+M48-V47)))</f>
        <v>685.99999999999966</v>
      </c>
      <c r="O48" s="13">
        <f>N48*VLOOKUP('Données projet'!$B$9,Paramètres!$A$1:$I$89,3,0)*VLOOKUP('Données projet'!$B$9,Paramètres!$A$1:$I$89,5,0)</f>
        <v>383.47399999999982</v>
      </c>
      <c r="P48" s="13">
        <f t="shared" si="33"/>
        <v>88.418089567872116</v>
      </c>
      <c r="Q48" s="20">
        <f t="shared" si="53"/>
        <v>821.87872266404372</v>
      </c>
      <c r="R48" s="59">
        <f t="shared" si="0"/>
        <v>1115.2120559973771</v>
      </c>
      <c r="S48" s="59">
        <f ca="1">AVERAGE(OFFSET($R$3,0,0,'Données projet'!$E$9+1,1))-AVERAGE(OFFSET($H$3,0,0,'Données projet'!$E$9+1,1))</f>
        <v>354.30476036506167</v>
      </c>
      <c r="T48" s="59">
        <f t="shared" si="34"/>
        <v>593.51433014569966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686</v>
      </c>
      <c r="W48" s="16">
        <f>IF(ISNA(VLOOKUP(A48,'Données projet'!$A$35:$I$55,5,0)),0%,VLOOKUP(A48,'Données projet'!$A$35:$I$55,5,0)*VLOOKUP('Données projet'!$B$9,Paramètres!$A$1:$I$89,7,0))</f>
        <v>0.33</v>
      </c>
      <c r="X48" s="16">
        <f>IF(ISNA(VLOOKUP(A48,'Données projet'!$A$35:$I$55,6,0)),0%,VLOOKUP(A48,'Données projet'!$A$35:$I$55,6,0)*VLOOKUP('Données projet'!$B$9,Paramètres!$A$1:$I$89,7,0))</f>
        <v>0.11000000000000001</v>
      </c>
      <c r="Y48" s="16">
        <f>IF(ISNA(VLOOKUP(A48,'Données projet'!$A$35:$I$55,7,0)),0%,VLOOKUP(A48,'Données projet'!$A$35:$I$55,7,0))</f>
        <v>0.2</v>
      </c>
      <c r="Z48" s="21">
        <f>EXP(-LN(2)/35)*Z47+(1-EXP(-LN(2)/35))/(LN(2)/35)*V48*W48*VLOOKUP('Données projet'!$B$9,Paramètres!$A$1:$I$89,3,0)*0.475*44/12</f>
        <v>175.33971043951252</v>
      </c>
      <c r="AA48" s="21">
        <f>EXP(-LN(2)/25)*AA47+(1-EXP(-LN(2)/25))/(LN(2)/25)*Calculateur!V48*Calculateur!X48*VLOOKUP('Données projet'!$B$9,Paramètres!$A$1:$I$89,3,0)*0.475*44/12</f>
        <v>93.309031131780429</v>
      </c>
      <c r="AB48" s="21">
        <f>EXP(-LN(2)/2)*AB47+(1-EXP(-LN(2)/2))/(LN(2)/2)*V48*Y48*VLOOKUP('Données projet'!$B$9,Paramètres!$A$1:$I$89,3,0)*0.475*44/12</f>
        <v>87.397889235975825</v>
      </c>
      <c r="AC48" s="22">
        <f t="shared" si="3"/>
        <v>356.04663080726874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606</v>
      </c>
      <c r="AG48" s="12">
        <f>VLOOKUP(A48,'Données projet'!$A$61:$I$81,9,0)</f>
        <v>22.8</v>
      </c>
      <c r="AH48" s="12">
        <f t="array" ref="AH48">INDEX(AG:AG,MIN(IF(ISNUMBER(AG48:AG244),ROW(AG48:AG244),"")))</f>
        <v>22.8</v>
      </c>
      <c r="AI48" s="13">
        <f>IF('Données projet'!$A$62&gt;35,AI47+AH48-AQ47,IF(A48&lt;'Données projet'!$A$62,$AF$205^A48,IF(A48='Données projet'!$A$62,'Données projet'!$B$62,AI47+AH48-AQ47)))</f>
        <v>606</v>
      </c>
      <c r="AJ48" s="13">
        <f>AI48*VLOOKUP('Données projet'!$B$10,Paramètres!$A$1:$I$89,3,0)*VLOOKUP('Données projet'!$B$10,Paramètres!$A$1:$I$89,5,0)</f>
        <v>338.75400000000002</v>
      </c>
      <c r="AK48" s="13">
        <f t="shared" si="35"/>
        <v>79.242459951408904</v>
      </c>
      <c r="AL48" s="20">
        <f t="shared" si="4"/>
        <v>728.01050108203719</v>
      </c>
      <c r="AM48" s="59">
        <f t="shared" si="5"/>
        <v>1021.3438344153706</v>
      </c>
      <c r="AN48" s="59">
        <f ca="1">AVERAGE(OFFSET($AM$3,0,0,'Données projet'!$E$10+1,1))-AVERAGE(OFFSET($H$3,0,0,'Données projet'!$E$10+1,1))</f>
        <v>280.11276976762787</v>
      </c>
      <c r="AO48" s="59">
        <f t="shared" si="36"/>
        <v>471.89239871617241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606</v>
      </c>
      <c r="AR48" s="16">
        <f>IF(ISNA(VLOOKUP(A48,'Données projet'!$A$61:$I$81,5,0)),0%,VLOOKUP(A48,'Données projet'!$A$61:$I$81,5,0)*VLOOKUP('Données projet'!$B$10,Paramètres!$A$1:$I$89,7,0))</f>
        <v>0.33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156.54011497691633</v>
      </c>
      <c r="AV48" s="21">
        <f>EXP(-LN(2)/25)*AV47+(1-EXP(-LN(2)/25))/(LN(2)/25)*Calculateur!AQ48*Calculateur!AS48*VLOOKUP('Données projet'!$B$10,Paramètres!$A$1:$I$89,3,0)*0.475*44/12</f>
        <v>88.336834506487179</v>
      </c>
      <c r="AW48" s="21">
        <f>EXP(-LN(2)/2)*AW47+(1-EXP(-LN(2)/2))/(LN(2)/2)*AQ48*AT48*VLOOKUP('Données projet'!$B$10,Paramètres!$A$1:$I$89,3,0)*0.475*44/12</f>
        <v>79.744771151940739</v>
      </c>
      <c r="AX48" s="21">
        <f t="shared" si="6"/>
        <v>324.62172063534422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0</v>
      </c>
      <c r="BJ48" s="59">
        <f t="shared" si="38"/>
        <v>0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0</v>
      </c>
      <c r="CE48" s="59">
        <f t="shared" si="40"/>
        <v>0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-3.4106051316484809E-13</v>
      </c>
      <c r="O49" s="13">
        <f>N49*VLOOKUP('Données projet'!$B$9,Paramètres!$A$1:$I$89,3,0)*VLOOKUP('Données projet'!$B$9,Paramètres!$A$1:$I$89,5,0)</f>
        <v>-1.9065282685915009E-13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354.30476036506167</v>
      </c>
      <c r="T49" s="59">
        <f t="shared" si="34"/>
        <v>593.51433014569966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171.90140566445695</v>
      </c>
      <c r="AA49" s="21">
        <f>EXP(-LN(2)/25)*AA48+(1-EXP(-LN(2)/25))/(LN(2)/25)*Calculateur!V49*Calculateur!X49*VLOOKUP('Données projet'!$B$9,Paramètres!$A$1:$I$89,3,0)*0.475*44/12</f>
        <v>90.757490768573206</v>
      </c>
      <c r="AB49" s="21">
        <f>EXP(-LN(2)/2)*AB48+(1-EXP(-LN(2)/2))/(LN(2)/2)*V49*Y49*VLOOKUP('Données projet'!$B$9,Paramètres!$A$1:$I$89,3,0)*0.475*44/12</f>
        <v>61.799640140149279</v>
      </c>
      <c r="AC49" s="22">
        <f t="shared" si="3"/>
        <v>324.4585365731794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280.11276976762787</v>
      </c>
      <c r="AO49" s="59">
        <f t="shared" si="36"/>
        <v>471.89239871617241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153.47045880226128</v>
      </c>
      <c r="AV49" s="21">
        <f>EXP(-LN(2)/25)*AV48+(1-EXP(-LN(2)/25))/(LN(2)/25)*Calculateur!AQ49*Calculateur!AS49*VLOOKUP('Données projet'!$B$10,Paramètres!$A$1:$I$89,3,0)*0.475*44/12</f>
        <v>85.92125912147506</v>
      </c>
      <c r="AW49" s="21">
        <f>EXP(-LN(2)/2)*AW48+(1-EXP(-LN(2)/2))/(LN(2)/2)*AQ49*AT49*VLOOKUP('Données projet'!$B$10,Paramètres!$A$1:$I$89,3,0)*0.475*44/12</f>
        <v>56.388068445706672</v>
      </c>
      <c r="AX49" s="21">
        <f t="shared" si="6"/>
        <v>295.779786369443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0</v>
      </c>
      <c r="BJ49" s="59">
        <f t="shared" si="38"/>
        <v>0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0</v>
      </c>
      <c r="CE49" s="59">
        <f t="shared" si="40"/>
        <v>0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-3.4106051316484809E-13</v>
      </c>
      <c r="O50" s="13">
        <f>N50*VLOOKUP('Données projet'!$B$9,Paramètres!$A$1:$I$89,3,0)*VLOOKUP('Données projet'!$B$9,Paramètres!$A$1:$I$89,5,0)</f>
        <v>-1.9065282685915009E-13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354.30476036506167</v>
      </c>
      <c r="T50" s="59">
        <f t="shared" si="34"/>
        <v>593.51433014569966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168.53052394888138</v>
      </c>
      <c r="AA50" s="21">
        <f>EXP(-LN(2)/25)*AA49+(1-EXP(-LN(2)/25))/(LN(2)/25)*Calculateur!V50*Calculateur!X50*VLOOKUP('Données projet'!$B$9,Paramètres!$A$1:$I$89,3,0)*0.475*44/12</f>
        <v>88.275722410777561</v>
      </c>
      <c r="AB50" s="21">
        <f>EXP(-LN(2)/2)*AB49+(1-EXP(-LN(2)/2))/(LN(2)/2)*V50*Y50*VLOOKUP('Données projet'!$B$9,Paramètres!$A$1:$I$89,3,0)*0.475*44/12</f>
        <v>43.69894461798792</v>
      </c>
      <c r="AC50" s="22">
        <f t="shared" si="3"/>
        <v>300.50519097764686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280.11276976762787</v>
      </c>
      <c r="AO50" s="59">
        <f t="shared" si="36"/>
        <v>471.89239871617241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150.46099671288582</v>
      </c>
      <c r="AV50" s="21">
        <f>EXP(-LN(2)/25)*AV49+(1-EXP(-LN(2)/25))/(LN(2)/25)*Calculateur!AQ50*Calculateur!AS50*VLOOKUP('Données projet'!$B$10,Paramètres!$A$1:$I$89,3,0)*0.475*44/12</f>
        <v>83.571737772395679</v>
      </c>
      <c r="AW50" s="21">
        <f>EXP(-LN(2)/2)*AW49+(1-EXP(-LN(2)/2))/(LN(2)/2)*AQ50*AT50*VLOOKUP('Données projet'!$B$10,Paramètres!$A$1:$I$89,3,0)*0.475*44/12</f>
        <v>39.872385575970377</v>
      </c>
      <c r="AX50" s="21">
        <f t="shared" si="6"/>
        <v>273.90512006125186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0</v>
      </c>
      <c r="BJ50" s="59">
        <f t="shared" si="38"/>
        <v>0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0</v>
      </c>
      <c r="CE50" s="59">
        <f t="shared" si="40"/>
        <v>0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-3.4106051316484809E-13</v>
      </c>
      <c r="O51" s="13">
        <f>N51*VLOOKUP('Données projet'!$B$9,Paramètres!$A$1:$I$89,3,0)*VLOOKUP('Données projet'!$B$9,Paramètres!$A$1:$I$89,5,0)</f>
        <v>-1.9065282685915009E-13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354.30476036506167</v>
      </c>
      <c r="T51" s="59">
        <f t="shared" si="34"/>
        <v>593.51433014569966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165.2257431677134</v>
      </c>
      <c r="AA51" s="21">
        <f>EXP(-LN(2)/25)*AA50+(1-EXP(-LN(2)/25))/(LN(2)/25)*Calculateur!V51*Calculateur!X51*VLOOKUP('Données projet'!$B$9,Paramètres!$A$1:$I$89,3,0)*0.475*44/12</f>
        <v>85.861818139236362</v>
      </c>
      <c r="AB51" s="21">
        <f>EXP(-LN(2)/2)*AB50+(1-EXP(-LN(2)/2))/(LN(2)/2)*V51*Y51*VLOOKUP('Données projet'!$B$9,Paramètres!$A$1:$I$89,3,0)*0.475*44/12</f>
        <v>30.899820070074643</v>
      </c>
      <c r="AC51" s="22">
        <f t="shared" si="3"/>
        <v>281.98738137702441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280.11276976762787</v>
      </c>
      <c r="AO51" s="59">
        <f t="shared" si="36"/>
        <v>471.89239871617241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147.51054833949237</v>
      </c>
      <c r="AV51" s="21">
        <f>EXP(-LN(2)/25)*AV50+(1-EXP(-LN(2)/25))/(LN(2)/25)*Calculateur!AQ51*Calculateur!AS51*VLOOKUP('Données projet'!$B$10,Paramètres!$A$1:$I$89,3,0)*0.475*44/12</f>
        <v>81.28646420816284</v>
      </c>
      <c r="AW51" s="21">
        <f>EXP(-LN(2)/2)*AW50+(1-EXP(-LN(2)/2))/(LN(2)/2)*AQ51*AT51*VLOOKUP('Données projet'!$B$10,Paramètres!$A$1:$I$89,3,0)*0.475*44/12</f>
        <v>28.19403422285334</v>
      </c>
      <c r="AX51" s="21">
        <f t="shared" si="6"/>
        <v>256.99104677050855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0</v>
      </c>
      <c r="BJ51" s="59">
        <f t="shared" si="38"/>
        <v>0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0</v>
      </c>
      <c r="CE51" s="59">
        <f t="shared" si="40"/>
        <v>0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-3.4106051316484809E-13</v>
      </c>
      <c r="O52" s="13">
        <f>N52*VLOOKUP('Données projet'!$B$9,Paramètres!$A$1:$I$89,3,0)*VLOOKUP('Données projet'!$B$9,Paramètres!$A$1:$I$89,5,0)</f>
        <v>-1.9065282685915009E-13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354.30476036506167</v>
      </c>
      <c r="T52" s="59">
        <f t="shared" si="34"/>
        <v>593.51433014569966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161.98576712194691</v>
      </c>
      <c r="AA52" s="21">
        <f>EXP(-LN(2)/25)*AA51+(1-EXP(-LN(2)/25))/(LN(2)/25)*Calculateur!V52*Calculateur!X52*VLOOKUP('Données projet'!$B$9,Paramètres!$A$1:$I$89,3,0)*0.475*44/12</f>
        <v>83.513922206942169</v>
      </c>
      <c r="AB52" s="21">
        <f>EXP(-LN(2)/2)*AB51+(1-EXP(-LN(2)/2))/(LN(2)/2)*V52*Y52*VLOOKUP('Données projet'!$B$9,Paramètres!$A$1:$I$89,3,0)*0.475*44/12</f>
        <v>21.849472308993963</v>
      </c>
      <c r="AC52" s="22">
        <f t="shared" si="3"/>
        <v>267.34916163788301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280.11276976762787</v>
      </c>
      <c r="AO52" s="59">
        <f t="shared" si="36"/>
        <v>471.89239871617241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144.61795645910536</v>
      </c>
      <c r="AV52" s="21">
        <f>EXP(-LN(2)/25)*AV51+(1-EXP(-LN(2)/25))/(LN(2)/25)*Calculateur!AQ52*Calculateur!AS52*VLOOKUP('Données projet'!$B$10,Paramètres!$A$1:$I$89,3,0)*0.475*44/12</f>
        <v>79.063681569721254</v>
      </c>
      <c r="AW52" s="21">
        <f>EXP(-LN(2)/2)*AW51+(1-EXP(-LN(2)/2))/(LN(2)/2)*AQ52*AT52*VLOOKUP('Données projet'!$B$10,Paramètres!$A$1:$I$89,3,0)*0.475*44/12</f>
        <v>19.936192787985192</v>
      </c>
      <c r="AX52" s="21">
        <f t="shared" si="6"/>
        <v>243.61783081681182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0</v>
      </c>
      <c r="BJ52" s="59">
        <f t="shared" si="38"/>
        <v>0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0</v>
      </c>
      <c r="CE52" s="59">
        <f t="shared" si="40"/>
        <v>0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-3.4106051316484809E-13</v>
      </c>
      <c r="O53" s="13">
        <f>N53*VLOOKUP('Données projet'!$B$9,Paramètres!$A$1:$I$89,3,0)*VLOOKUP('Données projet'!$B$9,Paramètres!$A$1:$I$89,5,0)</f>
        <v>-1.9065282685915009E-13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354.30476036506167</v>
      </c>
      <c r="T53" s="59">
        <f t="shared" si="34"/>
        <v>593.51433014569966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158.80932503024763</v>
      </c>
      <c r="AA53" s="21">
        <f>EXP(-LN(2)/25)*AA52+(1-EXP(-LN(2)/25))/(LN(2)/25)*Calculateur!V53*Calculateur!X53*VLOOKUP('Données projet'!$B$9,Paramètres!$A$1:$I$89,3,0)*0.475*44/12</f>
        <v>81.230229612387035</v>
      </c>
      <c r="AB53" s="21">
        <f>EXP(-LN(2)/2)*AB52+(1-EXP(-LN(2)/2))/(LN(2)/2)*V53*Y53*VLOOKUP('Données projet'!$B$9,Paramètres!$A$1:$I$89,3,0)*0.475*44/12</f>
        <v>15.449910035037325</v>
      </c>
      <c r="AC53" s="22">
        <f t="shared" si="3"/>
        <v>255.489464677672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280.11276976762787</v>
      </c>
      <c r="AO53" s="59">
        <f t="shared" si="36"/>
        <v>471.89239871617241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141.78208654118589</v>
      </c>
      <c r="AV53" s="21">
        <f>EXP(-LN(2)/25)*AV52+(1-EXP(-LN(2)/25))/(LN(2)/25)*Calculateur!AQ53*Calculateur!AS53*VLOOKUP('Données projet'!$B$10,Paramètres!$A$1:$I$89,3,0)*0.475*44/12</f>
        <v>76.901681039418918</v>
      </c>
      <c r="AW53" s="21">
        <f>EXP(-LN(2)/2)*AW52+(1-EXP(-LN(2)/2))/(LN(2)/2)*AQ53*AT53*VLOOKUP('Données projet'!$B$10,Paramètres!$A$1:$I$89,3,0)*0.475*44/12</f>
        <v>14.097017111426673</v>
      </c>
      <c r="AX53" s="21">
        <f t="shared" si="6"/>
        <v>232.78078469203149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0</v>
      </c>
      <c r="BJ53" s="59">
        <f t="shared" si="38"/>
        <v>0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0</v>
      </c>
      <c r="CE53" s="59">
        <f t="shared" si="40"/>
        <v>0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-3.4106051316484809E-13</v>
      </c>
      <c r="O54" s="13">
        <f>N54*VLOOKUP('Données projet'!$B$9,Paramètres!$A$1:$I$89,3,0)*VLOOKUP('Données projet'!$B$9,Paramètres!$A$1:$I$89,5,0)</f>
        <v>-1.9065282685915009E-13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354.30476036506167</v>
      </c>
      <c r="T54" s="59">
        <f t="shared" si="34"/>
        <v>593.51433014569966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155.6951710305282</v>
      </c>
      <c r="AA54" s="21">
        <f>EXP(-LN(2)/25)*AA53+(1-EXP(-LN(2)/25))/(LN(2)/25)*Calculateur!V54*Calculateur!X54*VLOOKUP('Données projet'!$B$9,Paramètres!$A$1:$I$89,3,0)*0.475*44/12</f>
        <v>79.008984711924185</v>
      </c>
      <c r="AB54" s="21">
        <f>EXP(-LN(2)/2)*AB53+(1-EXP(-LN(2)/2))/(LN(2)/2)*V54*Y54*VLOOKUP('Données projet'!$B$9,Paramètres!$A$1:$I$89,3,0)*0.475*44/12</f>
        <v>10.924736154496983</v>
      </c>
      <c r="AC54" s="22">
        <f t="shared" si="3"/>
        <v>245.62889189694937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280.11276976762787</v>
      </c>
      <c r="AO54" s="59">
        <f t="shared" si="36"/>
        <v>471.89239871617241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139.00182630264698</v>
      </c>
      <c r="AV54" s="21">
        <f>EXP(-LN(2)/25)*AV53+(1-EXP(-LN(2)/25))/(LN(2)/25)*Calculateur!AQ54*Calculateur!AS54*VLOOKUP('Données projet'!$B$10,Paramètres!$A$1:$I$89,3,0)*0.475*44/12</f>
        <v>74.798800527312366</v>
      </c>
      <c r="AW54" s="21">
        <f>EXP(-LN(2)/2)*AW53+(1-EXP(-LN(2)/2))/(LN(2)/2)*AQ54*AT54*VLOOKUP('Données projet'!$B$10,Paramètres!$A$1:$I$89,3,0)*0.475*44/12</f>
        <v>9.9680963939925977</v>
      </c>
      <c r="AX54" s="21">
        <f t="shared" si="6"/>
        <v>223.76872322395195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0</v>
      </c>
      <c r="BJ54" s="59">
        <f t="shared" si="38"/>
        <v>0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0</v>
      </c>
      <c r="CE54" s="59">
        <f t="shared" si="40"/>
        <v>0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-3.4106051316484809E-13</v>
      </c>
      <c r="O55" s="13">
        <f>N55*VLOOKUP('Données projet'!$B$9,Paramètres!$A$1:$I$89,3,0)*VLOOKUP('Données projet'!$B$9,Paramètres!$A$1:$I$89,5,0)</f>
        <v>-1.9065282685915009E-13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354.30476036506167</v>
      </c>
      <c r="T55" s="59">
        <f t="shared" si="34"/>
        <v>593.51433014569966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152.64208369129688</v>
      </c>
      <c r="AA55" s="21">
        <f>EXP(-LN(2)/25)*AA54+(1-EXP(-LN(2)/25))/(LN(2)/25)*Calculateur!V55*Calculateur!X55*VLOOKUP('Données projet'!$B$9,Paramètres!$A$1:$I$89,3,0)*0.475*44/12</f>
        <v>76.848479870074684</v>
      </c>
      <c r="AB55" s="21">
        <f>EXP(-LN(2)/2)*AB54+(1-EXP(-LN(2)/2))/(LN(2)/2)*V55*Y55*VLOOKUP('Données projet'!$B$9,Paramètres!$A$1:$I$89,3,0)*0.475*44/12</f>
        <v>7.7249550175186634</v>
      </c>
      <c r="AC55" s="22">
        <f t="shared" si="3"/>
        <v>237.21551857889023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280.11276976762787</v>
      </c>
      <c r="AO55" s="59">
        <f t="shared" si="36"/>
        <v>471.89239871617241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136.27608527159452</v>
      </c>
      <c r="AV55" s="21">
        <f>EXP(-LN(2)/25)*AV54+(1-EXP(-LN(2)/25))/(LN(2)/25)*Calculateur!AQ55*Calculateur!AS55*VLOOKUP('Données projet'!$B$10,Paramètres!$A$1:$I$89,3,0)*0.475*44/12</f>
        <v>72.753423393395039</v>
      </c>
      <c r="AW55" s="21">
        <f>EXP(-LN(2)/2)*AW54+(1-EXP(-LN(2)/2))/(LN(2)/2)*AQ55*AT55*VLOOKUP('Données projet'!$B$10,Paramètres!$A$1:$I$89,3,0)*0.475*44/12</f>
        <v>7.0485085557133376</v>
      </c>
      <c r="AX55" s="21">
        <f t="shared" si="6"/>
        <v>216.07801722070292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0</v>
      </c>
      <c r="BJ55" s="59">
        <f t="shared" si="38"/>
        <v>0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0</v>
      </c>
      <c r="CE55" s="59">
        <f t="shared" si="40"/>
        <v>0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-3.4106051316484809E-13</v>
      </c>
      <c r="O56" s="13">
        <f>N56*VLOOKUP('Données projet'!$B$9,Paramètres!$A$1:$I$89,3,0)*VLOOKUP('Données projet'!$B$9,Paramètres!$A$1:$I$89,5,0)</f>
        <v>-1.9065282685915009E-13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354.30476036506167</v>
      </c>
      <c r="T56" s="59">
        <f t="shared" si="34"/>
        <v>593.51433014569966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149.6488655325885</v>
      </c>
      <c r="AA56" s="21">
        <f>EXP(-LN(2)/25)*AA55+(1-EXP(-LN(2)/25))/(LN(2)/25)*Calculateur!V56*Calculateur!X56*VLOOKUP('Données projet'!$B$9,Paramètres!$A$1:$I$89,3,0)*0.475*44/12</f>
        <v>74.747054146741576</v>
      </c>
      <c r="AB56" s="21">
        <f>EXP(-LN(2)/2)*AB55+(1-EXP(-LN(2)/2))/(LN(2)/2)*V56*Y56*VLOOKUP('Données projet'!$B$9,Paramètres!$A$1:$I$89,3,0)*0.475*44/12</f>
        <v>5.4623680772484926</v>
      </c>
      <c r="AC56" s="22">
        <f t="shared" si="3"/>
        <v>229.85828775657856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280.11276976762787</v>
      </c>
      <c r="AO56" s="59">
        <f t="shared" si="36"/>
        <v>471.89239871617241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133.60379435962312</v>
      </c>
      <c r="AV56" s="21">
        <f>EXP(-LN(2)/25)*AV55+(1-EXP(-LN(2)/25))/(LN(2)/25)*Calculateur!AQ56*Calculateur!AS56*VLOOKUP('Données projet'!$B$10,Paramètres!$A$1:$I$89,3,0)*0.475*44/12</f>
        <v>70.763977204766391</v>
      </c>
      <c r="AW56" s="21">
        <f>EXP(-LN(2)/2)*AW55+(1-EXP(-LN(2)/2))/(LN(2)/2)*AQ56*AT56*VLOOKUP('Données projet'!$B$10,Paramètres!$A$1:$I$89,3,0)*0.475*44/12</f>
        <v>4.9840481969962998</v>
      </c>
      <c r="AX56" s="21">
        <f t="shared" si="6"/>
        <v>209.3518197613858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0</v>
      </c>
      <c r="BJ56" s="59">
        <f t="shared" si="38"/>
        <v>0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0</v>
      </c>
      <c r="CE56" s="59">
        <f t="shared" si="40"/>
        <v>0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-3.4106051316484809E-13</v>
      </c>
      <c r="O57" s="13">
        <f>N57*VLOOKUP('Données projet'!$B$9,Paramètres!$A$1:$I$89,3,0)*VLOOKUP('Données projet'!$B$9,Paramètres!$A$1:$I$89,5,0)</f>
        <v>-1.9065282685915009E-13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354.30476036506167</v>
      </c>
      <c r="T57" s="59">
        <f t="shared" si="34"/>
        <v>593.51433014569966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146.71434255628958</v>
      </c>
      <c r="AA57" s="21">
        <f>EXP(-LN(2)/25)*AA56+(1-EXP(-LN(2)/25))/(LN(2)/25)*Calculateur!V57*Calculateur!X57*VLOOKUP('Données projet'!$B$9,Paramètres!$A$1:$I$89,3,0)*0.475*44/12</f>
        <v>72.703092020322188</v>
      </c>
      <c r="AB57" s="21">
        <f>EXP(-LN(2)/2)*AB56+(1-EXP(-LN(2)/2))/(LN(2)/2)*V57*Y57*VLOOKUP('Données projet'!$B$9,Paramètres!$A$1:$I$89,3,0)*0.475*44/12</f>
        <v>3.8624775087593326</v>
      </c>
      <c r="AC57" s="22">
        <f t="shared" si="3"/>
        <v>223.27991208537108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280.11276976762787</v>
      </c>
      <c r="AO57" s="59">
        <f t="shared" si="36"/>
        <v>471.89239871617241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130.98390544249898</v>
      </c>
      <c r="AV57" s="21">
        <f>EXP(-LN(2)/25)*AV56+(1-EXP(-LN(2)/25))/(LN(2)/25)*Calculateur!AQ57*Calculateur!AS57*VLOOKUP('Données projet'!$B$10,Paramètres!$A$1:$I$89,3,0)*0.475*44/12</f>
        <v>68.828932526786232</v>
      </c>
      <c r="AW57" s="21">
        <f>EXP(-LN(2)/2)*AW56+(1-EXP(-LN(2)/2))/(LN(2)/2)*AQ57*AT57*VLOOKUP('Données projet'!$B$10,Paramètres!$A$1:$I$89,3,0)*0.475*44/12</f>
        <v>3.5242542778566697</v>
      </c>
      <c r="AX57" s="21">
        <f t="shared" si="6"/>
        <v>203.3370922471419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0</v>
      </c>
      <c r="BJ57" s="59">
        <f t="shared" si="38"/>
        <v>0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0</v>
      </c>
      <c r="CE57" s="59">
        <f t="shared" si="40"/>
        <v>0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-3.4106051316484809E-13</v>
      </c>
      <c r="O58" s="13">
        <f>N58*VLOOKUP('Données projet'!$B$9,Paramètres!$A$1:$I$89,3,0)*VLOOKUP('Données projet'!$B$9,Paramètres!$A$1:$I$89,5,0)</f>
        <v>-1.9065282685915009E-13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354.30476036506167</v>
      </c>
      <c r="T58" s="59">
        <f t="shared" si="34"/>
        <v>593.51433014569966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143.8373637856736</v>
      </c>
      <c r="AA58" s="21">
        <f>EXP(-LN(2)/25)*AA57+(1-EXP(-LN(2)/25))/(LN(2)/25)*Calculateur!V58*Calculateur!X58*VLOOKUP('Données projet'!$B$9,Paramètres!$A$1:$I$89,3,0)*0.475*44/12</f>
        <v>70.715022145737038</v>
      </c>
      <c r="AB58" s="21">
        <f>EXP(-LN(2)/2)*AB57+(1-EXP(-LN(2)/2))/(LN(2)/2)*V58*Y58*VLOOKUP('Données projet'!$B$9,Paramètres!$A$1:$I$89,3,0)*0.475*44/12</f>
        <v>2.7311840386242467</v>
      </c>
      <c r="AC58" s="22">
        <f t="shared" si="3"/>
        <v>217.28356997003488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280.11276976762787</v>
      </c>
      <c r="AO58" s="59">
        <f t="shared" si="36"/>
        <v>471.89239871617241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128.4153909490652</v>
      </c>
      <c r="AV58" s="21">
        <f>EXP(-LN(2)/25)*AV57+(1-EXP(-LN(2)/25))/(LN(2)/25)*Calculateur!AQ58*Calculateur!AS58*VLOOKUP('Données projet'!$B$10,Paramètres!$A$1:$I$89,3,0)*0.475*44/12</f>
        <v>66.946801747285008</v>
      </c>
      <c r="AW58" s="21">
        <f>EXP(-LN(2)/2)*AW57+(1-EXP(-LN(2)/2))/(LN(2)/2)*AQ58*AT58*VLOOKUP('Données projet'!$B$10,Paramètres!$A$1:$I$89,3,0)*0.475*44/12</f>
        <v>2.4920240984981503</v>
      </c>
      <c r="AX58" s="21">
        <f t="shared" si="6"/>
        <v>197.85421679484836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0</v>
      </c>
      <c r="BJ58" s="59">
        <f t="shared" si="38"/>
        <v>0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0</v>
      </c>
      <c r="CE58" s="59">
        <f t="shared" si="40"/>
        <v>0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-3.4106051316484809E-13</v>
      </c>
      <c r="O59" s="13">
        <f>N59*VLOOKUP('Données projet'!$B$9,Paramètres!$A$1:$I$89,3,0)*VLOOKUP('Données projet'!$B$9,Paramètres!$A$1:$I$89,5,0)</f>
        <v>-1.9065282685915009E-13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354.30476036506167</v>
      </c>
      <c r="T59" s="59">
        <f t="shared" si="34"/>
        <v>593.51433014569966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141.01680081396563</v>
      </c>
      <c r="AA59" s="21">
        <f>EXP(-LN(2)/25)*AA58+(1-EXP(-LN(2)/25))/(LN(2)/25)*Calculateur!V59*Calculateur!X59*VLOOKUP('Données projet'!$B$9,Paramètres!$A$1:$I$89,3,0)*0.475*44/12</f>
        <v>68.781316146420465</v>
      </c>
      <c r="AB59" s="21">
        <f>EXP(-LN(2)/2)*AB58+(1-EXP(-LN(2)/2))/(LN(2)/2)*V59*Y59*VLOOKUP('Données projet'!$B$9,Paramètres!$A$1:$I$89,3,0)*0.475*44/12</f>
        <v>1.9312387543796665</v>
      </c>
      <c r="AC59" s="22">
        <f t="shared" si="3"/>
        <v>211.72935571476577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280.11276976762787</v>
      </c>
      <c r="AO59" s="59">
        <f t="shared" si="36"/>
        <v>471.89239871617241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125.89724345820849</v>
      </c>
      <c r="AV59" s="21">
        <f>EXP(-LN(2)/25)*AV58+(1-EXP(-LN(2)/25))/(LN(2)/25)*Calculateur!AQ59*Calculateur!AS59*VLOOKUP('Données projet'!$B$10,Paramètres!$A$1:$I$89,3,0)*0.475*44/12</f>
        <v>65.116137932926208</v>
      </c>
      <c r="AW59" s="21">
        <f>EXP(-LN(2)/2)*AW58+(1-EXP(-LN(2)/2))/(LN(2)/2)*AQ59*AT59*VLOOKUP('Données projet'!$B$10,Paramètres!$A$1:$I$89,3,0)*0.475*44/12</f>
        <v>1.7621271389283351</v>
      </c>
      <c r="AX59" s="21">
        <f t="shared" si="6"/>
        <v>192.77550853006306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0</v>
      </c>
      <c r="BJ59" s="59">
        <f t="shared" si="38"/>
        <v>0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0</v>
      </c>
      <c r="CE59" s="59">
        <f t="shared" si="40"/>
        <v>0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-3.4106051316484809E-13</v>
      </c>
      <c r="O60" s="13">
        <f>N60*VLOOKUP('Données projet'!$B$9,Paramètres!$A$1:$I$89,3,0)*VLOOKUP('Données projet'!$B$9,Paramètres!$A$1:$I$89,5,0)</f>
        <v>-1.9065282685915009E-13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354.30476036506167</v>
      </c>
      <c r="T60" s="59">
        <f t="shared" si="34"/>
        <v>593.51433014569966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138.25154736175929</v>
      </c>
      <c r="AA60" s="21">
        <f>EXP(-LN(2)/25)*AA59+(1-EXP(-LN(2)/25))/(LN(2)/25)*Calculateur!V60*Calculateur!X60*VLOOKUP('Données projet'!$B$9,Paramètres!$A$1:$I$89,3,0)*0.475*44/12</f>
        <v>66.900487439344388</v>
      </c>
      <c r="AB60" s="21">
        <f>EXP(-LN(2)/2)*AB59+(1-EXP(-LN(2)/2))/(LN(2)/2)*V60*Y60*VLOOKUP('Données projet'!$B$9,Paramètres!$A$1:$I$89,3,0)*0.475*44/12</f>
        <v>1.3655920193121236</v>
      </c>
      <c r="AC60" s="22">
        <f t="shared" si="3"/>
        <v>206.51762682041581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280.11276976762787</v>
      </c>
      <c r="AO60" s="59">
        <f t="shared" si="36"/>
        <v>471.89239871617241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123.42847530372917</v>
      </c>
      <c r="AV60" s="21">
        <f>EXP(-LN(2)/25)*AV59+(1-EXP(-LN(2)/25))/(LN(2)/25)*Calculateur!AQ60*Calculateur!AS60*VLOOKUP('Données projet'!$B$10,Paramètres!$A$1:$I$89,3,0)*0.475*44/12</f>
        <v>63.335533716841475</v>
      </c>
      <c r="AW60" s="21">
        <f>EXP(-LN(2)/2)*AW59+(1-EXP(-LN(2)/2))/(LN(2)/2)*AQ60*AT60*VLOOKUP('Données projet'!$B$10,Paramètres!$A$1:$I$89,3,0)*0.475*44/12</f>
        <v>1.2460120492490754</v>
      </c>
      <c r="AX60" s="21">
        <f t="shared" si="6"/>
        <v>188.01002106981974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0</v>
      </c>
      <c r="BJ60" s="59">
        <f t="shared" si="38"/>
        <v>0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0</v>
      </c>
      <c r="CE60" s="59">
        <f t="shared" si="40"/>
        <v>0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-3.4106051316484809E-13</v>
      </c>
      <c r="O61" s="13">
        <f>N61*VLOOKUP('Données projet'!$B$9,Paramètres!$A$1:$I$89,3,0)*VLOOKUP('Données projet'!$B$9,Paramètres!$A$1:$I$89,5,0)</f>
        <v>-1.9065282685915009E-13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354.30476036506167</v>
      </c>
      <c r="T61" s="59">
        <f t="shared" si="34"/>
        <v>593.51433014569966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135.54051884311266</v>
      </c>
      <c r="AA61" s="21">
        <f>EXP(-LN(2)/25)*AA60+(1-EXP(-LN(2)/25))/(LN(2)/25)*Calculateur!V61*Calculateur!X61*VLOOKUP('Données projet'!$B$9,Paramètres!$A$1:$I$89,3,0)*0.475*44/12</f>
        <v>65.071090092171787</v>
      </c>
      <c r="AB61" s="21">
        <f>EXP(-LN(2)/2)*AB60+(1-EXP(-LN(2)/2))/(LN(2)/2)*V61*Y61*VLOOKUP('Données projet'!$B$9,Paramètres!$A$1:$I$89,3,0)*0.475*44/12</f>
        <v>0.96561937718983337</v>
      </c>
      <c r="AC61" s="22">
        <f t="shared" si="3"/>
        <v>201.57722831247426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280.11276976762787</v>
      </c>
      <c r="AO61" s="59">
        <f t="shared" si="36"/>
        <v>471.89239871617241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121.00811818695931</v>
      </c>
      <c r="AV61" s="21">
        <f>EXP(-LN(2)/25)*AV60+(1-EXP(-LN(2)/25))/(LN(2)/25)*Calculateur!AQ61*Calculateur!AS61*VLOOKUP('Données projet'!$B$10,Paramètres!$A$1:$I$89,3,0)*0.475*44/12</f>
        <v>61.603620216683481</v>
      </c>
      <c r="AW61" s="21">
        <f>EXP(-LN(2)/2)*AW60+(1-EXP(-LN(2)/2))/(LN(2)/2)*AQ61*AT61*VLOOKUP('Données projet'!$B$10,Paramètres!$A$1:$I$89,3,0)*0.475*44/12</f>
        <v>0.88106356946416764</v>
      </c>
      <c r="AX61" s="21">
        <f t="shared" si="6"/>
        <v>183.49280197310696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0</v>
      </c>
      <c r="BJ61" s="59">
        <f t="shared" si="38"/>
        <v>0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0</v>
      </c>
      <c r="CE61" s="59">
        <f t="shared" si="40"/>
        <v>0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-3.4106051316484809E-13</v>
      </c>
      <c r="O62" s="13">
        <f>N62*VLOOKUP('Données projet'!$B$9,Paramètres!$A$1:$I$89,3,0)*VLOOKUP('Données projet'!$B$9,Paramètres!$A$1:$I$89,5,0)</f>
        <v>-1.9065282685915009E-13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354.30476036506167</v>
      </c>
      <c r="T62" s="59">
        <f t="shared" si="34"/>
        <v>593.51433014569966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132.88265194015258</v>
      </c>
      <c r="AA62" s="21">
        <f>EXP(-LN(2)/25)*AA61+(1-EXP(-LN(2)/25))/(LN(2)/25)*Calculateur!V62*Calculateur!X62*VLOOKUP('Données projet'!$B$9,Paramètres!$A$1:$I$89,3,0)*0.475*44/12</f>
        <v>63.291717711661441</v>
      </c>
      <c r="AB62" s="21">
        <f>EXP(-LN(2)/2)*AB61+(1-EXP(-LN(2)/2))/(LN(2)/2)*V62*Y62*VLOOKUP('Données projet'!$B$9,Paramètres!$A$1:$I$89,3,0)*0.475*44/12</f>
        <v>0.6827960096560618</v>
      </c>
      <c r="AC62" s="22">
        <f t="shared" si="3"/>
        <v>196.85716566147011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280.11276976762787</v>
      </c>
      <c r="AO62" s="59">
        <f t="shared" si="36"/>
        <v>471.89239871617241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118.63522279697723</v>
      </c>
      <c r="AV62" s="21">
        <f>EXP(-LN(2)/25)*AV61+(1-EXP(-LN(2)/25))/(LN(2)/25)*Calculateur!AQ62*Calculateur!AS62*VLOOKUP('Données projet'!$B$10,Paramètres!$A$1:$I$89,3,0)*0.475*44/12</f>
        <v>59.919065982264684</v>
      </c>
      <c r="AW62" s="21">
        <f>EXP(-LN(2)/2)*AW61+(1-EXP(-LN(2)/2))/(LN(2)/2)*AQ62*AT62*VLOOKUP('Données projet'!$B$10,Paramètres!$A$1:$I$89,3,0)*0.475*44/12</f>
        <v>0.62300602462453769</v>
      </c>
      <c r="AX62" s="21">
        <f t="shared" si="6"/>
        <v>179.17729480386646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0</v>
      </c>
      <c r="BJ62" s="59">
        <f t="shared" si="38"/>
        <v>0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0</v>
      </c>
      <c r="CE62" s="59">
        <f t="shared" si="40"/>
        <v>0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-3.4106051316484809E-13</v>
      </c>
      <c r="O63" s="13">
        <f>N63*VLOOKUP('Données projet'!$B$9,Paramètres!$A$1:$I$89,3,0)*VLOOKUP('Données projet'!$B$9,Paramètres!$A$1:$I$89,5,0)</f>
        <v>-1.9065282685915009E-13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354.30476036506167</v>
      </c>
      <c r="T63" s="59">
        <f t="shared" si="34"/>
        <v>593.51433014569966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130.2769041860208</v>
      </c>
      <c r="AA63" s="21">
        <f>EXP(-LN(2)/25)*AA62+(1-EXP(-LN(2)/25))/(LN(2)/25)*Calculateur!V63*Calculateur!X63*VLOOKUP('Données projet'!$B$9,Paramètres!$A$1:$I$89,3,0)*0.475*44/12</f>
        <v>61.561002362469281</v>
      </c>
      <c r="AB63" s="21">
        <f>EXP(-LN(2)/2)*AB62+(1-EXP(-LN(2)/2))/(LN(2)/2)*V63*Y63*VLOOKUP('Données projet'!$B$9,Paramètres!$A$1:$I$89,3,0)*0.475*44/12</f>
        <v>0.48280968859491669</v>
      </c>
      <c r="AC63" s="22">
        <f t="shared" si="3"/>
        <v>192.32071623708501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280.11276976762787</v>
      </c>
      <c r="AO63" s="59">
        <f t="shared" si="36"/>
        <v>471.89239871617241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116.30885843826943</v>
      </c>
      <c r="AV63" s="21">
        <f>EXP(-LN(2)/25)*AV62+(1-EXP(-LN(2)/25))/(LN(2)/25)*Calculateur!AQ63*Calculateur!AS63*VLOOKUP('Données projet'!$B$10,Paramètres!$A$1:$I$89,3,0)*0.475*44/12</f>
        <v>58.280575971972922</v>
      </c>
      <c r="AW63" s="21">
        <f>EXP(-LN(2)/2)*AW62+(1-EXP(-LN(2)/2))/(LN(2)/2)*AQ63*AT63*VLOOKUP('Données projet'!$B$10,Paramètres!$A$1:$I$89,3,0)*0.475*44/12</f>
        <v>0.44053178473208382</v>
      </c>
      <c r="AX63" s="21">
        <f t="shared" si="6"/>
        <v>175.02996619497443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0</v>
      </c>
      <c r="BJ63" s="59">
        <f t="shared" si="38"/>
        <v>0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0</v>
      </c>
      <c r="CE63" s="59">
        <f t="shared" si="40"/>
        <v>0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-3.4106051316484809E-13</v>
      </c>
      <c r="O64" s="13">
        <f>N64*VLOOKUP('Données projet'!$B$9,Paramètres!$A$1:$I$89,3,0)*VLOOKUP('Données projet'!$B$9,Paramètres!$A$1:$I$89,5,0)</f>
        <v>-1.9065282685915009E-13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354.30476036506167</v>
      </c>
      <c r="T64" s="59">
        <f t="shared" si="34"/>
        <v>593.51433014569966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127.72225355599836</v>
      </c>
      <c r="AA64" s="21">
        <f>EXP(-LN(2)/25)*AA63+(1-EXP(-LN(2)/25))/(LN(2)/25)*Calculateur!V64*Calculateur!X64*VLOOKUP('Données projet'!$B$9,Paramètres!$A$1:$I$89,3,0)*0.475*44/12</f>
        <v>59.877613515515144</v>
      </c>
      <c r="AB64" s="21">
        <f>EXP(-LN(2)/2)*AB63+(1-EXP(-LN(2)/2))/(LN(2)/2)*V64*Y64*VLOOKUP('Données projet'!$B$9,Paramètres!$A$1:$I$89,3,0)*0.475*44/12</f>
        <v>0.3413980048280309</v>
      </c>
      <c r="AC64" s="22">
        <f t="shared" si="3"/>
        <v>187.94126507634152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280.11276976762787</v>
      </c>
      <c r="AO64" s="59">
        <f t="shared" si="36"/>
        <v>471.89239871617241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114.02811266569373</v>
      </c>
      <c r="AV64" s="21">
        <f>EXP(-LN(2)/25)*AV63+(1-EXP(-LN(2)/25))/(LN(2)/25)*Calculateur!AQ64*Calculateur!AS64*VLOOKUP('Données projet'!$B$10,Paramètres!$A$1:$I$89,3,0)*0.475*44/12</f>
        <v>56.686890557177037</v>
      </c>
      <c r="AW64" s="21">
        <f>EXP(-LN(2)/2)*AW63+(1-EXP(-LN(2)/2))/(LN(2)/2)*AQ64*AT64*VLOOKUP('Données projet'!$B$10,Paramètres!$A$1:$I$89,3,0)*0.475*44/12</f>
        <v>0.31150301231226885</v>
      </c>
      <c r="AX64" s="21">
        <f t="shared" si="6"/>
        <v>171.02650623518304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0</v>
      </c>
      <c r="BJ64" s="59">
        <f t="shared" si="38"/>
        <v>0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0</v>
      </c>
      <c r="CE64" s="59">
        <f t="shared" si="40"/>
        <v>0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-3.4106051316484809E-13</v>
      </c>
      <c r="O65" s="13">
        <f>N65*VLOOKUP('Données projet'!$B$9,Paramètres!$A$1:$I$89,3,0)*VLOOKUP('Données projet'!$B$9,Paramètres!$A$1:$I$89,5,0)</f>
        <v>-1.9065282685915009E-13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354.30476036506167</v>
      </c>
      <c r="T65" s="59">
        <f t="shared" si="34"/>
        <v>593.51433014569966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125.21769806664763</v>
      </c>
      <c r="AA65" s="21">
        <f>EXP(-LN(2)/25)*AA64+(1-EXP(-LN(2)/25))/(LN(2)/25)*Calculateur!V65*Calculateur!X65*VLOOKUP('Données projet'!$B$9,Paramètres!$A$1:$I$89,3,0)*0.475*44/12</f>
        <v>58.240257025106537</v>
      </c>
      <c r="AB65" s="21">
        <f>EXP(-LN(2)/2)*AB64+(1-EXP(-LN(2)/2))/(LN(2)/2)*V65*Y65*VLOOKUP('Données projet'!$B$9,Paramètres!$A$1:$I$89,3,0)*0.475*44/12</f>
        <v>0.24140484429745834</v>
      </c>
      <c r="AC65" s="22">
        <f t="shared" si="3"/>
        <v>183.69935993605162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280.11276976762787</v>
      </c>
      <c r="AO65" s="59">
        <f t="shared" si="36"/>
        <v>471.89239871617241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111.79209092660068</v>
      </c>
      <c r="AV65" s="21">
        <f>EXP(-LN(2)/25)*AV64+(1-EXP(-LN(2)/25))/(LN(2)/25)*Calculateur!AQ65*Calculateur!AS65*VLOOKUP('Données projet'!$B$10,Paramètres!$A$1:$I$89,3,0)*0.475*44/12</f>
        <v>55.136784553857019</v>
      </c>
      <c r="AW65" s="21">
        <f>EXP(-LN(2)/2)*AW64+(1-EXP(-LN(2)/2))/(LN(2)/2)*AQ65*AT65*VLOOKUP('Données projet'!$B$10,Paramètres!$A$1:$I$89,3,0)*0.475*44/12</f>
        <v>0.22026589236604191</v>
      </c>
      <c r="AX65" s="21">
        <f t="shared" si="6"/>
        <v>167.14914137282372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0</v>
      </c>
      <c r="BJ65" s="59">
        <f t="shared" si="38"/>
        <v>0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0</v>
      </c>
      <c r="CE65" s="59">
        <f t="shared" si="40"/>
        <v>0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-3.4106051316484809E-13</v>
      </c>
      <c r="O66" s="13">
        <f>N66*VLOOKUP('Données projet'!$B$9,Paramètres!$A$1:$I$89,3,0)*VLOOKUP('Données projet'!$B$9,Paramètres!$A$1:$I$89,5,0)</f>
        <v>-1.9065282685915009E-13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354.30476036506167</v>
      </c>
      <c r="T66" s="59">
        <f t="shared" si="34"/>
        <v>593.51433014569966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122.76225538281506</v>
      </c>
      <c r="AA66" s="21">
        <f>EXP(-LN(2)/25)*AA65+(1-EXP(-LN(2)/25))/(LN(2)/25)*Calculateur!V66*Calculateur!X66*VLOOKUP('Données projet'!$B$9,Paramètres!$A$1:$I$89,3,0)*0.475*44/12</f>
        <v>56.647674134032989</v>
      </c>
      <c r="AB66" s="21">
        <f>EXP(-LN(2)/2)*AB65+(1-EXP(-LN(2)/2))/(LN(2)/2)*V66*Y66*VLOOKUP('Données projet'!$B$9,Paramètres!$A$1:$I$89,3,0)*0.475*44/12</f>
        <v>0.17069900241401545</v>
      </c>
      <c r="AC66" s="22">
        <f t="shared" si="3"/>
        <v>179.58062851926206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280.11276976762787</v>
      </c>
      <c r="AO66" s="59">
        <f t="shared" si="36"/>
        <v>471.89239871617241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109.59991620997265</v>
      </c>
      <c r="AV66" s="21">
        <f>EXP(-LN(2)/25)*AV65+(1-EXP(-LN(2)/25))/(LN(2)/25)*Calculateur!AQ66*Calculateur!AS66*VLOOKUP('Données projet'!$B$10,Paramètres!$A$1:$I$89,3,0)*0.475*44/12</f>
        <v>53.629066280714319</v>
      </c>
      <c r="AW66" s="21">
        <f>EXP(-LN(2)/2)*AW65+(1-EXP(-LN(2)/2))/(LN(2)/2)*AQ66*AT66*VLOOKUP('Données projet'!$B$10,Paramètres!$A$1:$I$89,3,0)*0.475*44/12</f>
        <v>0.15575150615613442</v>
      </c>
      <c r="AX66" s="21">
        <f t="shared" si="6"/>
        <v>163.3847339968431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0</v>
      </c>
      <c r="BJ66" s="59">
        <f t="shared" si="38"/>
        <v>0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0</v>
      </c>
      <c r="CE66" s="59">
        <f t="shared" si="40"/>
        <v>0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-3.4106051316484809E-13</v>
      </c>
      <c r="O67" s="13">
        <f>N67*VLOOKUP('Données projet'!$B$9,Paramètres!$A$1:$I$89,3,0)*VLOOKUP('Données projet'!$B$9,Paramètres!$A$1:$I$89,5,0)</f>
        <v>-1.9065282685915009E-13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354.30476036506167</v>
      </c>
      <c r="T67" s="59">
        <f t="shared" si="34"/>
        <v>593.51433014569966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120.35496243234029</v>
      </c>
      <c r="AA67" s="21">
        <f>EXP(-LN(2)/25)*AA66+(1-EXP(-LN(2)/25))/(LN(2)/25)*Calculateur!V67*Calculateur!X67*VLOOKUP('Données projet'!$B$9,Paramètres!$A$1:$I$89,3,0)*0.475*44/12</f>
        <v>55.098640505866143</v>
      </c>
      <c r="AB67" s="21">
        <f>EXP(-LN(2)/2)*AB66+(1-EXP(-LN(2)/2))/(LN(2)/2)*V67*Y67*VLOOKUP('Données projet'!$B$9,Paramètres!$A$1:$I$89,3,0)*0.475*44/12</f>
        <v>0.12070242214872917</v>
      </c>
      <c r="AC67" s="22">
        <f t="shared" si="3"/>
        <v>175.57430536035514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280.11276976762787</v>
      </c>
      <c r="AO67" s="59">
        <f t="shared" si="36"/>
        <v>471.89239871617241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107.45072870244314</v>
      </c>
      <c r="AV67" s="21">
        <f>EXP(-LN(2)/25)*AV66+(1-EXP(-LN(2)/25))/(LN(2)/25)*Calculateur!AQ67*Calculateur!AS67*VLOOKUP('Données projet'!$B$10,Paramètres!$A$1:$I$89,3,0)*0.475*44/12</f>
        <v>52.162576643038165</v>
      </c>
      <c r="AW67" s="21">
        <f>EXP(-LN(2)/2)*AW66+(1-EXP(-LN(2)/2))/(LN(2)/2)*AQ67*AT67*VLOOKUP('Données projet'!$B$10,Paramètres!$A$1:$I$89,3,0)*0.475*44/12</f>
        <v>0.11013294618302095</v>
      </c>
      <c r="AX67" s="21">
        <f t="shared" si="6"/>
        <v>159.72343829166434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0</v>
      </c>
      <c r="BJ67" s="59">
        <f t="shared" si="38"/>
        <v>0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0</v>
      </c>
      <c r="CE67" s="59">
        <f t="shared" si="40"/>
        <v>0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-3.4106051316484809E-13</v>
      </c>
      <c r="O68" s="13">
        <f>N68*VLOOKUP('Données projet'!$B$9,Paramètres!$A$1:$I$89,3,0)*VLOOKUP('Données projet'!$B$9,Paramètres!$A$1:$I$89,5,0)</f>
        <v>-1.9065282685915009E-13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354.30476036506167</v>
      </c>
      <c r="T68" s="59">
        <f t="shared" si="34"/>
        <v>593.51433014569966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117.99487502832061</v>
      </c>
      <c r="AA68" s="21">
        <f>EXP(-LN(2)/25)*AA67+(1-EXP(-LN(2)/25))/(LN(2)/25)*Calculateur!V68*Calculateur!X68*VLOOKUP('Données projet'!$B$9,Paramètres!$A$1:$I$89,3,0)*0.475*44/12</f>
        <v>53.591965283721656</v>
      </c>
      <c r="AB68" s="21">
        <f>EXP(-LN(2)/2)*AB67+(1-EXP(-LN(2)/2))/(LN(2)/2)*V68*Y68*VLOOKUP('Données projet'!$B$9,Paramètres!$A$1:$I$89,3,0)*0.475*44/12</f>
        <v>8.5349501207007725E-2</v>
      </c>
      <c r="AC68" s="22">
        <f t="shared" ref="AC68:AC131" si="57">SUM(Z68:AB68)</f>
        <v>171.67218981324928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280.11276976762787</v>
      </c>
      <c r="AO68" s="59">
        <f t="shared" si="36"/>
        <v>471.89239871617241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105.34368545106136</v>
      </c>
      <c r="AV68" s="21">
        <f>EXP(-LN(2)/25)*AV67+(1-EXP(-LN(2)/25))/(LN(2)/25)*Calculateur!AQ68*Calculateur!AS68*VLOOKUP('Données projet'!$B$10,Paramètres!$A$1:$I$89,3,0)*0.475*44/12</f>
        <v>50.736188241623601</v>
      </c>
      <c r="AW68" s="21">
        <f>EXP(-LN(2)/2)*AW67+(1-EXP(-LN(2)/2))/(LN(2)/2)*AQ68*AT68*VLOOKUP('Données projet'!$B$10,Paramètres!$A$1:$I$89,3,0)*0.475*44/12</f>
        <v>7.7875753078067211E-2</v>
      </c>
      <c r="AX68" s="21">
        <f t="shared" ref="AX68:AX131" si="60">SUM(AU68:AW68)</f>
        <v>156.15774944576305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0</v>
      </c>
      <c r="BJ68" s="59">
        <f t="shared" si="38"/>
        <v>0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0</v>
      </c>
      <c r="CE68" s="59">
        <f t="shared" si="40"/>
        <v>0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-3.4106051316484809E-13</v>
      </c>
      <c r="O69" s="13">
        <f>N69*VLOOKUP('Données projet'!$B$9,Paramètres!$A$1:$I$89,3,0)*VLOOKUP('Données projet'!$B$9,Paramètres!$A$1:$I$89,5,0)</f>
        <v>-1.9065282685915009E-13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354.30476036506167</v>
      </c>
      <c r="T69" s="59">
        <f t="shared" ref="T69:T132" si="88">$T$3</f>
        <v>593.51433014569966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115.68106749878258</v>
      </c>
      <c r="AA69" s="21">
        <f>EXP(-LN(2)/25)*AA68+(1-EXP(-LN(2)/25))/(LN(2)/25)*Calculateur!V69*Calculateur!X69*VLOOKUP('Données projet'!$B$9,Paramètres!$A$1:$I$89,3,0)*0.475*44/12</f>
        <v>52.126490174759319</v>
      </c>
      <c r="AB69" s="21">
        <f>EXP(-LN(2)/2)*AB68+(1-EXP(-LN(2)/2))/(LN(2)/2)*V69*Y69*VLOOKUP('Données projet'!$B$9,Paramètres!$A$1:$I$89,3,0)*0.475*44/12</f>
        <v>6.0351211074364586E-2</v>
      </c>
      <c r="AC69" s="22">
        <f t="shared" si="57"/>
        <v>167.86790888461627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280.11276976762787</v>
      </c>
      <c r="AO69" s="59">
        <f t="shared" ref="AO69:AO132" si="90">$AO$3</f>
        <v>471.89239871617241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103.27796003266968</v>
      </c>
      <c r="AV69" s="21">
        <f>EXP(-LN(2)/25)*AV68+(1-EXP(-LN(2)/25))/(LN(2)/25)*Calculateur!AQ69*Calculateur!AS69*VLOOKUP('Données projet'!$B$10,Paramètres!$A$1:$I$89,3,0)*0.475*44/12</f>
        <v>49.348804506056226</v>
      </c>
      <c r="AW69" s="21">
        <f>EXP(-LN(2)/2)*AW68+(1-EXP(-LN(2)/2))/(LN(2)/2)*AQ69*AT69*VLOOKUP('Données projet'!$B$10,Paramètres!$A$1:$I$89,3,0)*0.475*44/12</f>
        <v>5.5066473091510477E-2</v>
      </c>
      <c r="AX69" s="21">
        <f t="shared" si="60"/>
        <v>152.68183101181742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0</v>
      </c>
      <c r="BJ69" s="59">
        <f t="shared" ref="BJ69:BJ132" si="92">$BJ$3</f>
        <v>0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0</v>
      </c>
      <c r="CE69" s="59">
        <f t="shared" ref="CE69:CE132" si="94">$CE$3</f>
        <v>0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-3.4106051316484809E-13</v>
      </c>
      <c r="O70" s="13">
        <f>N70*VLOOKUP('Données projet'!$B$9,Paramètres!$A$1:$I$89,3,0)*VLOOKUP('Données projet'!$B$9,Paramètres!$A$1:$I$89,5,0)</f>
        <v>-1.9065282685915009E-13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354.30476036506167</v>
      </c>
      <c r="T70" s="59">
        <f t="shared" si="88"/>
        <v>593.51433014569966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113.41263232361555</v>
      </c>
      <c r="AA70" s="21">
        <f>EXP(-LN(2)/25)*AA69+(1-EXP(-LN(2)/25))/(LN(2)/25)*Calculateur!V70*Calculateur!X70*VLOOKUP('Données projet'!$B$9,Paramètres!$A$1:$I$89,3,0)*0.475*44/12</f>
        <v>50.70108855971754</v>
      </c>
      <c r="AB70" s="21">
        <f>EXP(-LN(2)/2)*AB69+(1-EXP(-LN(2)/2))/(LN(2)/2)*V70*Y70*VLOOKUP('Données projet'!$B$9,Paramètres!$A$1:$I$89,3,0)*0.475*44/12</f>
        <v>4.2674750603503862E-2</v>
      </c>
      <c r="AC70" s="22">
        <f t="shared" si="57"/>
        <v>164.1563956339366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280.11276976762787</v>
      </c>
      <c r="AO70" s="59">
        <f t="shared" si="90"/>
        <v>471.89239871617241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101.25274222976458</v>
      </c>
      <c r="AV70" s="21">
        <f>EXP(-LN(2)/25)*AV69+(1-EXP(-LN(2)/25))/(LN(2)/25)*Calculateur!AQ70*Calculateur!AS70*VLOOKUP('Données projet'!$B$10,Paramètres!$A$1:$I$89,3,0)*0.475*44/12</f>
        <v>47.999358851697281</v>
      </c>
      <c r="AW70" s="21">
        <f>EXP(-LN(2)/2)*AW69+(1-EXP(-LN(2)/2))/(LN(2)/2)*AQ70*AT70*VLOOKUP('Données projet'!$B$10,Paramètres!$A$1:$I$89,3,0)*0.475*44/12</f>
        <v>3.8937876539033606E-2</v>
      </c>
      <c r="AX70" s="21">
        <f t="shared" si="60"/>
        <v>149.29103895800088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0</v>
      </c>
      <c r="BJ70" s="59">
        <f t="shared" si="92"/>
        <v>0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0</v>
      </c>
      <c r="CE70" s="59">
        <f t="shared" si="94"/>
        <v>0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-3.4106051316484809E-13</v>
      </c>
      <c r="O71" s="13">
        <f>N71*VLOOKUP('Données projet'!$B$9,Paramètres!$A$1:$I$89,3,0)*VLOOKUP('Données projet'!$B$9,Paramètres!$A$1:$I$89,5,0)</f>
        <v>-1.9065282685915009E-13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354.30476036506167</v>
      </c>
      <c r="T71" s="59">
        <f t="shared" si="88"/>
        <v>593.51433014569966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111.18867977862472</v>
      </c>
      <c r="AA71" s="21">
        <f>EXP(-LN(2)/25)*AA70+(1-EXP(-LN(2)/25))/(LN(2)/25)*Calculateur!V71*Calculateur!X71*VLOOKUP('Données projet'!$B$9,Paramètres!$A$1:$I$89,3,0)*0.475*44/12</f>
        <v>49.314664626797693</v>
      </c>
      <c r="AB71" s="21">
        <f>EXP(-LN(2)/2)*AB70+(1-EXP(-LN(2)/2))/(LN(2)/2)*V71*Y71*VLOOKUP('Données projet'!$B$9,Paramètres!$A$1:$I$89,3,0)*0.475*44/12</f>
        <v>3.0175605537182293E-2</v>
      </c>
      <c r="AC71" s="22">
        <f t="shared" si="57"/>
        <v>160.53352001095959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280.11276976762787</v>
      </c>
      <c r="AO71" s="59">
        <f t="shared" si="90"/>
        <v>471.89239871617241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99.267237712713552</v>
      </c>
      <c r="AV71" s="21">
        <f>EXP(-LN(2)/25)*AV70+(1-EXP(-LN(2)/25))/(LN(2)/25)*Calculateur!AQ71*Calculateur!AS71*VLOOKUP('Données projet'!$B$10,Paramètres!$A$1:$I$89,3,0)*0.475*44/12</f>
        <v>46.686813859721042</v>
      </c>
      <c r="AW71" s="21">
        <f>EXP(-LN(2)/2)*AW70+(1-EXP(-LN(2)/2))/(LN(2)/2)*AQ71*AT71*VLOOKUP('Données projet'!$B$10,Paramètres!$A$1:$I$89,3,0)*0.475*44/12</f>
        <v>2.7533236545755239E-2</v>
      </c>
      <c r="AX71" s="21">
        <f t="shared" si="60"/>
        <v>145.98158480898036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0</v>
      </c>
      <c r="BJ71" s="59">
        <f t="shared" si="92"/>
        <v>0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0</v>
      </c>
      <c r="CE71" s="59">
        <f t="shared" si="94"/>
        <v>0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-3.4106051316484809E-13</v>
      </c>
      <c r="O72" s="13">
        <f>N72*VLOOKUP('Données projet'!$B$9,Paramètres!$A$1:$I$89,3,0)*VLOOKUP('Données projet'!$B$9,Paramètres!$A$1:$I$89,5,0)</f>
        <v>-1.9065282685915009E-13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354.30476036506167</v>
      </c>
      <c r="T72" s="59">
        <f t="shared" si="88"/>
        <v>593.51433014569966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109.00833758656404</v>
      </c>
      <c r="AA72" s="21">
        <f>EXP(-LN(2)/25)*AA71+(1-EXP(-LN(2)/25))/(LN(2)/25)*Calculateur!V72*Calculateur!X72*VLOOKUP('Données projet'!$B$9,Paramètres!$A$1:$I$89,3,0)*0.475*44/12</f>
        <v>47.96615252923241</v>
      </c>
      <c r="AB72" s="21">
        <f>EXP(-LN(2)/2)*AB71+(1-EXP(-LN(2)/2))/(LN(2)/2)*V72*Y72*VLOOKUP('Données projet'!$B$9,Paramètres!$A$1:$I$89,3,0)*0.475*44/12</f>
        <v>2.1337375301751931E-2</v>
      </c>
      <c r="AC72" s="22">
        <f t="shared" si="57"/>
        <v>156.9958274910982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280.11276976762787</v>
      </c>
      <c r="AO72" s="59">
        <f t="shared" si="90"/>
        <v>471.89239871617241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97.320667728203716</v>
      </c>
      <c r="AV72" s="21">
        <f>EXP(-LN(2)/25)*AV71+(1-EXP(-LN(2)/25))/(LN(2)/25)*Calculateur!AQ72*Calculateur!AS72*VLOOKUP('Données projet'!$B$10,Paramètres!$A$1:$I$89,3,0)*0.475*44/12</f>
        <v>45.410160479574131</v>
      </c>
      <c r="AW72" s="21">
        <f>EXP(-LN(2)/2)*AW71+(1-EXP(-LN(2)/2))/(LN(2)/2)*AQ72*AT72*VLOOKUP('Données projet'!$B$10,Paramètres!$A$1:$I$89,3,0)*0.475*44/12</f>
        <v>1.9468938269516803E-2</v>
      </c>
      <c r="AX72" s="21">
        <f t="shared" si="60"/>
        <v>142.75029714604736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0</v>
      </c>
      <c r="BJ72" s="59">
        <f t="shared" si="92"/>
        <v>0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0</v>
      </c>
      <c r="CE72" s="59">
        <f t="shared" si="94"/>
        <v>0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-3.4106051316484809E-13</v>
      </c>
      <c r="O73" s="13">
        <f>N73*VLOOKUP('Données projet'!$B$9,Paramètres!$A$1:$I$89,3,0)*VLOOKUP('Données projet'!$B$9,Paramètres!$A$1:$I$89,5,0)</f>
        <v>-1.9065282685915009E-13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354.30476036506167</v>
      </c>
      <c r="T73" s="59">
        <f t="shared" si="88"/>
        <v>593.51433014569966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106.87075057501225</v>
      </c>
      <c r="AA73" s="21">
        <f>EXP(-LN(2)/25)*AA72+(1-EXP(-LN(2)/25))/(LN(2)/25)*Calculateur!V73*Calculateur!X73*VLOOKUP('Données projet'!$B$9,Paramètres!$A$1:$I$89,3,0)*0.475*44/12</f>
        <v>46.654515565890215</v>
      </c>
      <c r="AB73" s="21">
        <f>EXP(-LN(2)/2)*AB72+(1-EXP(-LN(2)/2))/(LN(2)/2)*V73*Y73*VLOOKUP('Données projet'!$B$9,Paramètres!$A$1:$I$89,3,0)*0.475*44/12</f>
        <v>1.5087802768591146E-2</v>
      </c>
      <c r="AC73" s="22">
        <f t="shared" si="57"/>
        <v>153.54035394367105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280.11276976762787</v>
      </c>
      <c r="AO73" s="59">
        <f t="shared" si="90"/>
        <v>471.89239871617241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95.412268793799669</v>
      </c>
      <c r="AV73" s="21">
        <f>EXP(-LN(2)/25)*AV72+(1-EXP(-LN(2)/25))/(LN(2)/25)*Calculateur!AQ73*Calculateur!AS73*VLOOKUP('Données projet'!$B$10,Paramètres!$A$1:$I$89,3,0)*0.475*44/12</f>
        <v>44.168417253243625</v>
      </c>
      <c r="AW73" s="21">
        <f>EXP(-LN(2)/2)*AW72+(1-EXP(-LN(2)/2))/(LN(2)/2)*AQ73*AT73*VLOOKUP('Données projet'!$B$10,Paramètres!$A$1:$I$89,3,0)*0.475*44/12</f>
        <v>1.3766618272877619E-2</v>
      </c>
      <c r="AX73" s="21">
        <f t="shared" si="60"/>
        <v>139.59445266531617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0</v>
      </c>
      <c r="BJ73" s="59">
        <f t="shared" si="92"/>
        <v>0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0</v>
      </c>
      <c r="CE73" s="59">
        <f t="shared" si="94"/>
        <v>0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354.30476036506167</v>
      </c>
      <c r="T74" s="59">
        <f t="shared" si="88"/>
        <v>593.51433014569966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104.77508034095766</v>
      </c>
      <c r="AA74" s="21">
        <f>EXP(-LN(2)/25)*AA73+(1-EXP(-LN(2)/25))/(LN(2)/25)*Calculateur!V74*Calculateur!X74*VLOOKUP('Données projet'!$B$9,Paramètres!$A$1:$I$89,3,0)*0.475*44/12</f>
        <v>45.378745384286603</v>
      </c>
      <c r="AB74" s="21">
        <f>EXP(-LN(2)/2)*AB73+(1-EXP(-LN(2)/2))/(LN(2)/2)*V74*Y74*VLOOKUP('Données projet'!$B$9,Paramètres!$A$1:$I$89,3,0)*0.475*44/12</f>
        <v>1.0668687650875966E-2</v>
      </c>
      <c r="AC74" s="22">
        <f t="shared" si="57"/>
        <v>150.16449441289512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280.11276976762787</v>
      </c>
      <c r="AO74" s="59">
        <f t="shared" si="90"/>
        <v>471.89239871617241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93.541292398490867</v>
      </c>
      <c r="AV74" s="21">
        <f>EXP(-LN(2)/25)*AV73+(1-EXP(-LN(2)/25))/(LN(2)/25)*Calculateur!AQ74*Calculateur!AS74*VLOOKUP('Données projet'!$B$10,Paramètres!$A$1:$I$89,3,0)*0.475*44/12</f>
        <v>42.960629560737566</v>
      </c>
      <c r="AW74" s="21">
        <f>EXP(-LN(2)/2)*AW73+(1-EXP(-LN(2)/2))/(LN(2)/2)*AQ74*AT74*VLOOKUP('Données projet'!$B$10,Paramètres!$A$1:$I$89,3,0)*0.475*44/12</f>
        <v>9.7344691347584014E-3</v>
      </c>
      <c r="AX74" s="21">
        <f t="shared" si="60"/>
        <v>136.51165642836321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0</v>
      </c>
      <c r="BJ74" s="59">
        <f t="shared" si="92"/>
        <v>0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0</v>
      </c>
      <c r="CE74" s="59">
        <f t="shared" si="94"/>
        <v>0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354.30476036506167</v>
      </c>
      <c r="T75" s="59">
        <f t="shared" si="88"/>
        <v>593.51433014569966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102.72050492196024</v>
      </c>
      <c r="AA75" s="21">
        <f>EXP(-LN(2)/25)*AA74+(1-EXP(-LN(2)/25))/(LN(2)/25)*Calculateur!V75*Calculateur!X75*VLOOKUP('Données projet'!$B$9,Paramètres!$A$1:$I$89,3,0)*0.475*44/12</f>
        <v>44.137861205388781</v>
      </c>
      <c r="AB75" s="21">
        <f>EXP(-LN(2)/2)*AB74+(1-EXP(-LN(2)/2))/(LN(2)/2)*V75*Y75*VLOOKUP('Données projet'!$B$9,Paramètres!$A$1:$I$89,3,0)*0.475*44/12</f>
        <v>7.5439013842955732E-3</v>
      </c>
      <c r="AC75" s="22">
        <f t="shared" si="57"/>
        <v>146.86591002873334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280.11276976762787</v>
      </c>
      <c r="AO75" s="59">
        <f t="shared" si="90"/>
        <v>471.89239871617241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91.70700470911116</v>
      </c>
      <c r="AV75" s="21">
        <f>EXP(-LN(2)/25)*AV74+(1-EXP(-LN(2)/25))/(LN(2)/25)*Calculateur!AQ75*Calculateur!AS75*VLOOKUP('Données projet'!$B$10,Paramètres!$A$1:$I$89,3,0)*0.475*44/12</f>
        <v>41.785868886197875</v>
      </c>
      <c r="AW75" s="21">
        <f>EXP(-LN(2)/2)*AW74+(1-EXP(-LN(2)/2))/(LN(2)/2)*AQ75*AT75*VLOOKUP('Données projet'!$B$10,Paramètres!$A$1:$I$89,3,0)*0.475*44/12</f>
        <v>6.8833091364388097E-3</v>
      </c>
      <c r="AX75" s="21">
        <f t="shared" si="60"/>
        <v>133.49975690444549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0</v>
      </c>
      <c r="BJ75" s="59">
        <f t="shared" si="92"/>
        <v>0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0</v>
      </c>
      <c r="CE75" s="59">
        <f t="shared" si="94"/>
        <v>0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354.30476036506167</v>
      </c>
      <c r="T76" s="59">
        <f t="shared" si="88"/>
        <v>593.51433014569966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100.70621847376211</v>
      </c>
      <c r="AA76" s="21">
        <f>EXP(-LN(2)/25)*AA75+(1-EXP(-LN(2)/25))/(LN(2)/25)*Calculateur!V76*Calculateur!X76*VLOOKUP('Données projet'!$B$9,Paramètres!$A$1:$I$89,3,0)*0.475*44/12</f>
        <v>42.930909069618181</v>
      </c>
      <c r="AB76" s="21">
        <f>EXP(-LN(2)/2)*AB75+(1-EXP(-LN(2)/2))/(LN(2)/2)*V76*Y76*VLOOKUP('Données projet'!$B$9,Paramètres!$A$1:$I$89,3,0)*0.475*44/12</f>
        <v>5.3343438254379828E-3</v>
      </c>
      <c r="AC76" s="22">
        <f t="shared" si="57"/>
        <v>143.64246188720574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280.11276976762787</v>
      </c>
      <c r="AO76" s="59">
        <f t="shared" si="90"/>
        <v>471.89239871617241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89.908686282515163</v>
      </c>
      <c r="AV76" s="21">
        <f>EXP(-LN(2)/25)*AV75+(1-EXP(-LN(2)/25))/(LN(2)/25)*Calculateur!AQ76*Calculateur!AS76*VLOOKUP('Données projet'!$B$10,Paramètres!$A$1:$I$89,3,0)*0.475*44/12</f>
        <v>40.643232104081456</v>
      </c>
      <c r="AW76" s="21">
        <f>EXP(-LN(2)/2)*AW75+(1-EXP(-LN(2)/2))/(LN(2)/2)*AQ76*AT76*VLOOKUP('Données projet'!$B$10,Paramètres!$A$1:$I$89,3,0)*0.475*44/12</f>
        <v>4.8672345673792007E-3</v>
      </c>
      <c r="AX76" s="21">
        <f t="shared" si="60"/>
        <v>130.55678562116398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0</v>
      </c>
      <c r="BJ76" s="59">
        <f t="shared" si="92"/>
        <v>0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0</v>
      </c>
      <c r="CE76" s="59">
        <f t="shared" si="94"/>
        <v>0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354.30476036506167</v>
      </c>
      <c r="T77" s="59">
        <f t="shared" si="88"/>
        <v>593.51433014569966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98.731430954219718</v>
      </c>
      <c r="AA77" s="21">
        <f>EXP(-LN(2)/25)*AA76+(1-EXP(-LN(2)/25))/(LN(2)/25)*Calculateur!V77*Calculateur!X77*VLOOKUP('Données projet'!$B$9,Paramètres!$A$1:$I$89,3,0)*0.475*44/12</f>
        <v>41.756961103471085</v>
      </c>
      <c r="AB77" s="21">
        <f>EXP(-LN(2)/2)*AB76+(1-EXP(-LN(2)/2))/(LN(2)/2)*V77*Y77*VLOOKUP('Données projet'!$B$9,Paramètres!$A$1:$I$89,3,0)*0.475*44/12</f>
        <v>3.7719506921477866E-3</v>
      </c>
      <c r="AC77" s="22">
        <f t="shared" si="57"/>
        <v>140.49216400838296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280.11276976762787</v>
      </c>
      <c r="AO77" s="59">
        <f t="shared" si="90"/>
        <v>471.89239871617241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88.145631783398784</v>
      </c>
      <c r="AV77" s="21">
        <f>EXP(-LN(2)/25)*AV76+(1-EXP(-LN(2)/25))/(LN(2)/25)*Calculateur!AQ77*Calculateur!AS77*VLOOKUP('Données projet'!$B$10,Paramètres!$A$1:$I$89,3,0)*0.475*44/12</f>
        <v>39.531840784860663</v>
      </c>
      <c r="AW77" s="21">
        <f>EXP(-LN(2)/2)*AW76+(1-EXP(-LN(2)/2))/(LN(2)/2)*AQ77*AT77*VLOOKUP('Données projet'!$B$10,Paramètres!$A$1:$I$89,3,0)*0.475*44/12</f>
        <v>3.4416545682194048E-3</v>
      </c>
      <c r="AX77" s="21">
        <f t="shared" si="60"/>
        <v>127.68091422282767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0</v>
      </c>
      <c r="BJ77" s="59">
        <f t="shared" si="92"/>
        <v>0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0</v>
      </c>
      <c r="CE77" s="59">
        <f t="shared" si="94"/>
        <v>0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354.30476036506167</v>
      </c>
      <c r="T78" s="59">
        <f t="shared" si="88"/>
        <v>593.51433014569966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96.795367813434098</v>
      </c>
      <c r="AA78" s="21">
        <f>EXP(-LN(2)/25)*AA77+(1-EXP(-LN(2)/25))/(LN(2)/25)*Calculateur!V78*Calculateur!X78*VLOOKUP('Données projet'!$B$9,Paramètres!$A$1:$I$89,3,0)*0.475*44/12</f>
        <v>40.615114806193517</v>
      </c>
      <c r="AB78" s="21">
        <f>EXP(-LN(2)/2)*AB77+(1-EXP(-LN(2)/2))/(LN(2)/2)*V78*Y78*VLOOKUP('Données projet'!$B$9,Paramètres!$A$1:$I$89,3,0)*0.475*44/12</f>
        <v>2.6671719127189914E-3</v>
      </c>
      <c r="AC78" s="22">
        <f t="shared" si="57"/>
        <v>137.41314979154032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280.11276976762787</v>
      </c>
      <c r="AO78" s="59">
        <f t="shared" si="90"/>
        <v>471.89239871617241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86.41714970765301</v>
      </c>
      <c r="AV78" s="21">
        <f>EXP(-LN(2)/25)*AV77+(1-EXP(-LN(2)/25))/(LN(2)/25)*Calculateur!AQ78*Calculateur!AS78*VLOOKUP('Données projet'!$B$10,Paramètres!$A$1:$I$89,3,0)*0.475*44/12</f>
        <v>38.450840519709494</v>
      </c>
      <c r="AW78" s="21">
        <f>EXP(-LN(2)/2)*AW77+(1-EXP(-LN(2)/2))/(LN(2)/2)*AQ78*AT78*VLOOKUP('Données projet'!$B$10,Paramètres!$A$1:$I$89,3,0)*0.475*44/12</f>
        <v>2.4336172836896004E-3</v>
      </c>
      <c r="AX78" s="21">
        <f t="shared" si="60"/>
        <v>124.87042384464618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0</v>
      </c>
      <c r="BJ78" s="59">
        <f t="shared" si="92"/>
        <v>0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0</v>
      </c>
      <c r="CE78" s="59">
        <f t="shared" si="94"/>
        <v>0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354.30476036506167</v>
      </c>
      <c r="T79" s="59">
        <f t="shared" si="88"/>
        <v>593.51433014569966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94.897269689957369</v>
      </c>
      <c r="AA79" s="21">
        <f>EXP(-LN(2)/25)*AA78+(1-EXP(-LN(2)/25))/(LN(2)/25)*Calculateur!V79*Calculateur!X79*VLOOKUP('Données projet'!$B$9,Paramètres!$A$1:$I$89,3,0)*0.475*44/12</f>
        <v>39.504492355962093</v>
      </c>
      <c r="AB79" s="21">
        <f>EXP(-LN(2)/2)*AB78+(1-EXP(-LN(2)/2))/(LN(2)/2)*V79*Y79*VLOOKUP('Données projet'!$B$9,Paramètres!$A$1:$I$89,3,0)*0.475*44/12</f>
        <v>1.8859753460738933E-3</v>
      </c>
      <c r="AC79" s="22">
        <f t="shared" si="57"/>
        <v>134.40364802126555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280.11276976762787</v>
      </c>
      <c r="AO79" s="59">
        <f t="shared" si="90"/>
        <v>471.89239871617241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84.722562111142651</v>
      </c>
      <c r="AV79" s="21">
        <f>EXP(-LN(2)/25)*AV78+(1-EXP(-LN(2)/25))/(LN(2)/25)*Calculateur!AQ79*Calculateur!AS79*VLOOKUP('Données projet'!$B$10,Paramètres!$A$1:$I$89,3,0)*0.475*44/12</f>
        <v>37.399400263656219</v>
      </c>
      <c r="AW79" s="21">
        <f>EXP(-LN(2)/2)*AW78+(1-EXP(-LN(2)/2))/(LN(2)/2)*AQ79*AT79*VLOOKUP('Données projet'!$B$10,Paramètres!$A$1:$I$89,3,0)*0.475*44/12</f>
        <v>1.7208272841097024E-3</v>
      </c>
      <c r="AX79" s="21">
        <f t="shared" si="60"/>
        <v>122.12368320208297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0</v>
      </c>
      <c r="BJ79" s="59">
        <f t="shared" si="92"/>
        <v>0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0</v>
      </c>
      <c r="CE79" s="59">
        <f t="shared" si="94"/>
        <v>0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354.30476036506167</v>
      </c>
      <c r="T80" s="59">
        <f t="shared" si="88"/>
        <v>593.51433014569966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93.036392112956477</v>
      </c>
      <c r="AA80" s="21">
        <f>EXP(-LN(2)/25)*AA79+(1-EXP(-LN(2)/25))/(LN(2)/25)*Calculateur!V80*Calculateur!X80*VLOOKUP('Données projet'!$B$9,Paramètres!$A$1:$I$89,3,0)*0.475*44/12</f>
        <v>38.424239935037342</v>
      </c>
      <c r="AB80" s="21">
        <f>EXP(-LN(2)/2)*AB79+(1-EXP(-LN(2)/2))/(LN(2)/2)*V80*Y80*VLOOKUP('Données projet'!$B$9,Paramètres!$A$1:$I$89,3,0)*0.475*44/12</f>
        <v>1.3335859563594957E-3</v>
      </c>
      <c r="AC80" s="22">
        <f t="shared" si="57"/>
        <v>131.46196563395017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280.11276976762787</v>
      </c>
      <c r="AO80" s="59">
        <f t="shared" si="90"/>
        <v>471.89239871617241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83.061204343803482</v>
      </c>
      <c r="AV80" s="21">
        <f>EXP(-LN(2)/25)*AV79+(1-EXP(-LN(2)/25))/(LN(2)/25)*Calculateur!AQ80*Calculateur!AS80*VLOOKUP('Données projet'!$B$10,Paramètres!$A$1:$I$89,3,0)*0.475*44/12</f>
        <v>36.376711696697555</v>
      </c>
      <c r="AW80" s="21">
        <f>EXP(-LN(2)/2)*AW79+(1-EXP(-LN(2)/2))/(LN(2)/2)*AQ80*AT80*VLOOKUP('Données projet'!$B$10,Paramètres!$A$1:$I$89,3,0)*0.475*44/12</f>
        <v>1.2168086418448002E-3</v>
      </c>
      <c r="AX80" s="21">
        <f t="shared" si="60"/>
        <v>119.43913284914288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0</v>
      </c>
      <c r="BJ80" s="59">
        <f t="shared" si="92"/>
        <v>0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0</v>
      </c>
      <c r="CE80" s="59">
        <f t="shared" si="94"/>
        <v>0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354.30476036506167</v>
      </c>
      <c r="T81" s="59">
        <f t="shared" si="88"/>
        <v>593.51433014569966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91.212005210217328</v>
      </c>
      <c r="AA81" s="21">
        <f>EXP(-LN(2)/25)*AA80+(1-EXP(-LN(2)/25))/(LN(2)/25)*Calculateur!V81*Calculateur!X81*VLOOKUP('Données projet'!$B$9,Paramètres!$A$1:$I$89,3,0)*0.475*44/12</f>
        <v>37.373527073370788</v>
      </c>
      <c r="AB81" s="21">
        <f>EXP(-LN(2)/2)*AB80+(1-EXP(-LN(2)/2))/(LN(2)/2)*V81*Y81*VLOOKUP('Données projet'!$B$9,Paramètres!$A$1:$I$89,3,0)*0.475*44/12</f>
        <v>9.4298767303694665E-4</v>
      </c>
      <c r="AC81" s="22">
        <f t="shared" si="57"/>
        <v>128.58647527126115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280.11276976762787</v>
      </c>
      <c r="AO81" s="59">
        <f t="shared" si="90"/>
        <v>471.89239871617241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81.432424788953654</v>
      </c>
      <c r="AV81" s="21">
        <f>EXP(-LN(2)/25)*AV80+(1-EXP(-LN(2)/25))/(LN(2)/25)*Calculateur!AQ81*Calculateur!AS81*VLOOKUP('Données projet'!$B$10,Paramètres!$A$1:$I$89,3,0)*0.475*44/12</f>
        <v>35.381988602383231</v>
      </c>
      <c r="AW81" s="21">
        <f>EXP(-LN(2)/2)*AW80+(1-EXP(-LN(2)/2))/(LN(2)/2)*AQ81*AT81*VLOOKUP('Données projet'!$B$10,Paramètres!$A$1:$I$89,3,0)*0.475*44/12</f>
        <v>8.6041364205485121E-4</v>
      </c>
      <c r="AX81" s="21">
        <f t="shared" si="60"/>
        <v>116.81527380497894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0</v>
      </c>
      <c r="BJ81" s="59">
        <f t="shared" si="92"/>
        <v>0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0</v>
      </c>
      <c r="CE81" s="59">
        <f t="shared" si="94"/>
        <v>0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354.30476036506167</v>
      </c>
      <c r="T82" s="59">
        <f t="shared" si="88"/>
        <v>593.51433014569966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89.423393421874763</v>
      </c>
      <c r="AA82" s="21">
        <f>EXP(-LN(2)/25)*AA81+(1-EXP(-LN(2)/25))/(LN(2)/25)*Calculateur!V82*Calculateur!X82*VLOOKUP('Données projet'!$B$9,Paramètres!$A$1:$I$89,3,0)*0.475*44/12</f>
        <v>36.351546010161094</v>
      </c>
      <c r="AB82" s="21">
        <f>EXP(-LN(2)/2)*AB81+(1-EXP(-LN(2)/2))/(LN(2)/2)*V82*Y82*VLOOKUP('Données projet'!$B$9,Paramètres!$A$1:$I$89,3,0)*0.475*44/12</f>
        <v>6.6679297817974785E-4</v>
      </c>
      <c r="AC82" s="22">
        <f t="shared" si="57"/>
        <v>125.77560622501404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280.11276976762787</v>
      </c>
      <c r="AO82" s="59">
        <f t="shared" si="90"/>
        <v>471.89239871617241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79.835584607716996</v>
      </c>
      <c r="AV82" s="21">
        <f>EXP(-LN(2)/25)*AV81+(1-EXP(-LN(2)/25))/(LN(2)/25)*Calculateur!AQ82*Calculateur!AS82*VLOOKUP('Données projet'!$B$10,Paramètres!$A$1:$I$89,3,0)*0.475*44/12</f>
        <v>34.414466263393145</v>
      </c>
      <c r="AW82" s="21">
        <f>EXP(-LN(2)/2)*AW81+(1-EXP(-LN(2)/2))/(LN(2)/2)*AQ82*AT82*VLOOKUP('Données projet'!$B$10,Paramètres!$A$1:$I$89,3,0)*0.475*44/12</f>
        <v>6.0840432092240009E-4</v>
      </c>
      <c r="AX82" s="21">
        <f t="shared" si="60"/>
        <v>114.25065927543108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0</v>
      </c>
      <c r="BJ82" s="59">
        <f t="shared" si="92"/>
        <v>0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0</v>
      </c>
      <c r="CE82" s="59">
        <f t="shared" si="94"/>
        <v>0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354.30476036506167</v>
      </c>
      <c r="T83" s="59">
        <f t="shared" si="88"/>
        <v>593.51433014569966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87.66985521975613</v>
      </c>
      <c r="AA83" s="21">
        <f>EXP(-LN(2)/25)*AA82+(1-EXP(-LN(2)/25))/(LN(2)/25)*Calculateur!V83*Calculateur!X83*VLOOKUP('Données projet'!$B$9,Paramètres!$A$1:$I$89,3,0)*0.475*44/12</f>
        <v>35.357511072868519</v>
      </c>
      <c r="AB83" s="21">
        <f>EXP(-LN(2)/2)*AB82+(1-EXP(-LN(2)/2))/(LN(2)/2)*V83*Y83*VLOOKUP('Données projet'!$B$9,Paramètres!$A$1:$I$89,3,0)*0.475*44/12</f>
        <v>4.7149383651847333E-4</v>
      </c>
      <c r="AC83" s="22">
        <f t="shared" si="57"/>
        <v>123.02783778646116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280.11276976762787</v>
      </c>
      <c r="AO83" s="59">
        <f t="shared" si="90"/>
        <v>471.89239871617241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78.27005748845805</v>
      </c>
      <c r="AV83" s="21">
        <f>EXP(-LN(2)/25)*AV82+(1-EXP(-LN(2)/25))/(LN(2)/25)*Calculateur!AQ83*Calculateur!AS83*VLOOKUP('Données projet'!$B$10,Paramètres!$A$1:$I$89,3,0)*0.475*44/12</f>
        <v>33.473400873642532</v>
      </c>
      <c r="AW83" s="21">
        <f>EXP(-LN(2)/2)*AW82+(1-EXP(-LN(2)/2))/(LN(2)/2)*AQ83*AT83*VLOOKUP('Données projet'!$B$10,Paramètres!$A$1:$I$89,3,0)*0.475*44/12</f>
        <v>4.3020682102742561E-4</v>
      </c>
      <c r="AX83" s="21">
        <f t="shared" si="60"/>
        <v>111.74388856892161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0</v>
      </c>
      <c r="BJ83" s="59">
        <f t="shared" si="92"/>
        <v>0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0</v>
      </c>
      <c r="CE83" s="59">
        <f t="shared" si="94"/>
        <v>0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354.30476036506167</v>
      </c>
      <c r="T84" s="59">
        <f t="shared" si="88"/>
        <v>593.51433014569966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85.950702832228345</v>
      </c>
      <c r="AA84" s="21">
        <f>EXP(-LN(2)/25)*AA83+(1-EXP(-LN(2)/25))/(LN(2)/25)*Calculateur!V84*Calculateur!X84*VLOOKUP('Données projet'!$B$9,Paramètres!$A$1:$I$89,3,0)*0.475*44/12</f>
        <v>34.390658073210233</v>
      </c>
      <c r="AB84" s="21">
        <f>EXP(-LN(2)/2)*AB83+(1-EXP(-LN(2)/2))/(LN(2)/2)*V84*Y84*VLOOKUP('Données projet'!$B$9,Paramètres!$A$1:$I$89,3,0)*0.475*44/12</f>
        <v>3.3339648908987392E-4</v>
      </c>
      <c r="AC84" s="22">
        <f t="shared" si="57"/>
        <v>120.34169430192766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280.11276976762787</v>
      </c>
      <c r="AO84" s="59">
        <f t="shared" si="90"/>
        <v>471.89239871617241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76.735229401130525</v>
      </c>
      <c r="AV84" s="21">
        <f>EXP(-LN(2)/25)*AV83+(1-EXP(-LN(2)/25))/(LN(2)/25)*Calculateur!AQ84*Calculateur!AS84*VLOOKUP('Données projet'!$B$10,Paramètres!$A$1:$I$89,3,0)*0.475*44/12</f>
        <v>32.558068966463132</v>
      </c>
      <c r="AW84" s="21">
        <f>EXP(-LN(2)/2)*AW83+(1-EXP(-LN(2)/2))/(LN(2)/2)*AQ84*AT84*VLOOKUP('Données projet'!$B$10,Paramètres!$A$1:$I$89,3,0)*0.475*44/12</f>
        <v>3.0420216046120004E-4</v>
      </c>
      <c r="AX84" s="21">
        <f t="shared" si="60"/>
        <v>109.29360256975411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0</v>
      </c>
      <c r="BJ84" s="59">
        <f t="shared" si="92"/>
        <v>0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0</v>
      </c>
      <c r="CE84" s="59">
        <f t="shared" si="94"/>
        <v>0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354.30476036506167</v>
      </c>
      <c r="T85" s="59">
        <f t="shared" si="88"/>
        <v>593.51433014569966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84.265261974440563</v>
      </c>
      <c r="AA85" s="21">
        <f>EXP(-LN(2)/25)*AA84+(1-EXP(-LN(2)/25))/(LN(2)/25)*Calculateur!V85*Calculateur!X85*VLOOKUP('Données projet'!$B$9,Paramètres!$A$1:$I$89,3,0)*0.475*44/12</f>
        <v>33.450243719672194</v>
      </c>
      <c r="AB85" s="21">
        <f>EXP(-LN(2)/2)*AB84+(1-EXP(-LN(2)/2))/(LN(2)/2)*V85*Y85*VLOOKUP('Données projet'!$B$9,Paramètres!$A$1:$I$89,3,0)*0.475*44/12</f>
        <v>2.3574691825923666E-4</v>
      </c>
      <c r="AC85" s="22">
        <f t="shared" si="57"/>
        <v>117.71574144103101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280.11276976762787</v>
      </c>
      <c r="AO85" s="59">
        <f t="shared" si="90"/>
        <v>471.89239871617241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75.230498356442794</v>
      </c>
      <c r="AV85" s="21">
        <f>EXP(-LN(2)/25)*AV84+(1-EXP(-LN(2)/25))/(LN(2)/25)*Calculateur!AQ85*Calculateur!AS85*VLOOKUP('Données projet'!$B$10,Paramètres!$A$1:$I$89,3,0)*0.475*44/12</f>
        <v>31.667766858420762</v>
      </c>
      <c r="AW85" s="21">
        <f>EXP(-LN(2)/2)*AW84+(1-EXP(-LN(2)/2))/(LN(2)/2)*AQ85*AT85*VLOOKUP('Données projet'!$B$10,Paramètres!$A$1:$I$89,3,0)*0.475*44/12</f>
        <v>2.151034105137128E-4</v>
      </c>
      <c r="AX85" s="21">
        <f t="shared" si="60"/>
        <v>106.89848031827407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0</v>
      </c>
      <c r="BJ85" s="59">
        <f t="shared" si="92"/>
        <v>0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0</v>
      </c>
      <c r="CE85" s="59">
        <f t="shared" si="94"/>
        <v>0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354.30476036506167</v>
      </c>
      <c r="T86" s="59">
        <f t="shared" si="88"/>
        <v>593.51433014569966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82.612871583856588</v>
      </c>
      <c r="AA86" s="21">
        <f>EXP(-LN(2)/25)*AA85+(1-EXP(-LN(2)/25))/(LN(2)/25)*Calculateur!V86*Calculateur!X86*VLOOKUP('Données projet'!$B$9,Paramètres!$A$1:$I$89,3,0)*0.475*44/12</f>
        <v>32.535545046085893</v>
      </c>
      <c r="AB86" s="21">
        <f>EXP(-LN(2)/2)*AB85+(1-EXP(-LN(2)/2))/(LN(2)/2)*V86*Y86*VLOOKUP('Données projet'!$B$9,Paramètres!$A$1:$I$89,3,0)*0.475*44/12</f>
        <v>1.6669824454493696E-4</v>
      </c>
      <c r="AC86" s="22">
        <f t="shared" si="57"/>
        <v>115.14858332818703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280.11276976762787</v>
      </c>
      <c r="AO86" s="59">
        <f t="shared" si="90"/>
        <v>471.89239871617241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73.755274169746073</v>
      </c>
      <c r="AV86" s="21">
        <f>EXP(-LN(2)/25)*AV85+(1-EXP(-LN(2)/25))/(LN(2)/25)*Calculateur!AQ86*Calculateur!AS86*VLOOKUP('Données projet'!$B$10,Paramètres!$A$1:$I$89,3,0)*0.475*44/12</f>
        <v>30.801810108341765</v>
      </c>
      <c r="AW86" s="21">
        <f>EXP(-LN(2)/2)*AW85+(1-EXP(-LN(2)/2))/(LN(2)/2)*AQ86*AT86*VLOOKUP('Données projet'!$B$10,Paramètres!$A$1:$I$89,3,0)*0.475*44/12</f>
        <v>1.5210108023060002E-4</v>
      </c>
      <c r="AX86" s="21">
        <f t="shared" si="60"/>
        <v>104.55723637916807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0</v>
      </c>
      <c r="BJ86" s="59">
        <f t="shared" si="92"/>
        <v>0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0</v>
      </c>
      <c r="CE86" s="59">
        <f t="shared" si="94"/>
        <v>0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354.30476036506167</v>
      </c>
      <c r="T87" s="59">
        <f t="shared" si="88"/>
        <v>593.51433014569966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80.99288356097334</v>
      </c>
      <c r="AA87" s="21">
        <f>EXP(-LN(2)/25)*AA86+(1-EXP(-LN(2)/25))/(LN(2)/25)*Calculateur!V87*Calculateur!X87*VLOOKUP('Données projet'!$B$9,Paramètres!$A$1:$I$89,3,0)*0.475*44/12</f>
        <v>31.645858855830721</v>
      </c>
      <c r="AB87" s="21">
        <f>EXP(-LN(2)/2)*AB86+(1-EXP(-LN(2)/2))/(LN(2)/2)*V87*Y87*VLOOKUP('Données projet'!$B$9,Paramètres!$A$1:$I$89,3,0)*0.475*44/12</f>
        <v>1.1787345912961833E-4</v>
      </c>
      <c r="AC87" s="22">
        <f t="shared" si="57"/>
        <v>112.6388602902632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280.11276976762787</v>
      </c>
      <c r="AO87" s="59">
        <f t="shared" si="90"/>
        <v>471.89239871617241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72.308978229552565</v>
      </c>
      <c r="AV87" s="21">
        <f>EXP(-LN(2)/25)*AV86+(1-EXP(-LN(2)/25))/(LN(2)/25)*Calculateur!AQ87*Calculateur!AS87*VLOOKUP('Données projet'!$B$10,Paramètres!$A$1:$I$89,3,0)*0.475*44/12</f>
        <v>29.959532991132363</v>
      </c>
      <c r="AW87" s="21">
        <f>EXP(-LN(2)/2)*AW86+(1-EXP(-LN(2)/2))/(LN(2)/2)*AQ87*AT87*VLOOKUP('Données projet'!$B$10,Paramètres!$A$1:$I$89,3,0)*0.475*44/12</f>
        <v>1.075517052568564E-4</v>
      </c>
      <c r="AX87" s="21">
        <f t="shared" si="60"/>
        <v>102.26861877239018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0</v>
      </c>
      <c r="BJ87" s="59">
        <f t="shared" si="92"/>
        <v>0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0</v>
      </c>
      <c r="CE87" s="59">
        <f t="shared" si="94"/>
        <v>0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354.30476036506167</v>
      </c>
      <c r="T88" s="59">
        <f t="shared" si="88"/>
        <v>593.51433014569966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79.404662515123704</v>
      </c>
      <c r="AA88" s="21">
        <f>EXP(-LN(2)/25)*AA87+(1-EXP(-LN(2)/25))/(LN(2)/25)*Calculateur!V88*Calculateur!X88*VLOOKUP('Données projet'!$B$9,Paramètres!$A$1:$I$89,3,0)*0.475*44/12</f>
        <v>30.780501181234641</v>
      </c>
      <c r="AB88" s="21">
        <f>EXP(-LN(2)/2)*AB87+(1-EXP(-LN(2)/2))/(LN(2)/2)*V88*Y88*VLOOKUP('Données projet'!$B$9,Paramètres!$A$1:$I$89,3,0)*0.475*44/12</f>
        <v>8.3349122272468481E-5</v>
      </c>
      <c r="AC88" s="22">
        <f t="shared" si="57"/>
        <v>110.18524704548062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280.11276976762787</v>
      </c>
      <c r="AO88" s="59">
        <f t="shared" si="90"/>
        <v>471.89239871617241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70.891043270592846</v>
      </c>
      <c r="AV88" s="21">
        <f>EXP(-LN(2)/25)*AV87+(1-EXP(-LN(2)/25))/(LN(2)/25)*Calculateur!AQ88*Calculateur!AS88*VLOOKUP('Données projet'!$B$10,Paramètres!$A$1:$I$89,3,0)*0.475*44/12</f>
        <v>29.140287985986483</v>
      </c>
      <c r="AW88" s="21">
        <f>EXP(-LN(2)/2)*AW87+(1-EXP(-LN(2)/2))/(LN(2)/2)*AQ88*AT88*VLOOKUP('Données projet'!$B$10,Paramètres!$A$1:$I$89,3,0)*0.475*44/12</f>
        <v>7.6050540115300011E-5</v>
      </c>
      <c r="AX88" s="21">
        <f t="shared" si="60"/>
        <v>100.03140730711945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0</v>
      </c>
      <c r="BJ88" s="59">
        <f t="shared" si="92"/>
        <v>0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0</v>
      </c>
      <c r="CE88" s="59">
        <f t="shared" si="94"/>
        <v>0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354.30476036506167</v>
      </c>
      <c r="T89" s="59">
        <f t="shared" si="88"/>
        <v>593.51433014569966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77.847585515263987</v>
      </c>
      <c r="AA89" s="21">
        <f>EXP(-LN(2)/25)*AA88+(1-EXP(-LN(2)/25))/(LN(2)/25)*Calculateur!V89*Calculateur!X89*VLOOKUP('Données projet'!$B$9,Paramètres!$A$1:$I$89,3,0)*0.475*44/12</f>
        <v>29.938806757757572</v>
      </c>
      <c r="AB89" s="21">
        <f>EXP(-LN(2)/2)*AB88+(1-EXP(-LN(2)/2))/(LN(2)/2)*V89*Y89*VLOOKUP('Données projet'!$B$9,Paramètres!$A$1:$I$89,3,0)*0.475*44/12</f>
        <v>5.8936729564809166E-5</v>
      </c>
      <c r="AC89" s="22">
        <f t="shared" si="57"/>
        <v>107.78645120975112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280.11276976762787</v>
      </c>
      <c r="AO89" s="59">
        <f t="shared" si="90"/>
        <v>471.89239871617241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69.500913151323388</v>
      </c>
      <c r="AV89" s="21">
        <f>EXP(-LN(2)/25)*AV88+(1-EXP(-LN(2)/25))/(LN(2)/25)*Calculateur!AQ89*Calculateur!AS89*VLOOKUP('Données projet'!$B$10,Paramètres!$A$1:$I$89,3,0)*0.475*44/12</f>
        <v>28.343445278588536</v>
      </c>
      <c r="AW89" s="21">
        <f>EXP(-LN(2)/2)*AW88+(1-EXP(-LN(2)/2))/(LN(2)/2)*AQ89*AT89*VLOOKUP('Données projet'!$B$10,Paramètres!$A$1:$I$89,3,0)*0.475*44/12</f>
        <v>5.3775852628428201E-5</v>
      </c>
      <c r="AX89" s="21">
        <f t="shared" si="60"/>
        <v>97.844412205764556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0</v>
      </c>
      <c r="BJ89" s="59">
        <f t="shared" si="92"/>
        <v>0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0</v>
      </c>
      <c r="CE89" s="59">
        <f t="shared" si="94"/>
        <v>0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354.30476036506167</v>
      </c>
      <c r="T90" s="59">
        <f t="shared" si="88"/>
        <v>593.51433014569966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76.321041845648338</v>
      </c>
      <c r="AA90" s="21">
        <f>EXP(-LN(2)/25)*AA89+(1-EXP(-LN(2)/25))/(LN(2)/25)*Calculateur!V90*Calculateur!X90*VLOOKUP('Données projet'!$B$9,Paramètres!$A$1:$I$89,3,0)*0.475*44/12</f>
        <v>29.120128512553269</v>
      </c>
      <c r="AB90" s="21">
        <f>EXP(-LN(2)/2)*AB89+(1-EXP(-LN(2)/2))/(LN(2)/2)*V90*Y90*VLOOKUP('Données projet'!$B$9,Paramètres!$A$1:$I$89,3,0)*0.475*44/12</f>
        <v>4.1674561136234241E-5</v>
      </c>
      <c r="AC90" s="22">
        <f t="shared" si="57"/>
        <v>105.44121203276273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280.11276976762787</v>
      </c>
      <c r="AO90" s="59">
        <f t="shared" si="90"/>
        <v>471.89239871617241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68.138042635797163</v>
      </c>
      <c r="AV90" s="21">
        <f>EXP(-LN(2)/25)*AV89+(1-EXP(-LN(2)/25))/(LN(2)/25)*Calculateur!AQ90*Calculateur!AS90*VLOOKUP('Données projet'!$B$10,Paramètres!$A$1:$I$89,3,0)*0.475*44/12</f>
        <v>27.568392276928524</v>
      </c>
      <c r="AW90" s="21">
        <f>EXP(-LN(2)/2)*AW89+(1-EXP(-LN(2)/2))/(LN(2)/2)*AQ90*AT90*VLOOKUP('Données projet'!$B$10,Paramètres!$A$1:$I$89,3,0)*0.475*44/12</f>
        <v>3.8025270057650006E-5</v>
      </c>
      <c r="AX90" s="21">
        <f t="shared" si="60"/>
        <v>95.706472937995741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0</v>
      </c>
      <c r="BJ90" s="59">
        <f t="shared" si="92"/>
        <v>0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0</v>
      </c>
      <c r="CE90" s="59">
        <f t="shared" si="94"/>
        <v>0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354.30476036506167</v>
      </c>
      <c r="T91" s="59">
        <f t="shared" si="88"/>
        <v>593.51433014569966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74.824432766294152</v>
      </c>
      <c r="AA91" s="21">
        <f>EXP(-LN(2)/25)*AA90+(1-EXP(-LN(2)/25))/(LN(2)/25)*Calculateur!V91*Calculateur!X91*VLOOKUP('Données projet'!$B$9,Paramètres!$A$1:$I$89,3,0)*0.475*44/12</f>
        <v>28.323837067016495</v>
      </c>
      <c r="AB91" s="21">
        <f>EXP(-LN(2)/2)*AB90+(1-EXP(-LN(2)/2))/(LN(2)/2)*V91*Y91*VLOOKUP('Données projet'!$B$9,Paramètres!$A$1:$I$89,3,0)*0.475*44/12</f>
        <v>2.9468364782404583E-5</v>
      </c>
      <c r="AC91" s="22">
        <f t="shared" si="57"/>
        <v>103.14829930167544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280.11276976762787</v>
      </c>
      <c r="AO91" s="59">
        <f t="shared" si="90"/>
        <v>471.89239871617241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66.801897179811476</v>
      </c>
      <c r="AV91" s="21">
        <f>EXP(-LN(2)/25)*AV90+(1-EXP(-LN(2)/25))/(LN(2)/25)*Calculateur!AQ91*Calculateur!AS91*VLOOKUP('Données projet'!$B$10,Paramètres!$A$1:$I$89,3,0)*0.475*44/12</f>
        <v>26.81453314035717</v>
      </c>
      <c r="AW91" s="21">
        <f>EXP(-LN(2)/2)*AW90+(1-EXP(-LN(2)/2))/(LN(2)/2)*AQ91*AT91*VLOOKUP('Données projet'!$B$10,Paramètres!$A$1:$I$89,3,0)*0.475*44/12</f>
        <v>2.68879263142141E-5</v>
      </c>
      <c r="AX91" s="21">
        <f t="shared" si="60"/>
        <v>93.616457208094957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0</v>
      </c>
      <c r="BJ91" s="59">
        <f t="shared" si="92"/>
        <v>0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0</v>
      </c>
      <c r="CE91" s="59">
        <f t="shared" si="94"/>
        <v>0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354.30476036506167</v>
      </c>
      <c r="T92" s="59">
        <f t="shared" si="88"/>
        <v>593.51433014569966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73.357171278144691</v>
      </c>
      <c r="AA92" s="21">
        <f>EXP(-LN(2)/25)*AA91+(1-EXP(-LN(2)/25))/(LN(2)/25)*Calculateur!V92*Calculateur!X92*VLOOKUP('Données projet'!$B$9,Paramètres!$A$1:$I$89,3,0)*0.475*44/12</f>
        <v>27.549320252933072</v>
      </c>
      <c r="AB92" s="21">
        <f>EXP(-LN(2)/2)*AB91+(1-EXP(-LN(2)/2))/(LN(2)/2)*V92*Y92*VLOOKUP('Données projet'!$B$9,Paramètres!$A$1:$I$89,3,0)*0.475*44/12</f>
        <v>2.083728056811712E-5</v>
      </c>
      <c r="AC92" s="22">
        <f t="shared" si="57"/>
        <v>100.90651236835834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280.11276976762787</v>
      </c>
      <c r="AO92" s="59">
        <f t="shared" si="90"/>
        <v>471.89239871617241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65.491952721249405</v>
      </c>
      <c r="AV92" s="21">
        <f>EXP(-LN(2)/25)*AV91+(1-EXP(-LN(2)/25))/(LN(2)/25)*Calculateur!AQ92*Calculateur!AS92*VLOOKUP('Données projet'!$B$10,Paramètres!$A$1:$I$89,3,0)*0.475*44/12</f>
        <v>26.081288321519089</v>
      </c>
      <c r="AW92" s="21">
        <f>EXP(-LN(2)/2)*AW91+(1-EXP(-LN(2)/2))/(LN(2)/2)*AQ92*AT92*VLOOKUP('Données projet'!$B$10,Paramètres!$A$1:$I$89,3,0)*0.475*44/12</f>
        <v>1.9012635028825003E-5</v>
      </c>
      <c r="AX92" s="21">
        <f t="shared" si="60"/>
        <v>91.573260055403523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0</v>
      </c>
      <c r="BJ92" s="59">
        <f t="shared" si="92"/>
        <v>0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0</v>
      </c>
      <c r="CE92" s="59">
        <f t="shared" si="94"/>
        <v>0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354.30476036506167</v>
      </c>
      <c r="T93" s="59">
        <f t="shared" si="88"/>
        <v>593.51433014569966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71.918681892836702</v>
      </c>
      <c r="AA93" s="21">
        <f>EXP(-LN(2)/25)*AA92+(1-EXP(-LN(2)/25))/(LN(2)/25)*Calculateur!V93*Calculateur!X93*VLOOKUP('Données projet'!$B$9,Paramètres!$A$1:$I$89,3,0)*0.475*44/12</f>
        <v>26.795982641860828</v>
      </c>
      <c r="AB93" s="21">
        <f>EXP(-LN(2)/2)*AB92+(1-EXP(-LN(2)/2))/(LN(2)/2)*V93*Y93*VLOOKUP('Données projet'!$B$9,Paramètres!$A$1:$I$89,3,0)*0.475*44/12</f>
        <v>1.4734182391202291E-5</v>
      </c>
      <c r="AC93" s="22">
        <f t="shared" si="57"/>
        <v>98.71467926887992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280.11276976762787</v>
      </c>
      <c r="AO93" s="59">
        <f t="shared" si="90"/>
        <v>471.89239871617241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64.207695474532514</v>
      </c>
      <c r="AV93" s="21">
        <f>EXP(-LN(2)/25)*AV92+(1-EXP(-LN(2)/25))/(LN(2)/25)*Calculateur!AQ93*Calculateur!AS93*VLOOKUP('Données projet'!$B$10,Paramètres!$A$1:$I$89,3,0)*0.475*44/12</f>
        <v>25.368094120811808</v>
      </c>
      <c r="AW93" s="21">
        <f>EXP(-LN(2)/2)*AW92+(1-EXP(-LN(2)/2))/(LN(2)/2)*AQ93*AT93*VLOOKUP('Données projet'!$B$10,Paramètres!$A$1:$I$89,3,0)*0.475*44/12</f>
        <v>1.344396315710705E-5</v>
      </c>
      <c r="AX93" s="21">
        <f t="shared" si="60"/>
        <v>89.575803039307473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0</v>
      </c>
      <c r="BJ93" s="59">
        <f t="shared" si="92"/>
        <v>0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0</v>
      </c>
      <c r="CE93" s="59">
        <f t="shared" si="94"/>
        <v>0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354.30476036506167</v>
      </c>
      <c r="T94" s="59">
        <f t="shared" si="88"/>
        <v>593.51433014569966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70.508400406982716</v>
      </c>
      <c r="AA94" s="21">
        <f>EXP(-LN(2)/25)*AA93+(1-EXP(-LN(2)/25))/(LN(2)/25)*Calculateur!V94*Calculateur!X94*VLOOKUP('Données projet'!$B$9,Paramètres!$A$1:$I$89,3,0)*0.475*44/12</f>
        <v>26.063245087379659</v>
      </c>
      <c r="AB94" s="21">
        <f>EXP(-LN(2)/2)*AB93+(1-EXP(-LN(2)/2))/(LN(2)/2)*V94*Y94*VLOOKUP('Données projet'!$B$9,Paramètres!$A$1:$I$89,3,0)*0.475*44/12</f>
        <v>1.041864028405856E-5</v>
      </c>
      <c r="AC94" s="22">
        <f t="shared" si="57"/>
        <v>96.571655913002658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280.11276976762787</v>
      </c>
      <c r="AO94" s="59">
        <f t="shared" si="90"/>
        <v>471.89239871617241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62.948621729104161</v>
      </c>
      <c r="AV94" s="21">
        <f>EXP(-LN(2)/25)*AV93+(1-EXP(-LN(2)/25))/(LN(2)/25)*Calculateur!AQ94*Calculateur!AS94*VLOOKUP('Données projet'!$B$10,Paramètres!$A$1:$I$89,3,0)*0.475*44/12</f>
        <v>24.67440225302812</v>
      </c>
      <c r="AW94" s="21">
        <f>EXP(-LN(2)/2)*AW93+(1-EXP(-LN(2)/2))/(LN(2)/2)*AQ94*AT94*VLOOKUP('Données projet'!$B$10,Paramètres!$A$1:$I$89,3,0)*0.475*44/12</f>
        <v>9.5063175144125014E-6</v>
      </c>
      <c r="AX94" s="21">
        <f t="shared" si="60"/>
        <v>87.623033488449792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0</v>
      </c>
      <c r="BJ94" s="59">
        <f t="shared" si="92"/>
        <v>0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0</v>
      </c>
      <c r="CE94" s="59">
        <f t="shared" si="94"/>
        <v>0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354.30476036506167</v>
      </c>
      <c r="T95" s="59">
        <f t="shared" si="88"/>
        <v>593.51433014569966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69.125773680879561</v>
      </c>
      <c r="AA95" s="21">
        <f>EXP(-LN(2)/25)*AA94+(1-EXP(-LN(2)/25))/(LN(2)/25)*Calculateur!V95*Calculateur!X95*VLOOKUP('Données projet'!$B$9,Paramètres!$A$1:$I$89,3,0)*0.475*44/12</f>
        <v>25.35054427985877</v>
      </c>
      <c r="AB95" s="21">
        <f>EXP(-LN(2)/2)*AB94+(1-EXP(-LN(2)/2))/(LN(2)/2)*V95*Y95*VLOOKUP('Données projet'!$B$9,Paramètres!$A$1:$I$89,3,0)*0.475*44/12</f>
        <v>7.3670911956011457E-6</v>
      </c>
      <c r="AC95" s="22">
        <f t="shared" si="57"/>
        <v>94.476325327829528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280.11276976762787</v>
      </c>
      <c r="AO95" s="59">
        <f t="shared" si="90"/>
        <v>471.89239871617241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61.714237651864508</v>
      </c>
      <c r="AV95" s="21">
        <f>EXP(-LN(2)/25)*AV94+(1-EXP(-LN(2)/25))/(LN(2)/25)*Calculateur!AQ95*Calculateur!AS95*VLOOKUP('Données projet'!$B$10,Paramètres!$A$1:$I$89,3,0)*0.475*44/12</f>
        <v>23.999679425848644</v>
      </c>
      <c r="AW95" s="21">
        <f>EXP(-LN(2)/2)*AW94+(1-EXP(-LN(2)/2))/(LN(2)/2)*AQ95*AT95*VLOOKUP('Données projet'!$B$10,Paramètres!$A$1:$I$89,3,0)*0.475*44/12</f>
        <v>6.7219815785535251E-6</v>
      </c>
      <c r="AX95" s="21">
        <f t="shared" si="60"/>
        <v>85.713923799694726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0</v>
      </c>
      <c r="BJ95" s="59">
        <f t="shared" si="92"/>
        <v>0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0</v>
      </c>
      <c r="CE95" s="59">
        <f t="shared" si="94"/>
        <v>0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354.30476036506167</v>
      </c>
      <c r="T96" s="59">
        <f t="shared" si="88"/>
        <v>593.51433014569966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67.770259421556247</v>
      </c>
      <c r="AA96" s="21">
        <f>EXP(-LN(2)/25)*AA95+(1-EXP(-LN(2)/25))/(LN(2)/25)*Calculateur!V96*Calculateur!X96*VLOOKUP('Données projet'!$B$9,Paramètres!$A$1:$I$89,3,0)*0.475*44/12</f>
        <v>24.657332313398847</v>
      </c>
      <c r="AB96" s="21">
        <f>EXP(-LN(2)/2)*AB95+(1-EXP(-LN(2)/2))/(LN(2)/2)*V96*Y96*VLOOKUP('Données projet'!$B$9,Paramètres!$A$1:$I$89,3,0)*0.475*44/12</f>
        <v>5.2093201420292801E-6</v>
      </c>
      <c r="AC96" s="22">
        <f t="shared" si="57"/>
        <v>92.427596944275223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280.11276976762787</v>
      </c>
      <c r="AO96" s="59">
        <f t="shared" si="90"/>
        <v>471.89239871617241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60.504059093479576</v>
      </c>
      <c r="AV96" s="21">
        <f>EXP(-LN(2)/25)*AV95+(1-EXP(-LN(2)/25))/(LN(2)/25)*Calculateur!AQ96*Calculateur!AS96*VLOOKUP('Données projet'!$B$10,Paramètres!$A$1:$I$89,3,0)*0.475*44/12</f>
        <v>23.343406929860524</v>
      </c>
      <c r="AW96" s="21">
        <f>EXP(-LN(2)/2)*AW95+(1-EXP(-LN(2)/2))/(LN(2)/2)*AQ96*AT96*VLOOKUP('Données projet'!$B$10,Paramètres!$A$1:$I$89,3,0)*0.475*44/12</f>
        <v>4.7531587572062507E-6</v>
      </c>
      <c r="AX96" s="21">
        <f t="shared" si="60"/>
        <v>83.847470776498866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0</v>
      </c>
      <c r="BJ96" s="59">
        <f t="shared" si="92"/>
        <v>0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0</v>
      </c>
      <c r="CE96" s="59">
        <f t="shared" si="94"/>
        <v>0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354.30476036506167</v>
      </c>
      <c r="T97" s="59">
        <f t="shared" si="88"/>
        <v>593.51433014569966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66.441325970076207</v>
      </c>
      <c r="AA97" s="21">
        <f>EXP(-LN(2)/25)*AA96+(1-EXP(-LN(2)/25))/(LN(2)/25)*Calculateur!V97*Calculateur!X97*VLOOKUP('Données projet'!$B$9,Paramètres!$A$1:$I$89,3,0)*0.475*44/12</f>
        <v>23.983076264616205</v>
      </c>
      <c r="AB97" s="21">
        <f>EXP(-LN(2)/2)*AB96+(1-EXP(-LN(2)/2))/(LN(2)/2)*V97*Y97*VLOOKUP('Données projet'!$B$9,Paramètres!$A$1:$I$89,3,0)*0.475*44/12</f>
        <v>3.6835455978005729E-6</v>
      </c>
      <c r="AC97" s="22">
        <f t="shared" si="57"/>
        <v>90.424405918238008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280.11276976762787</v>
      </c>
      <c r="AO97" s="59">
        <f t="shared" si="90"/>
        <v>471.89239871617241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59.317611398488538</v>
      </c>
      <c r="AV97" s="21">
        <f>EXP(-LN(2)/25)*AV96+(1-EXP(-LN(2)/25))/(LN(2)/25)*Calculateur!AQ97*Calculateur!AS97*VLOOKUP('Données projet'!$B$10,Paramètres!$A$1:$I$89,3,0)*0.475*44/12</f>
        <v>22.705080239787069</v>
      </c>
      <c r="AW97" s="21">
        <f>EXP(-LN(2)/2)*AW96+(1-EXP(-LN(2)/2))/(LN(2)/2)*AQ97*AT97*VLOOKUP('Données projet'!$B$10,Paramètres!$A$1:$I$89,3,0)*0.475*44/12</f>
        <v>3.3609907892767625E-6</v>
      </c>
      <c r="AX97" s="21">
        <f t="shared" si="60"/>
        <v>82.022694999266392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0</v>
      </c>
      <c r="BJ97" s="59">
        <f t="shared" si="92"/>
        <v>0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0</v>
      </c>
      <c r="CE97" s="59">
        <f t="shared" si="94"/>
        <v>0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354.30476036506167</v>
      </c>
      <c r="T98" s="59">
        <f t="shared" si="88"/>
        <v>593.51433014569966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65.138452093010329</v>
      </c>
      <c r="AA98" s="21">
        <f>EXP(-LN(2)/25)*AA97+(1-EXP(-LN(2)/25))/(LN(2)/25)*Calculateur!V98*Calculateur!X98*VLOOKUP('Données projet'!$B$9,Paramètres!$A$1:$I$89,3,0)*0.475*44/12</f>
        <v>23.327257782945107</v>
      </c>
      <c r="AB98" s="21">
        <f>EXP(-LN(2)/2)*AB97+(1-EXP(-LN(2)/2))/(LN(2)/2)*V98*Y98*VLOOKUP('Données projet'!$B$9,Paramètres!$A$1:$I$89,3,0)*0.475*44/12</f>
        <v>2.60466007101464E-6</v>
      </c>
      <c r="AC98" s="22">
        <f t="shared" si="57"/>
        <v>88.465712480615508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280.11276976762787</v>
      </c>
      <c r="AO98" s="59">
        <f t="shared" si="90"/>
        <v>471.89239871617241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58.154429219134634</v>
      </c>
      <c r="AV98" s="21">
        <f>EXP(-LN(2)/25)*AV97+(1-EXP(-LN(2)/25))/(LN(2)/25)*Calculateur!AQ98*Calculateur!AS98*VLOOKUP('Données projet'!$B$10,Paramètres!$A$1:$I$89,3,0)*0.475*44/12</f>
        <v>22.084208626621816</v>
      </c>
      <c r="AW98" s="21">
        <f>EXP(-LN(2)/2)*AW97+(1-EXP(-LN(2)/2))/(LN(2)/2)*AQ98*AT98*VLOOKUP('Données projet'!$B$10,Paramètres!$A$1:$I$89,3,0)*0.475*44/12</f>
        <v>2.3765793786031253E-6</v>
      </c>
      <c r="AX98" s="21">
        <f t="shared" si="60"/>
        <v>80.238640222335817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0</v>
      </c>
      <c r="BJ98" s="59">
        <f t="shared" si="92"/>
        <v>0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0</v>
      </c>
      <c r="CE98" s="59">
        <f t="shared" si="94"/>
        <v>0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354.30476036506167</v>
      </c>
      <c r="T99" s="59">
        <f t="shared" si="88"/>
        <v>593.51433014569966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63.861126777999111</v>
      </c>
      <c r="AA99" s="21">
        <f>EXP(-LN(2)/25)*AA98+(1-EXP(-LN(2)/25))/(LN(2)/25)*Calculateur!V99*Calculateur!X99*VLOOKUP('Données projet'!$B$9,Paramètres!$A$1:$I$89,3,0)*0.475*44/12</f>
        <v>22.689372692143301</v>
      </c>
      <c r="AB99" s="21">
        <f>EXP(-LN(2)/2)*AB98+(1-EXP(-LN(2)/2))/(LN(2)/2)*V99*Y99*VLOOKUP('Données projet'!$B$9,Paramètres!$A$1:$I$89,3,0)*0.475*44/12</f>
        <v>1.8417727989002864E-6</v>
      </c>
      <c r="AC99" s="22">
        <f t="shared" si="57"/>
        <v>86.550501311915212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280.11276976762787</v>
      </c>
      <c r="AO99" s="59">
        <f t="shared" si="90"/>
        <v>471.89239871617241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57.014056332846785</v>
      </c>
      <c r="AV99" s="21">
        <f>EXP(-LN(2)/25)*AV98+(1-EXP(-LN(2)/25))/(LN(2)/25)*Calculateur!AQ99*Calculateur!AS99*VLOOKUP('Données projet'!$B$10,Paramètres!$A$1:$I$89,3,0)*0.475*44/12</f>
        <v>21.480314780368786</v>
      </c>
      <c r="AW99" s="21">
        <f>EXP(-LN(2)/2)*AW98+(1-EXP(-LN(2)/2))/(LN(2)/2)*AQ99*AT99*VLOOKUP('Données projet'!$B$10,Paramètres!$A$1:$I$89,3,0)*0.475*44/12</f>
        <v>1.6804953946383813E-6</v>
      </c>
      <c r="AX99" s="21">
        <f t="shared" si="60"/>
        <v>78.49437279371098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0</v>
      </c>
      <c r="BJ99" s="59">
        <f t="shared" si="92"/>
        <v>0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0</v>
      </c>
      <c r="CE99" s="59">
        <f t="shared" si="94"/>
        <v>0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354.30476036506167</v>
      </c>
      <c r="T100" s="59">
        <f t="shared" si="88"/>
        <v>593.51433014569966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62.60884903332375</v>
      </c>
      <c r="AA100" s="21">
        <f>EXP(-LN(2)/25)*AA99+(1-EXP(-LN(2)/25))/(LN(2)/25)*Calculateur!V100*Calculateur!X100*VLOOKUP('Données projet'!$B$9,Paramètres!$A$1:$I$89,3,0)*0.475*44/12</f>
        <v>22.06893060269439</v>
      </c>
      <c r="AB100" s="21">
        <f>EXP(-LN(2)/2)*AB99+(1-EXP(-LN(2)/2))/(LN(2)/2)*V100*Y100*VLOOKUP('Données projet'!$B$9,Paramètres!$A$1:$I$89,3,0)*0.475*44/12</f>
        <v>1.30233003550732E-6</v>
      </c>
      <c r="AC100" s="22">
        <f t="shared" si="57"/>
        <v>84.677780938348178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280.11276976762787</v>
      </c>
      <c r="AO100" s="59">
        <f t="shared" si="90"/>
        <v>471.89239871617241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55.896045463300261</v>
      </c>
      <c r="AV100" s="21">
        <f>EXP(-LN(2)/25)*AV99+(1-EXP(-LN(2)/25))/(LN(2)/25)*Calculateur!AQ100*Calculateur!AS100*VLOOKUP('Données projet'!$B$10,Paramètres!$A$1:$I$89,3,0)*0.475*44/12</f>
        <v>20.892934443098941</v>
      </c>
      <c r="AW100" s="21">
        <f>EXP(-LN(2)/2)*AW99+(1-EXP(-LN(2)/2))/(LN(2)/2)*AQ100*AT100*VLOOKUP('Données projet'!$B$10,Paramètres!$A$1:$I$89,3,0)*0.475*44/12</f>
        <v>1.1882896893015627E-6</v>
      </c>
      <c r="AX100" s="21">
        <f t="shared" si="60"/>
        <v>76.788981094688893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0</v>
      </c>
      <c r="BJ100" s="59">
        <f t="shared" si="92"/>
        <v>0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0</v>
      </c>
      <c r="CE100" s="59">
        <f t="shared" si="94"/>
        <v>0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354.30476036506167</v>
      </c>
      <c r="T101" s="59">
        <f t="shared" si="88"/>
        <v>593.51433014569966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61.381127691407464</v>
      </c>
      <c r="AA101" s="21">
        <f>EXP(-LN(2)/25)*AA100+(1-EXP(-LN(2)/25))/(LN(2)/25)*Calculateur!V101*Calculateur!X101*VLOOKUP('Données projet'!$B$9,Paramètres!$A$1:$I$89,3,0)*0.475*44/12</f>
        <v>21.465454534809091</v>
      </c>
      <c r="AB101" s="21">
        <f>EXP(-LN(2)/2)*AB100+(1-EXP(-LN(2)/2))/(LN(2)/2)*V101*Y101*VLOOKUP('Données projet'!$B$9,Paramètres!$A$1:$I$89,3,0)*0.475*44/12</f>
        <v>9.2088639945014322E-7</v>
      </c>
      <c r="AC101" s="22">
        <f t="shared" si="57"/>
        <v>82.846583147102947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280.11276976762787</v>
      </c>
      <c r="AO101" s="59">
        <f t="shared" si="90"/>
        <v>471.89239871617241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54.799958104986253</v>
      </c>
      <c r="AV101" s="21">
        <f>EXP(-LN(2)/25)*AV100+(1-EXP(-LN(2)/25))/(LN(2)/25)*Calculateur!AQ101*Calculateur!AS101*VLOOKUP('Données projet'!$B$10,Paramètres!$A$1:$I$89,3,0)*0.475*44/12</f>
        <v>20.321616052040728</v>
      </c>
      <c r="AW101" s="21">
        <f>EXP(-LN(2)/2)*AW100+(1-EXP(-LN(2)/2))/(LN(2)/2)*AQ101*AT101*VLOOKUP('Données projet'!$B$10,Paramètres!$A$1:$I$89,3,0)*0.475*44/12</f>
        <v>8.4024769731919064E-7</v>
      </c>
      <c r="AX101" s="21">
        <f t="shared" si="60"/>
        <v>75.121574997274678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0</v>
      </c>
      <c r="BJ101" s="59">
        <f t="shared" si="92"/>
        <v>0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0</v>
      </c>
      <c r="CE101" s="59">
        <f t="shared" si="94"/>
        <v>0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354.30476036506167</v>
      </c>
      <c r="T102" s="59">
        <f t="shared" si="88"/>
        <v>593.51433014569966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60.177481216170079</v>
      </c>
      <c r="AA102" s="21">
        <f>EXP(-LN(2)/25)*AA101+(1-EXP(-LN(2)/25))/(LN(2)/25)*Calculateur!V102*Calculateur!X102*VLOOKUP('Données projet'!$B$9,Paramètres!$A$1:$I$89,3,0)*0.475*44/12</f>
        <v>20.878480551735542</v>
      </c>
      <c r="AB102" s="21">
        <f>EXP(-LN(2)/2)*AB101+(1-EXP(-LN(2)/2))/(LN(2)/2)*V102*Y102*VLOOKUP('Données projet'!$B$9,Paramètres!$A$1:$I$89,3,0)*0.475*44/12</f>
        <v>6.5116501775366001E-7</v>
      </c>
      <c r="AC102" s="22">
        <f t="shared" si="57"/>
        <v>81.055962419070639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280.11276976762787</v>
      </c>
      <c r="AO102" s="59">
        <f t="shared" si="90"/>
        <v>471.89239871617241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53.725364351221501</v>
      </c>
      <c r="AV102" s="21">
        <f>EXP(-LN(2)/25)*AV101+(1-EXP(-LN(2)/25))/(LN(2)/25)*Calculateur!AQ102*Calculateur!AS102*VLOOKUP('Données projet'!$B$10,Paramètres!$A$1:$I$89,3,0)*0.475*44/12</f>
        <v>19.765920392430331</v>
      </c>
      <c r="AW102" s="21">
        <f>EXP(-LN(2)/2)*AW101+(1-EXP(-LN(2)/2))/(LN(2)/2)*AQ102*AT102*VLOOKUP('Données projet'!$B$10,Paramètres!$A$1:$I$89,3,0)*0.475*44/12</f>
        <v>5.9414484465078134E-7</v>
      </c>
      <c r="AX102" s="21">
        <f t="shared" si="60"/>
        <v>73.491285337796683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0</v>
      </c>
      <c r="BJ102" s="59">
        <f t="shared" si="92"/>
        <v>0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0</v>
      </c>
      <c r="CE102" s="59">
        <f t="shared" si="94"/>
        <v>0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354.30476036506167</v>
      </c>
      <c r="T103" s="59">
        <f t="shared" si="88"/>
        <v>593.51433014569966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58.997437514160247</v>
      </c>
      <c r="AA103" s="21">
        <f>EXP(-LN(2)/25)*AA102+(1-EXP(-LN(2)/25))/(LN(2)/25)*Calculateur!V103*Calculateur!X103*VLOOKUP('Données projet'!$B$9,Paramètres!$A$1:$I$89,3,0)*0.475*44/12</f>
        <v>20.307557403096759</v>
      </c>
      <c r="AB103" s="21">
        <f>EXP(-LN(2)/2)*AB102+(1-EXP(-LN(2)/2))/(LN(2)/2)*V103*Y103*VLOOKUP('Données projet'!$B$9,Paramètres!$A$1:$I$89,3,0)*0.475*44/12</f>
        <v>4.6044319972507161E-7</v>
      </c>
      <c r="AC103" s="22">
        <f t="shared" si="57"/>
        <v>79.304995377700209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280.11276976762787</v>
      </c>
      <c r="AO103" s="59">
        <f t="shared" si="90"/>
        <v>471.89239871617241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52.67184272553061</v>
      </c>
      <c r="AV103" s="21">
        <f>EXP(-LN(2)/25)*AV102+(1-EXP(-LN(2)/25))/(LN(2)/25)*Calculateur!AQ103*Calculateur!AS103*VLOOKUP('Données projet'!$B$10,Paramètres!$A$1:$I$89,3,0)*0.475*44/12</f>
        <v>19.225420259854747</v>
      </c>
      <c r="AW103" s="21">
        <f>EXP(-LN(2)/2)*AW102+(1-EXP(-LN(2)/2))/(LN(2)/2)*AQ103*AT103*VLOOKUP('Données projet'!$B$10,Paramètres!$A$1:$I$89,3,0)*0.475*44/12</f>
        <v>4.2012384865959532E-7</v>
      </c>
      <c r="AX103" s="21">
        <f t="shared" si="60"/>
        <v>71.897263405509207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0</v>
      </c>
      <c r="BJ103" s="59">
        <f t="shared" si="92"/>
        <v>0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0</v>
      </c>
      <c r="CE103" s="59">
        <f t="shared" si="94"/>
        <v>0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354.30476036506167</v>
      </c>
      <c r="T104" s="59">
        <f t="shared" si="88"/>
        <v>593.51433014569966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57.840533749391234</v>
      </c>
      <c r="AA104" s="21">
        <f>EXP(-LN(2)/25)*AA103+(1-EXP(-LN(2)/25))/(LN(2)/25)*Calculateur!V104*Calculateur!X104*VLOOKUP('Données projet'!$B$9,Paramètres!$A$1:$I$89,3,0)*0.475*44/12</f>
        <v>19.752246177981046</v>
      </c>
      <c r="AB104" s="21">
        <f>EXP(-LN(2)/2)*AB103+(1-EXP(-LN(2)/2))/(LN(2)/2)*V104*Y104*VLOOKUP('Données projet'!$B$9,Paramètres!$A$1:$I$89,3,0)*0.475*44/12</f>
        <v>3.2558250887683E-7</v>
      </c>
      <c r="AC104" s="22">
        <f t="shared" si="57"/>
        <v>77.592780252954782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280.11276976762787</v>
      </c>
      <c r="AO104" s="59">
        <f t="shared" si="90"/>
        <v>471.89239871617241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51.63898001633477</v>
      </c>
      <c r="AV104" s="21">
        <f>EXP(-LN(2)/25)*AV103+(1-EXP(-LN(2)/25))/(LN(2)/25)*Calculateur!AQ104*Calculateur!AS104*VLOOKUP('Données projet'!$B$10,Paramètres!$A$1:$I$89,3,0)*0.475*44/12</f>
        <v>18.699700131828109</v>
      </c>
      <c r="AW104" s="21">
        <f>EXP(-LN(2)/2)*AW103+(1-EXP(-LN(2)/2))/(LN(2)/2)*AQ104*AT104*VLOOKUP('Données projet'!$B$10,Paramètres!$A$1:$I$89,3,0)*0.475*44/12</f>
        <v>2.9707242232539067E-7</v>
      </c>
      <c r="AX104" s="21">
        <f t="shared" si="60"/>
        <v>70.338680445235298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0</v>
      </c>
      <c r="BJ104" s="59">
        <f t="shared" si="92"/>
        <v>0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0</v>
      </c>
      <c r="CE104" s="59">
        <f t="shared" si="94"/>
        <v>0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354.30476036506167</v>
      </c>
      <c r="T105" s="59">
        <f t="shared" si="88"/>
        <v>593.51433014569966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56.70631616180772</v>
      </c>
      <c r="AA105" s="21">
        <f>EXP(-LN(2)/25)*AA104+(1-EXP(-LN(2)/25))/(LN(2)/25)*Calculateur!V105*Calculateur!X105*VLOOKUP('Données projet'!$B$9,Paramètres!$A$1:$I$89,3,0)*0.475*44/12</f>
        <v>19.212119967518671</v>
      </c>
      <c r="AB105" s="21">
        <f>EXP(-LN(2)/2)*AB104+(1-EXP(-LN(2)/2))/(LN(2)/2)*V105*Y105*VLOOKUP('Données projet'!$B$9,Paramètres!$A$1:$I$89,3,0)*0.475*44/12</f>
        <v>2.302215998625358E-7</v>
      </c>
      <c r="AC105" s="22">
        <f t="shared" si="57"/>
        <v>75.918436359547997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280.11276976762787</v>
      </c>
      <c r="AO105" s="59">
        <f t="shared" si="90"/>
        <v>471.89239871617241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50.626371114882218</v>
      </c>
      <c r="AV105" s="21">
        <f>EXP(-LN(2)/25)*AV104+(1-EXP(-LN(2)/25))/(LN(2)/25)*Calculateur!AQ105*Calculateur!AS105*VLOOKUP('Données projet'!$B$10,Paramètres!$A$1:$I$89,3,0)*0.475*44/12</f>
        <v>18.188355848348777</v>
      </c>
      <c r="AW105" s="21">
        <f>EXP(-LN(2)/2)*AW104+(1-EXP(-LN(2)/2))/(LN(2)/2)*AQ105*AT105*VLOOKUP('Données projet'!$B$10,Paramètres!$A$1:$I$89,3,0)*0.475*44/12</f>
        <v>2.1006192432979766E-7</v>
      </c>
      <c r="AX105" s="21">
        <f t="shared" si="60"/>
        <v>68.814727173292923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0</v>
      </c>
      <c r="BJ105" s="59">
        <f t="shared" si="92"/>
        <v>0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0</v>
      </c>
      <c r="CE105" s="59">
        <f t="shared" si="94"/>
        <v>0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354.30476036506167</v>
      </c>
      <c r="T106" s="59">
        <f t="shared" si="88"/>
        <v>593.51433014569966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55.594339889312302</v>
      </c>
      <c r="AA106" s="21">
        <f>EXP(-LN(2)/25)*AA105+(1-EXP(-LN(2)/25))/(LN(2)/25)*Calculateur!V106*Calculateur!X106*VLOOKUP('Données projet'!$B$9,Paramètres!$A$1:$I$89,3,0)*0.475*44/12</f>
        <v>18.686763536685394</v>
      </c>
      <c r="AB106" s="21">
        <f>EXP(-LN(2)/2)*AB105+(1-EXP(-LN(2)/2))/(LN(2)/2)*V106*Y106*VLOOKUP('Données projet'!$B$9,Paramètres!$A$1:$I$89,3,0)*0.475*44/12</f>
        <v>1.62791254438415E-7</v>
      </c>
      <c r="AC106" s="22">
        <f t="shared" si="57"/>
        <v>74.281103588788952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280.11276976762787</v>
      </c>
      <c r="AO106" s="59">
        <f t="shared" si="90"/>
        <v>471.89239871617241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49.633618856356705</v>
      </c>
      <c r="AV106" s="21">
        <f>EXP(-LN(2)/25)*AV105+(1-EXP(-LN(2)/25))/(LN(2)/25)*Calculateur!AQ106*Calculateur!AS106*VLOOKUP('Données projet'!$B$10,Paramètres!$A$1:$I$89,3,0)*0.475*44/12</f>
        <v>17.690994301191616</v>
      </c>
      <c r="AW106" s="21">
        <f>EXP(-LN(2)/2)*AW105+(1-EXP(-LN(2)/2))/(LN(2)/2)*AQ106*AT106*VLOOKUP('Données projet'!$B$10,Paramètres!$A$1:$I$89,3,0)*0.475*44/12</f>
        <v>1.4853621116269533E-7</v>
      </c>
      <c r="AX106" s="21">
        <f t="shared" si="60"/>
        <v>67.324613306084544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0</v>
      </c>
      <c r="BJ106" s="59">
        <f t="shared" si="92"/>
        <v>0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0</v>
      </c>
      <c r="CE106" s="59">
        <f t="shared" si="94"/>
        <v>0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354.30476036506167</v>
      </c>
      <c r="T107" s="59">
        <f t="shared" si="88"/>
        <v>593.51433014569966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54.504168793281963</v>
      </c>
      <c r="AA107" s="21">
        <f>EXP(-LN(2)/25)*AA106+(1-EXP(-LN(2)/25))/(LN(2)/25)*Calculateur!V107*Calculateur!X107*VLOOKUP('Données projet'!$B$9,Paramètres!$A$1:$I$89,3,0)*0.475*44/12</f>
        <v>18.175773005080547</v>
      </c>
      <c r="AB107" s="21">
        <f>EXP(-LN(2)/2)*AB106+(1-EXP(-LN(2)/2))/(LN(2)/2)*V107*Y107*VLOOKUP('Données projet'!$B$9,Paramètres!$A$1:$I$89,3,0)*0.475*44/12</f>
        <v>1.151107999312679E-7</v>
      </c>
      <c r="AC107" s="22">
        <f t="shared" si="57"/>
        <v>72.6799419134733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280.11276976762787</v>
      </c>
      <c r="AO107" s="59">
        <f t="shared" si="90"/>
        <v>471.89239871617241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48.660333864101794</v>
      </c>
      <c r="AV107" s="21">
        <f>EXP(-LN(2)/25)*AV106+(1-EXP(-LN(2)/25))/(LN(2)/25)*Calculateur!AQ107*Calculateur!AS107*VLOOKUP('Données projet'!$B$10,Paramètres!$A$1:$I$89,3,0)*0.475*44/12</f>
        <v>17.207233131696572</v>
      </c>
      <c r="AW107" s="21">
        <f>EXP(-LN(2)/2)*AW106+(1-EXP(-LN(2)/2))/(LN(2)/2)*AQ107*AT107*VLOOKUP('Données projet'!$B$10,Paramètres!$A$1:$I$89,3,0)*0.475*44/12</f>
        <v>1.0503096216489883E-7</v>
      </c>
      <c r="AX107" s="21">
        <f t="shared" si="60"/>
        <v>65.867567100829334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0</v>
      </c>
      <c r="BJ107" s="59">
        <f t="shared" si="92"/>
        <v>0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0</v>
      </c>
      <c r="CE107" s="59">
        <f t="shared" si="94"/>
        <v>0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354.30476036506167</v>
      </c>
      <c r="T108" s="59">
        <f t="shared" si="88"/>
        <v>593.51433014569966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53.435375287506069</v>
      </c>
      <c r="AA108" s="21">
        <f>EXP(-LN(2)/25)*AA107+(1-EXP(-LN(2)/25))/(LN(2)/25)*Calculateur!V108*Calculateur!X108*VLOOKUP('Données projet'!$B$9,Paramètres!$A$1:$I$89,3,0)*0.475*44/12</f>
        <v>17.678755536434259</v>
      </c>
      <c r="AB108" s="21">
        <f>EXP(-LN(2)/2)*AB107+(1-EXP(-LN(2)/2))/(LN(2)/2)*V108*Y108*VLOOKUP('Données projet'!$B$9,Paramètres!$A$1:$I$89,3,0)*0.475*44/12</f>
        <v>8.1395627219207501E-8</v>
      </c>
      <c r="AC108" s="22">
        <f t="shared" si="57"/>
        <v>71.114130905335955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280.11276976762787</v>
      </c>
      <c r="AO108" s="59">
        <f t="shared" si="90"/>
        <v>471.89239871617241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47.70613439689977</v>
      </c>
      <c r="AV108" s="21">
        <f>EXP(-LN(2)/25)*AV107+(1-EXP(-LN(2)/25))/(LN(2)/25)*Calculateur!AQ108*Calculateur!AS108*VLOOKUP('Données projet'!$B$10,Paramètres!$A$1:$I$89,3,0)*0.475*44/12</f>
        <v>16.736700436821266</v>
      </c>
      <c r="AW108" s="21">
        <f>EXP(-LN(2)/2)*AW107+(1-EXP(-LN(2)/2))/(LN(2)/2)*AQ108*AT108*VLOOKUP('Données projet'!$B$10,Paramètres!$A$1:$I$89,3,0)*0.475*44/12</f>
        <v>7.4268105581347667E-8</v>
      </c>
      <c r="AX108" s="21">
        <f t="shared" si="60"/>
        <v>64.442834907989138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0</v>
      </c>
      <c r="BJ108" s="59">
        <f t="shared" si="92"/>
        <v>0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0</v>
      </c>
      <c r="CE108" s="59">
        <f t="shared" si="94"/>
        <v>0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354.30476036506167</v>
      </c>
      <c r="T109" s="59">
        <f t="shared" si="88"/>
        <v>593.51433014569966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52.387540170478772</v>
      </c>
      <c r="AA109" s="21">
        <f>EXP(-LN(2)/25)*AA108+(1-EXP(-LN(2)/25))/(LN(2)/25)*Calculateur!V109*Calculateur!X109*VLOOKUP('Données projet'!$B$9,Paramètres!$A$1:$I$89,3,0)*0.475*44/12</f>
        <v>17.195329036605116</v>
      </c>
      <c r="AB109" s="21">
        <f>EXP(-LN(2)/2)*AB108+(1-EXP(-LN(2)/2))/(LN(2)/2)*V109*Y109*VLOOKUP('Données projet'!$B$9,Paramètres!$A$1:$I$89,3,0)*0.475*44/12</f>
        <v>5.7555399965633951E-8</v>
      </c>
      <c r="AC109" s="22">
        <f t="shared" si="57"/>
        <v>69.582869264639285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280.11276976762787</v>
      </c>
      <c r="AO109" s="59">
        <f t="shared" si="90"/>
        <v>471.89239871617241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46.77064619924537</v>
      </c>
      <c r="AV109" s="21">
        <f>EXP(-LN(2)/25)*AV108+(1-EXP(-LN(2)/25))/(LN(2)/25)*Calculateur!AQ109*Calculateur!AS109*VLOOKUP('Données projet'!$B$10,Paramètres!$A$1:$I$89,3,0)*0.475*44/12</f>
        <v>16.279034483231566</v>
      </c>
      <c r="AW109" s="21">
        <f>EXP(-LN(2)/2)*AW108+(1-EXP(-LN(2)/2))/(LN(2)/2)*AQ109*AT109*VLOOKUP('Données projet'!$B$10,Paramètres!$A$1:$I$89,3,0)*0.475*44/12</f>
        <v>5.2515481082449415E-8</v>
      </c>
      <c r="AX109" s="21">
        <f t="shared" si="60"/>
        <v>63.049680734992414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0</v>
      </c>
      <c r="BJ109" s="59">
        <f t="shared" si="92"/>
        <v>0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0</v>
      </c>
      <c r="CE109" s="59">
        <f t="shared" si="94"/>
        <v>0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354.30476036506167</v>
      </c>
      <c r="T110" s="59">
        <f t="shared" si="88"/>
        <v>593.51433014569966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51.360252460980064</v>
      </c>
      <c r="AA110" s="21">
        <f>EXP(-LN(2)/25)*AA109+(1-EXP(-LN(2)/25))/(LN(2)/25)*Calculateur!V110*Calculateur!X110*VLOOKUP('Données projet'!$B$9,Paramètres!$A$1:$I$89,3,0)*0.475*44/12</f>
        <v>16.725121859836097</v>
      </c>
      <c r="AB110" s="21">
        <f>EXP(-LN(2)/2)*AB109+(1-EXP(-LN(2)/2))/(LN(2)/2)*V110*Y110*VLOOKUP('Données projet'!$B$9,Paramètres!$A$1:$I$89,3,0)*0.475*44/12</f>
        <v>4.0697813609603751E-8</v>
      </c>
      <c r="AC110" s="22">
        <f t="shared" si="57"/>
        <v>68.085374361513971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280.11276976762787</v>
      </c>
      <c r="AO110" s="59">
        <f t="shared" si="90"/>
        <v>471.89239871617241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45.853502354555516</v>
      </c>
      <c r="AV110" s="21">
        <f>EXP(-LN(2)/25)*AV109+(1-EXP(-LN(2)/25))/(LN(2)/25)*Calculateur!AQ110*Calculateur!AS110*VLOOKUP('Données projet'!$B$10,Paramètres!$A$1:$I$89,3,0)*0.475*44/12</f>
        <v>15.833883429210381</v>
      </c>
      <c r="AW110" s="21">
        <f>EXP(-LN(2)/2)*AW109+(1-EXP(-LN(2)/2))/(LN(2)/2)*AQ110*AT110*VLOOKUP('Données projet'!$B$10,Paramètres!$A$1:$I$89,3,0)*0.475*44/12</f>
        <v>3.7134052790673834E-8</v>
      </c>
      <c r="AX110" s="21">
        <f t="shared" si="60"/>
        <v>61.687385820899948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0</v>
      </c>
      <c r="BJ110" s="59">
        <f t="shared" si="92"/>
        <v>0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0</v>
      </c>
      <c r="CE110" s="59">
        <f t="shared" si="94"/>
        <v>0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354.30476036506167</v>
      </c>
      <c r="T111" s="59">
        <f t="shared" si="88"/>
        <v>593.51433014569966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50.353109236880996</v>
      </c>
      <c r="AA111" s="21">
        <f>EXP(-LN(2)/25)*AA110+(1-EXP(-LN(2)/25))/(LN(2)/25)*Calculateur!V111*Calculateur!X111*VLOOKUP('Données projet'!$B$9,Paramètres!$A$1:$I$89,3,0)*0.475*44/12</f>
        <v>16.267772523042947</v>
      </c>
      <c r="AB111" s="21">
        <f>EXP(-LN(2)/2)*AB110+(1-EXP(-LN(2)/2))/(LN(2)/2)*V111*Y111*VLOOKUP('Données projet'!$B$9,Paramètres!$A$1:$I$89,3,0)*0.475*44/12</f>
        <v>2.8777699982816975E-8</v>
      </c>
      <c r="AC111" s="22">
        <f t="shared" si="57"/>
        <v>66.620881788701652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280.11276976762787</v>
      </c>
      <c r="AO111" s="59">
        <f t="shared" si="90"/>
        <v>471.89239871617241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44.954343141257517</v>
      </c>
      <c r="AV111" s="21">
        <f>EXP(-LN(2)/25)*AV110+(1-EXP(-LN(2)/25))/(LN(2)/25)*Calculateur!AQ111*Calculateur!AS111*VLOOKUP('Données projet'!$B$10,Paramètres!$A$1:$I$89,3,0)*0.475*44/12</f>
        <v>15.400905054170883</v>
      </c>
      <c r="AW111" s="21">
        <f>EXP(-LN(2)/2)*AW110+(1-EXP(-LN(2)/2))/(LN(2)/2)*AQ111*AT111*VLOOKUP('Données projet'!$B$10,Paramètres!$A$1:$I$89,3,0)*0.475*44/12</f>
        <v>2.6257740541224707E-8</v>
      </c>
      <c r="AX111" s="21">
        <f t="shared" si="60"/>
        <v>60.355248221686139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0</v>
      </c>
      <c r="BJ111" s="59">
        <f t="shared" si="92"/>
        <v>0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0</v>
      </c>
      <c r="CE111" s="59">
        <f t="shared" si="94"/>
        <v>0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354.30476036506167</v>
      </c>
      <c r="T112" s="59">
        <f t="shared" si="88"/>
        <v>593.51433014569966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49.365715477109802</v>
      </c>
      <c r="AA112" s="21">
        <f>EXP(-LN(2)/25)*AA111+(1-EXP(-LN(2)/25))/(LN(2)/25)*Calculateur!V112*Calculateur!X112*VLOOKUP('Données projet'!$B$9,Paramètres!$A$1:$I$89,3,0)*0.475*44/12</f>
        <v>15.82292942791536</v>
      </c>
      <c r="AB112" s="21">
        <f>EXP(-LN(2)/2)*AB111+(1-EXP(-LN(2)/2))/(LN(2)/2)*V112*Y112*VLOOKUP('Données projet'!$B$9,Paramètres!$A$1:$I$89,3,0)*0.475*44/12</f>
        <v>2.0348906804801875E-8</v>
      </c>
      <c r="AC112" s="22">
        <f t="shared" si="57"/>
        <v>65.188644925374064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280.11276976762787</v>
      </c>
      <c r="AO112" s="59">
        <f t="shared" si="90"/>
        <v>471.89239871617241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44.072815891699328</v>
      </c>
      <c r="AV112" s="21">
        <f>EXP(-LN(2)/25)*AV111+(1-EXP(-LN(2)/25))/(LN(2)/25)*Calculateur!AQ112*Calculateur!AS112*VLOOKUP('Données projet'!$B$10,Paramètres!$A$1:$I$89,3,0)*0.475*44/12</f>
        <v>14.979766495566182</v>
      </c>
      <c r="AW112" s="21">
        <f>EXP(-LN(2)/2)*AW111+(1-EXP(-LN(2)/2))/(LN(2)/2)*AQ112*AT112*VLOOKUP('Données projet'!$B$10,Paramètres!$A$1:$I$89,3,0)*0.475*44/12</f>
        <v>1.8567026395336917E-8</v>
      </c>
      <c r="AX112" s="21">
        <f t="shared" si="60"/>
        <v>59.052582405832538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0</v>
      </c>
      <c r="BJ112" s="59">
        <f t="shared" si="92"/>
        <v>0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0</v>
      </c>
      <c r="CE112" s="59">
        <f t="shared" si="94"/>
        <v>0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354.30476036506167</v>
      </c>
      <c r="T113" s="59">
        <f t="shared" si="88"/>
        <v>593.51433014569966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48.397683906716992</v>
      </c>
      <c r="AA113" s="21">
        <f>EXP(-LN(2)/25)*AA112+(1-EXP(-LN(2)/25))/(LN(2)/25)*Calculateur!V113*Calculateur!X113*VLOOKUP('Données projet'!$B$9,Paramètres!$A$1:$I$89,3,0)*0.475*44/12</f>
        <v>15.39025059061732</v>
      </c>
      <c r="AB113" s="21">
        <f>EXP(-LN(2)/2)*AB112+(1-EXP(-LN(2)/2))/(LN(2)/2)*V113*Y113*VLOOKUP('Données projet'!$B$9,Paramètres!$A$1:$I$89,3,0)*0.475*44/12</f>
        <v>1.4388849991408488E-8</v>
      </c>
      <c r="AC113" s="22">
        <f t="shared" si="57"/>
        <v>63.787934511723165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280.11276976762787</v>
      </c>
      <c r="AO113" s="59">
        <f t="shared" si="90"/>
        <v>471.89239871617241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43.208574853826441</v>
      </c>
      <c r="AV113" s="21">
        <f>EXP(-LN(2)/25)*AV112+(1-EXP(-LN(2)/25))/(LN(2)/25)*Calculateur!AQ113*Calculateur!AS113*VLOOKUP('Données projet'!$B$10,Paramètres!$A$1:$I$89,3,0)*0.475*44/12</f>
        <v>14.570143992993241</v>
      </c>
      <c r="AW113" s="21">
        <f>EXP(-LN(2)/2)*AW112+(1-EXP(-LN(2)/2))/(LN(2)/2)*AQ113*AT113*VLOOKUP('Données projet'!$B$10,Paramètres!$A$1:$I$89,3,0)*0.475*44/12</f>
        <v>1.3128870270612354E-8</v>
      </c>
      <c r="AX113" s="21">
        <f t="shared" si="60"/>
        <v>57.778718859948555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0</v>
      </c>
      <c r="BJ113" s="59">
        <f t="shared" si="92"/>
        <v>0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0</v>
      </c>
      <c r="CE113" s="59">
        <f t="shared" si="94"/>
        <v>0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354.30476036506167</v>
      </c>
      <c r="T114" s="59">
        <f t="shared" si="88"/>
        <v>593.51433014569966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47.448634844978628</v>
      </c>
      <c r="AA114" s="21">
        <f>EXP(-LN(2)/25)*AA113+(1-EXP(-LN(2)/25))/(LN(2)/25)*Calculateur!V114*Calculateur!X114*VLOOKUP('Données projet'!$B$9,Paramètres!$A$1:$I$89,3,0)*0.475*44/12</f>
        <v>14.969403378878786</v>
      </c>
      <c r="AB114" s="21">
        <f>EXP(-LN(2)/2)*AB113+(1-EXP(-LN(2)/2))/(LN(2)/2)*V114*Y114*VLOOKUP('Données projet'!$B$9,Paramètres!$A$1:$I$89,3,0)*0.475*44/12</f>
        <v>1.0174453402400938E-8</v>
      </c>
      <c r="AC114" s="22">
        <f t="shared" si="57"/>
        <v>62.418038234031869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280.11276976762787</v>
      </c>
      <c r="AO114" s="59">
        <f t="shared" si="90"/>
        <v>471.89239871617241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42.361281055571261</v>
      </c>
      <c r="AV114" s="21">
        <f>EXP(-LN(2)/25)*AV113+(1-EXP(-LN(2)/25))/(LN(2)/25)*Calculateur!AQ114*Calculateur!AS114*VLOOKUP('Données projet'!$B$10,Paramètres!$A$1:$I$89,3,0)*0.475*44/12</f>
        <v>14.171722639294268</v>
      </c>
      <c r="AW114" s="21">
        <f>EXP(-LN(2)/2)*AW113+(1-EXP(-LN(2)/2))/(LN(2)/2)*AQ114*AT114*VLOOKUP('Données projet'!$B$10,Paramètres!$A$1:$I$89,3,0)*0.475*44/12</f>
        <v>9.2835131976684584E-9</v>
      </c>
      <c r="AX114" s="21">
        <f t="shared" si="60"/>
        <v>56.533003704149039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0</v>
      </c>
      <c r="BJ114" s="59">
        <f t="shared" si="92"/>
        <v>0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0</v>
      </c>
      <c r="CE114" s="59">
        <f t="shared" si="94"/>
        <v>0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354.30476036506167</v>
      </c>
      <c r="T115" s="59">
        <f t="shared" si="88"/>
        <v>593.51433014569966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46.518196056478182</v>
      </c>
      <c r="AA115" s="21">
        <f>EXP(-LN(2)/25)*AA114+(1-EXP(-LN(2)/25))/(LN(2)/25)*Calculateur!V115*Calculateur!X115*VLOOKUP('Données projet'!$B$9,Paramètres!$A$1:$I$89,3,0)*0.475*44/12</f>
        <v>14.560064256276634</v>
      </c>
      <c r="AB115" s="21">
        <f>EXP(-LN(2)/2)*AB114+(1-EXP(-LN(2)/2))/(LN(2)/2)*V115*Y115*VLOOKUP('Données projet'!$B$9,Paramètres!$A$1:$I$89,3,0)*0.475*44/12</f>
        <v>7.1944249957042439E-9</v>
      </c>
      <c r="AC115" s="22">
        <f t="shared" si="57"/>
        <v>61.078260319949237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280.11276976762787</v>
      </c>
      <c r="AO115" s="59">
        <f t="shared" si="90"/>
        <v>471.89239871617241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41.530602171901677</v>
      </c>
      <c r="AV115" s="21">
        <f>EXP(-LN(2)/25)*AV114+(1-EXP(-LN(2)/25))/(LN(2)/25)*Calculateur!AQ115*Calculateur!AS115*VLOOKUP('Données projet'!$B$10,Paramètres!$A$1:$I$89,3,0)*0.475*44/12</f>
        <v>13.784196138464262</v>
      </c>
      <c r="AW115" s="21">
        <f>EXP(-LN(2)/2)*AW114+(1-EXP(-LN(2)/2))/(LN(2)/2)*AQ115*AT115*VLOOKUP('Données projet'!$B$10,Paramètres!$A$1:$I$89,3,0)*0.475*44/12</f>
        <v>6.5644351353061768E-9</v>
      </c>
      <c r="AX115" s="21">
        <f t="shared" si="60"/>
        <v>55.314798316930371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0</v>
      </c>
      <c r="BJ115" s="59">
        <f t="shared" si="92"/>
        <v>0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0</v>
      </c>
      <c r="CE115" s="59">
        <f t="shared" si="94"/>
        <v>0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354.30476036506167</v>
      </c>
      <c r="T116" s="59">
        <f t="shared" si="88"/>
        <v>593.51433014569966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45.606002605108607</v>
      </c>
      <c r="AA116" s="21">
        <f>EXP(-LN(2)/25)*AA115+(1-EXP(-LN(2)/25))/(LN(2)/25)*Calculateur!V116*Calculateur!X116*VLOOKUP('Données projet'!$B$9,Paramètres!$A$1:$I$89,3,0)*0.475*44/12</f>
        <v>14.161918533508247</v>
      </c>
      <c r="AB116" s="21">
        <f>EXP(-LN(2)/2)*AB115+(1-EXP(-LN(2)/2))/(LN(2)/2)*V116*Y116*VLOOKUP('Données projet'!$B$9,Paramètres!$A$1:$I$89,3,0)*0.475*44/12</f>
        <v>5.0872267012004688E-9</v>
      </c>
      <c r="AC116" s="22">
        <f t="shared" si="57"/>
        <v>59.767921143704086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280.11276976762787</v>
      </c>
      <c r="AO116" s="59">
        <f t="shared" si="90"/>
        <v>471.89239871617241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40.716212394476763</v>
      </c>
      <c r="AV116" s="21">
        <f>EXP(-LN(2)/25)*AV115+(1-EXP(-LN(2)/25))/(LN(2)/25)*Calculateur!AQ116*Calculateur!AS116*VLOOKUP('Données projet'!$B$10,Paramètres!$A$1:$I$89,3,0)*0.475*44/12</f>
        <v>13.407266570178585</v>
      </c>
      <c r="AW116" s="21">
        <f>EXP(-LN(2)/2)*AW115+(1-EXP(-LN(2)/2))/(LN(2)/2)*AQ116*AT116*VLOOKUP('Données projet'!$B$10,Paramètres!$A$1:$I$89,3,0)*0.475*44/12</f>
        <v>4.6417565988342292E-9</v>
      </c>
      <c r="AX116" s="21">
        <f t="shared" si="60"/>
        <v>54.123478969297103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0</v>
      </c>
      <c r="BJ116" s="59">
        <f t="shared" si="92"/>
        <v>0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0</v>
      </c>
      <c r="CE116" s="59">
        <f t="shared" si="94"/>
        <v>0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354.30476036506167</v>
      </c>
      <c r="T117" s="59">
        <f t="shared" si="88"/>
        <v>593.51433014569966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44.711696710937325</v>
      </c>
      <c r="AA117" s="21">
        <f>EXP(-LN(2)/25)*AA116+(1-EXP(-LN(2)/25))/(LN(2)/25)*Calculateur!V117*Calculateur!X117*VLOOKUP('Données projet'!$B$9,Paramètres!$A$1:$I$89,3,0)*0.475*44/12</f>
        <v>13.774660126466536</v>
      </c>
      <c r="AB117" s="21">
        <f>EXP(-LN(2)/2)*AB116+(1-EXP(-LN(2)/2))/(LN(2)/2)*V117*Y117*VLOOKUP('Données projet'!$B$9,Paramètres!$A$1:$I$89,3,0)*0.475*44/12</f>
        <v>3.5972124978521219E-9</v>
      </c>
      <c r="AC117" s="22">
        <f t="shared" si="57"/>
        <v>58.486356841001076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280.11276976762787</v>
      </c>
      <c r="AO117" s="59">
        <f t="shared" si="90"/>
        <v>471.89239871617241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39.917792303858434</v>
      </c>
      <c r="AV117" s="21">
        <f>EXP(-LN(2)/25)*AV116+(1-EXP(-LN(2)/25))/(LN(2)/25)*Calculateur!AQ117*Calculateur!AS117*VLOOKUP('Données projet'!$B$10,Paramètres!$A$1:$I$89,3,0)*0.475*44/12</f>
        <v>13.040644160759545</v>
      </c>
      <c r="AW117" s="21">
        <f>EXP(-LN(2)/2)*AW116+(1-EXP(-LN(2)/2))/(LN(2)/2)*AQ117*AT117*VLOOKUP('Données projet'!$B$10,Paramètres!$A$1:$I$89,3,0)*0.475*44/12</f>
        <v>3.2822175676530884E-9</v>
      </c>
      <c r="AX117" s="21">
        <f t="shared" si="60"/>
        <v>52.958436467900192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0</v>
      </c>
      <c r="BJ117" s="59">
        <f t="shared" si="92"/>
        <v>0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0</v>
      </c>
      <c r="CE117" s="59">
        <f t="shared" si="94"/>
        <v>0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354.30476036506167</v>
      </c>
      <c r="T118" s="59">
        <f t="shared" si="88"/>
        <v>593.51433014569966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43.834927609878008</v>
      </c>
      <c r="AA118" s="21">
        <f>EXP(-LN(2)/25)*AA117+(1-EXP(-LN(2)/25))/(LN(2)/25)*Calculateur!V118*Calculateur!X118*VLOOKUP('Données projet'!$B$9,Paramètres!$A$1:$I$89,3,0)*0.475*44/12</f>
        <v>13.397991320930414</v>
      </c>
      <c r="AB118" s="21">
        <f>EXP(-LN(2)/2)*AB117+(1-EXP(-LN(2)/2))/(LN(2)/2)*V118*Y118*VLOOKUP('Données projet'!$B$9,Paramètres!$A$1:$I$89,3,0)*0.475*44/12</f>
        <v>2.5436133506002344E-9</v>
      </c>
      <c r="AC118" s="22">
        <f t="shared" si="57"/>
        <v>57.232918933352039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280.11276976762787</v>
      </c>
      <c r="AO118" s="59">
        <f t="shared" si="90"/>
        <v>471.89239871617241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39.135028744228961</v>
      </c>
      <c r="AV118" s="21">
        <f>EXP(-LN(2)/25)*AV117+(1-EXP(-LN(2)/25))/(LN(2)/25)*Calculateur!AQ118*Calculateur!AS118*VLOOKUP('Données projet'!$B$10,Paramètres!$A$1:$I$89,3,0)*0.475*44/12</f>
        <v>12.684047060405904</v>
      </c>
      <c r="AW118" s="21">
        <f>EXP(-LN(2)/2)*AW117+(1-EXP(-LN(2)/2))/(LN(2)/2)*AQ118*AT118*VLOOKUP('Données projet'!$B$10,Paramètres!$A$1:$I$89,3,0)*0.475*44/12</f>
        <v>2.3208782994171146E-9</v>
      </c>
      <c r="AX118" s="21">
        <f t="shared" si="60"/>
        <v>51.819075806955745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0</v>
      </c>
      <c r="BJ118" s="59">
        <f t="shared" si="92"/>
        <v>0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0</v>
      </c>
      <c r="CE118" s="59">
        <f t="shared" si="94"/>
        <v>0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354.30476036506167</v>
      </c>
      <c r="T119" s="59">
        <f t="shared" si="88"/>
        <v>593.51433014569966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42.975351416114115</v>
      </c>
      <c r="AA119" s="21">
        <f>EXP(-LN(2)/25)*AA118+(1-EXP(-LN(2)/25))/(LN(2)/25)*Calculateur!V119*Calculateur!X119*VLOOKUP('Données projet'!$B$9,Paramètres!$A$1:$I$89,3,0)*0.475*44/12</f>
        <v>13.03162254368983</v>
      </c>
      <c r="AB119" s="21">
        <f>EXP(-LN(2)/2)*AB118+(1-EXP(-LN(2)/2))/(LN(2)/2)*V119*Y119*VLOOKUP('Données projet'!$B$9,Paramètres!$A$1:$I$89,3,0)*0.475*44/12</f>
        <v>1.798606248926061E-9</v>
      </c>
      <c r="AC119" s="22">
        <f t="shared" si="57"/>
        <v>56.006973961602547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280.11276976762787</v>
      </c>
      <c r="AO119" s="59">
        <f t="shared" si="90"/>
        <v>471.89239871617241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38.367614700565198</v>
      </c>
      <c r="AV119" s="21">
        <f>EXP(-LN(2)/25)*AV118+(1-EXP(-LN(2)/25))/(LN(2)/25)*Calculateur!AQ119*Calculateur!AS119*VLOOKUP('Données projet'!$B$10,Paramètres!$A$1:$I$89,3,0)*0.475*44/12</f>
        <v>12.33720112651406</v>
      </c>
      <c r="AW119" s="21">
        <f>EXP(-LN(2)/2)*AW118+(1-EXP(-LN(2)/2))/(LN(2)/2)*AQ119*AT119*VLOOKUP('Données projet'!$B$10,Paramètres!$A$1:$I$89,3,0)*0.475*44/12</f>
        <v>1.6411087838265442E-9</v>
      </c>
      <c r="AX119" s="21">
        <f t="shared" si="60"/>
        <v>50.704815828720371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0</v>
      </c>
      <c r="BJ119" s="59">
        <f t="shared" si="92"/>
        <v>0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0</v>
      </c>
      <c r="CE119" s="59">
        <f t="shared" si="94"/>
        <v>0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354.30476036506167</v>
      </c>
      <c r="T120" s="59">
        <f t="shared" si="88"/>
        <v>593.51433014569966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42.132630987220224</v>
      </c>
      <c r="AA120" s="21">
        <f>EXP(-LN(2)/25)*AA119+(1-EXP(-LN(2)/25))/(LN(2)/25)*Calculateur!V120*Calculateur!X120*VLOOKUP('Données projet'!$B$9,Paramètres!$A$1:$I$89,3,0)*0.475*44/12</f>
        <v>12.675272139929385</v>
      </c>
      <c r="AB120" s="21">
        <f>EXP(-LN(2)/2)*AB119+(1-EXP(-LN(2)/2))/(LN(2)/2)*V120*Y120*VLOOKUP('Données projet'!$B$9,Paramètres!$A$1:$I$89,3,0)*0.475*44/12</f>
        <v>1.2718066753001172E-9</v>
      </c>
      <c r="AC120" s="22">
        <f t="shared" si="57"/>
        <v>54.807903128421415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280.11276976762787</v>
      </c>
      <c r="AO120" s="59">
        <f t="shared" si="90"/>
        <v>471.89239871617241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37.615249178221333</v>
      </c>
      <c r="AV120" s="21">
        <f>EXP(-LN(2)/25)*AV119+(1-EXP(-LN(2)/25))/(LN(2)/25)*Calculateur!AQ120*Calculateur!AS120*VLOOKUP('Données projet'!$B$10,Paramètres!$A$1:$I$89,3,0)*0.475*44/12</f>
        <v>11.999839712924322</v>
      </c>
      <c r="AW120" s="21">
        <f>EXP(-LN(2)/2)*AW119+(1-EXP(-LN(2)/2))/(LN(2)/2)*AQ120*AT120*VLOOKUP('Données projet'!$B$10,Paramètres!$A$1:$I$89,3,0)*0.475*44/12</f>
        <v>1.1604391497085573E-9</v>
      </c>
      <c r="AX120" s="21">
        <f t="shared" si="60"/>
        <v>49.61508889230609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0</v>
      </c>
      <c r="BJ120" s="59">
        <f t="shared" si="92"/>
        <v>0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0</v>
      </c>
      <c r="CE120" s="59">
        <f t="shared" si="94"/>
        <v>0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354.30476036506167</v>
      </c>
      <c r="T121" s="59">
        <f t="shared" si="88"/>
        <v>593.51433014569966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41.306435791928237</v>
      </c>
      <c r="AA121" s="21">
        <f>EXP(-LN(2)/25)*AA120+(1-EXP(-LN(2)/25))/(LN(2)/25)*Calculateur!V121*Calculateur!X121*VLOOKUP('Données projet'!$B$9,Paramètres!$A$1:$I$89,3,0)*0.475*44/12</f>
        <v>12.328666156699423</v>
      </c>
      <c r="AB121" s="21">
        <f>EXP(-LN(2)/2)*AB120+(1-EXP(-LN(2)/2))/(LN(2)/2)*V121*Y121*VLOOKUP('Données projet'!$B$9,Paramètres!$A$1:$I$89,3,0)*0.475*44/12</f>
        <v>8.9930312446303048E-10</v>
      </c>
      <c r="AC121" s="22">
        <f t="shared" si="57"/>
        <v>53.63510194952697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280.11276976762787</v>
      </c>
      <c r="AO121" s="59">
        <f t="shared" si="90"/>
        <v>471.89239871617241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36.877637084872973</v>
      </c>
      <c r="AV121" s="21">
        <f>EXP(-LN(2)/25)*AV120+(1-EXP(-LN(2)/25))/(LN(2)/25)*Calculateur!AQ121*Calculateur!AS121*VLOOKUP('Données projet'!$B$10,Paramètres!$A$1:$I$89,3,0)*0.475*44/12</f>
        <v>11.671703464930262</v>
      </c>
      <c r="AW121" s="21">
        <f>EXP(-LN(2)/2)*AW120+(1-EXP(-LN(2)/2))/(LN(2)/2)*AQ121*AT121*VLOOKUP('Données projet'!$B$10,Paramètres!$A$1:$I$89,3,0)*0.475*44/12</f>
        <v>8.205543919132721E-10</v>
      </c>
      <c r="AX121" s="21">
        <f t="shared" si="60"/>
        <v>48.549340550623789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0</v>
      </c>
      <c r="BJ121" s="59">
        <f t="shared" si="92"/>
        <v>0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0</v>
      </c>
      <c r="CE121" s="59">
        <f t="shared" si="94"/>
        <v>0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354.30476036506167</v>
      </c>
      <c r="T122" s="59">
        <f t="shared" si="88"/>
        <v>593.51433014569966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40.496441780486613</v>
      </c>
      <c r="AA122" s="21">
        <f>EXP(-LN(2)/25)*AA121+(1-EXP(-LN(2)/25))/(LN(2)/25)*Calculateur!V122*Calculateur!X122*VLOOKUP('Données projet'!$B$9,Paramètres!$A$1:$I$89,3,0)*0.475*44/12</f>
        <v>11.991538132308103</v>
      </c>
      <c r="AB122" s="21">
        <f>EXP(-LN(2)/2)*AB121+(1-EXP(-LN(2)/2))/(LN(2)/2)*V122*Y122*VLOOKUP('Données projet'!$B$9,Paramètres!$A$1:$I$89,3,0)*0.475*44/12</f>
        <v>6.359033376500586E-10</v>
      </c>
      <c r="AC122" s="22">
        <f t="shared" si="57"/>
        <v>52.487979913430614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280.11276976762787</v>
      </c>
      <c r="AO122" s="59">
        <f t="shared" si="90"/>
        <v>471.89239871617241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36.154489114776226</v>
      </c>
      <c r="AV122" s="21">
        <f>EXP(-LN(2)/25)*AV121+(1-EXP(-LN(2)/25))/(LN(2)/25)*Calculateur!AQ122*Calculateur!AS122*VLOOKUP('Données projet'!$B$10,Paramètres!$A$1:$I$89,3,0)*0.475*44/12</f>
        <v>11.352540119893535</v>
      </c>
      <c r="AW122" s="21">
        <f>EXP(-LN(2)/2)*AW121+(1-EXP(-LN(2)/2))/(LN(2)/2)*AQ122*AT122*VLOOKUP('Données projet'!$B$10,Paramètres!$A$1:$I$89,3,0)*0.475*44/12</f>
        <v>5.8021957485427865E-10</v>
      </c>
      <c r="AX122" s="21">
        <f t="shared" si="60"/>
        <v>47.507029235249981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0</v>
      </c>
      <c r="BJ122" s="59">
        <f t="shared" si="92"/>
        <v>0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0</v>
      </c>
      <c r="CE122" s="59">
        <f t="shared" si="94"/>
        <v>0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354.30476036506167</v>
      </c>
      <c r="T123" s="59">
        <f t="shared" si="88"/>
        <v>593.51433014569966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39.702331257561795</v>
      </c>
      <c r="AA123" s="21">
        <f>EXP(-LN(2)/25)*AA122+(1-EXP(-LN(2)/25))/(LN(2)/25)*Calculateur!V123*Calculateur!X123*VLOOKUP('Données projet'!$B$9,Paramètres!$A$1:$I$89,3,0)*0.475*44/12</f>
        <v>11.663628891472554</v>
      </c>
      <c r="AB123" s="21">
        <f>EXP(-LN(2)/2)*AB122+(1-EXP(-LN(2)/2))/(LN(2)/2)*V123*Y123*VLOOKUP('Données projet'!$B$9,Paramètres!$A$1:$I$89,3,0)*0.475*44/12</f>
        <v>4.4965156223151524E-10</v>
      </c>
      <c r="AC123" s="22">
        <f t="shared" si="57"/>
        <v>51.365960149484003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280.11276976762787</v>
      </c>
      <c r="AO123" s="59">
        <f t="shared" si="90"/>
        <v>471.89239871617241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35.445521635296366</v>
      </c>
      <c r="AV123" s="21">
        <f>EXP(-LN(2)/25)*AV122+(1-EXP(-LN(2)/25))/(LN(2)/25)*Calculateur!AQ123*Calculateur!AS123*VLOOKUP('Données projet'!$B$10,Paramètres!$A$1:$I$89,3,0)*0.475*44/12</f>
        <v>11.042104313310908</v>
      </c>
      <c r="AW123" s="21">
        <f>EXP(-LN(2)/2)*AW122+(1-EXP(-LN(2)/2))/(LN(2)/2)*AQ123*AT123*VLOOKUP('Données projet'!$B$10,Paramètres!$A$1:$I$89,3,0)*0.475*44/12</f>
        <v>4.1027719595663605E-10</v>
      </c>
      <c r="AX123" s="21">
        <f t="shared" si="60"/>
        <v>46.487625949017549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0</v>
      </c>
      <c r="BJ123" s="59">
        <f t="shared" si="92"/>
        <v>0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0</v>
      </c>
      <c r="CE123" s="59">
        <f t="shared" si="94"/>
        <v>0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354.30476036506167</v>
      </c>
      <c r="T124" s="59">
        <f t="shared" si="88"/>
        <v>593.51433014569966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38.923792757631944</v>
      </c>
      <c r="AA124" s="21">
        <f>EXP(-LN(2)/25)*AA123+(1-EXP(-LN(2)/25))/(LN(2)/25)*Calculateur!V124*Calculateur!X124*VLOOKUP('Données projet'!$B$9,Paramètres!$A$1:$I$89,3,0)*0.475*44/12</f>
        <v>11.344686346071651</v>
      </c>
      <c r="AB124" s="21">
        <f>EXP(-LN(2)/2)*AB123+(1-EXP(-LN(2)/2))/(LN(2)/2)*V124*Y124*VLOOKUP('Données projet'!$B$9,Paramètres!$A$1:$I$89,3,0)*0.475*44/12</f>
        <v>3.179516688250293E-10</v>
      </c>
      <c r="AC124" s="22">
        <f t="shared" si="57"/>
        <v>50.268479104021552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280.11276976762787</v>
      </c>
      <c r="AO124" s="59">
        <f t="shared" si="90"/>
        <v>471.89239871617241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34.750456575661637</v>
      </c>
      <c r="AV124" s="21">
        <f>EXP(-LN(2)/25)*AV123+(1-EXP(-LN(2)/25))/(LN(2)/25)*Calculateur!AQ124*Calculateur!AS124*VLOOKUP('Données projet'!$B$10,Paramètres!$A$1:$I$89,3,0)*0.475*44/12</f>
        <v>10.740157390184393</v>
      </c>
      <c r="AW124" s="21">
        <f>EXP(-LN(2)/2)*AW123+(1-EXP(-LN(2)/2))/(LN(2)/2)*AQ124*AT124*VLOOKUP('Données projet'!$B$10,Paramètres!$A$1:$I$89,3,0)*0.475*44/12</f>
        <v>2.9010978742713932E-10</v>
      </c>
      <c r="AX124" s="21">
        <f t="shared" si="60"/>
        <v>45.490613966136138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0</v>
      </c>
      <c r="BJ124" s="59">
        <f t="shared" si="92"/>
        <v>0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0</v>
      </c>
      <c r="CE124" s="59">
        <f t="shared" si="94"/>
        <v>0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354.30476036506167</v>
      </c>
      <c r="T125" s="59">
        <f t="shared" si="88"/>
        <v>593.51433014569966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38.160520922824119</v>
      </c>
      <c r="AA125" s="21">
        <f>EXP(-LN(2)/25)*AA124+(1-EXP(-LN(2)/25))/(LN(2)/25)*Calculateur!V125*Calculateur!X125*VLOOKUP('Données projet'!$B$9,Paramètres!$A$1:$I$89,3,0)*0.475*44/12</f>
        <v>11.034465301347195</v>
      </c>
      <c r="AB125" s="21">
        <f>EXP(-LN(2)/2)*AB124+(1-EXP(-LN(2)/2))/(LN(2)/2)*V125*Y125*VLOOKUP('Données projet'!$B$9,Paramètres!$A$1:$I$89,3,0)*0.475*44/12</f>
        <v>2.2482578111575762E-10</v>
      </c>
      <c r="AC125" s="22">
        <f t="shared" si="57"/>
        <v>49.194986224396139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280.11276976762787</v>
      </c>
      <c r="AO125" s="59">
        <f t="shared" si="90"/>
        <v>471.89239871617241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34.069021317898525</v>
      </c>
      <c r="AV125" s="21">
        <f>EXP(-LN(2)/25)*AV124+(1-EXP(-LN(2)/25))/(LN(2)/25)*Calculateur!AQ125*Calculateur!AS125*VLOOKUP('Données projet'!$B$10,Paramètres!$A$1:$I$89,3,0)*0.475*44/12</f>
        <v>10.44646722154947</v>
      </c>
      <c r="AW125" s="21">
        <f>EXP(-LN(2)/2)*AW124+(1-EXP(-LN(2)/2))/(LN(2)/2)*AQ125*AT125*VLOOKUP('Données projet'!$B$10,Paramètres!$A$1:$I$89,3,0)*0.475*44/12</f>
        <v>2.0513859797831803E-10</v>
      </c>
      <c r="AX125" s="21">
        <f t="shared" si="60"/>
        <v>44.515488539653134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0</v>
      </c>
      <c r="BJ125" s="59">
        <f t="shared" si="92"/>
        <v>0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0</v>
      </c>
      <c r="CE125" s="59">
        <f t="shared" si="94"/>
        <v>0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354.30476036506167</v>
      </c>
      <c r="T126" s="59">
        <f t="shared" si="88"/>
        <v>593.51433014569966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37.412216383147026</v>
      </c>
      <c r="AA126" s="21">
        <f>EXP(-LN(2)/25)*AA125+(1-EXP(-LN(2)/25))/(LN(2)/25)*Calculateur!V126*Calculateur!X126*VLOOKUP('Données projet'!$B$9,Paramètres!$A$1:$I$89,3,0)*0.475*44/12</f>
        <v>10.732727267404545</v>
      </c>
      <c r="AB126" s="21">
        <f>EXP(-LN(2)/2)*AB125+(1-EXP(-LN(2)/2))/(LN(2)/2)*V126*Y126*VLOOKUP('Données projet'!$B$9,Paramètres!$A$1:$I$89,3,0)*0.475*44/12</f>
        <v>1.5897583441251465E-10</v>
      </c>
      <c r="AC126" s="22">
        <f t="shared" si="57"/>
        <v>48.144943650710545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280.11276976762787</v>
      </c>
      <c r="AO126" s="59">
        <f t="shared" si="90"/>
        <v>471.89239871617241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33.400948589905681</v>
      </c>
      <c r="AV126" s="21">
        <f>EXP(-LN(2)/25)*AV125+(1-EXP(-LN(2)/25))/(LN(2)/25)*Calculateur!AQ126*Calculateur!AS126*VLOOKUP('Données projet'!$B$10,Paramètres!$A$1:$I$89,3,0)*0.475*44/12</f>
        <v>10.160808026020364</v>
      </c>
      <c r="AW126" s="21">
        <f>EXP(-LN(2)/2)*AW125+(1-EXP(-LN(2)/2))/(LN(2)/2)*AQ126*AT126*VLOOKUP('Données projet'!$B$10,Paramètres!$A$1:$I$89,3,0)*0.475*44/12</f>
        <v>1.4505489371356966E-10</v>
      </c>
      <c r="AX126" s="21">
        <f t="shared" si="60"/>
        <v>43.561756616071101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0</v>
      </c>
      <c r="BJ126" s="59">
        <f t="shared" si="92"/>
        <v>0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0</v>
      </c>
      <c r="CE126" s="59">
        <f t="shared" si="94"/>
        <v>0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354.30476036506167</v>
      </c>
      <c r="T127" s="59">
        <f t="shared" si="88"/>
        <v>593.51433014569966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36.678585639072296</v>
      </c>
      <c r="AA127" s="21">
        <f>EXP(-LN(2)/25)*AA126+(1-EXP(-LN(2)/25))/(LN(2)/25)*Calculateur!V127*Calculateur!X127*VLOOKUP('Données projet'!$B$9,Paramètres!$A$1:$I$89,3,0)*0.475*44/12</f>
        <v>10.439240275867771</v>
      </c>
      <c r="AB127" s="21">
        <f>EXP(-LN(2)/2)*AB126+(1-EXP(-LN(2)/2))/(LN(2)/2)*V127*Y127*VLOOKUP('Données projet'!$B$9,Paramètres!$A$1:$I$89,3,0)*0.475*44/12</f>
        <v>1.1241289055787881E-10</v>
      </c>
      <c r="AC127" s="22">
        <f t="shared" si="57"/>
        <v>47.117825915052485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280.11276976762787</v>
      </c>
      <c r="AO127" s="59">
        <f t="shared" si="90"/>
        <v>471.89239871617241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32.745976360624645</v>
      </c>
      <c r="AV127" s="21">
        <f>EXP(-LN(2)/25)*AV126+(1-EXP(-LN(2)/25))/(LN(2)/25)*Calculateur!AQ127*Calculateur!AS127*VLOOKUP('Données projet'!$B$10,Paramètres!$A$1:$I$89,3,0)*0.475*44/12</f>
        <v>9.8829601962151656</v>
      </c>
      <c r="AW127" s="21">
        <f>EXP(-LN(2)/2)*AW126+(1-EXP(-LN(2)/2))/(LN(2)/2)*AQ127*AT127*VLOOKUP('Données projet'!$B$10,Paramètres!$A$1:$I$89,3,0)*0.475*44/12</f>
        <v>1.0256929898915901E-10</v>
      </c>
      <c r="AX127" s="21">
        <f t="shared" si="60"/>
        <v>42.628936556942378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0</v>
      </c>
      <c r="BJ127" s="59">
        <f t="shared" si="92"/>
        <v>0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0</v>
      </c>
      <c r="CE127" s="59">
        <f t="shared" si="94"/>
        <v>0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354.30476036506167</v>
      </c>
      <c r="T128" s="59">
        <f t="shared" si="88"/>
        <v>593.51433014569966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35.959340946418301</v>
      </c>
      <c r="AA128" s="21">
        <f>EXP(-LN(2)/25)*AA127+(1-EXP(-LN(2)/25))/(LN(2)/25)*Calculateur!V128*Calculateur!X128*VLOOKUP('Données projet'!$B$9,Paramètres!$A$1:$I$89,3,0)*0.475*44/12</f>
        <v>10.153778701548379</v>
      </c>
      <c r="AB128" s="21">
        <f>EXP(-LN(2)/2)*AB127+(1-EXP(-LN(2)/2))/(LN(2)/2)*V128*Y128*VLOOKUP('Données projet'!$B$9,Paramètres!$A$1:$I$89,3,0)*0.475*44/12</f>
        <v>7.9487917206257325E-11</v>
      </c>
      <c r="AC128" s="22">
        <f t="shared" si="57"/>
        <v>46.113119648046172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280.11276976762787</v>
      </c>
      <c r="AO128" s="59">
        <f t="shared" si="90"/>
        <v>471.89239871617241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32.1038477372662</v>
      </c>
      <c r="AV128" s="21">
        <f>EXP(-LN(2)/25)*AV127+(1-EXP(-LN(2)/25))/(LN(2)/25)*Calculateur!AQ128*Calculateur!AS128*VLOOKUP('Données projet'!$B$10,Paramètres!$A$1:$I$89,3,0)*0.475*44/12</f>
        <v>9.6127101299273736</v>
      </c>
      <c r="AW128" s="21">
        <f>EXP(-LN(2)/2)*AW127+(1-EXP(-LN(2)/2))/(LN(2)/2)*AQ128*AT128*VLOOKUP('Données projet'!$B$10,Paramètres!$A$1:$I$89,3,0)*0.475*44/12</f>
        <v>7.2527446856784831E-11</v>
      </c>
      <c r="AX128" s="21">
        <f t="shared" si="60"/>
        <v>41.716557867266097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0</v>
      </c>
      <c r="BJ128" s="59">
        <f t="shared" si="92"/>
        <v>0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0</v>
      </c>
      <c r="CE128" s="59">
        <f t="shared" si="94"/>
        <v>0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354.30476036506167</v>
      </c>
      <c r="T129" s="59">
        <f t="shared" si="88"/>
        <v>593.51433014569966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35.254200203491308</v>
      </c>
      <c r="AA129" s="21">
        <f>EXP(-LN(2)/25)*AA128+(1-EXP(-LN(2)/25))/(LN(2)/25)*Calculateur!V129*Calculateur!X129*VLOOKUP('Données projet'!$B$9,Paramètres!$A$1:$I$89,3,0)*0.475*44/12</f>
        <v>9.8761230889905232</v>
      </c>
      <c r="AB129" s="21">
        <f>EXP(-LN(2)/2)*AB128+(1-EXP(-LN(2)/2))/(LN(2)/2)*V129*Y129*VLOOKUP('Données projet'!$B$9,Paramètres!$A$1:$I$89,3,0)*0.475*44/12</f>
        <v>5.6206445278939405E-11</v>
      </c>
      <c r="AC129" s="22">
        <f t="shared" si="57"/>
        <v>45.130323292538037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280.11276976762787</v>
      </c>
      <c r="AO129" s="59">
        <f t="shared" si="90"/>
        <v>471.89239871617241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31.474310864552027</v>
      </c>
      <c r="AV129" s="21">
        <f>EXP(-LN(2)/25)*AV128+(1-EXP(-LN(2)/25))/(LN(2)/25)*Calculateur!AQ129*Calculateur!AS129*VLOOKUP('Données projet'!$B$10,Paramètres!$A$1:$I$89,3,0)*0.475*44/12</f>
        <v>9.3498500659140547</v>
      </c>
      <c r="AW129" s="21">
        <f>EXP(-LN(2)/2)*AW128+(1-EXP(-LN(2)/2))/(LN(2)/2)*AQ129*AT129*VLOOKUP('Données projet'!$B$10,Paramètres!$A$1:$I$89,3,0)*0.475*44/12</f>
        <v>5.1284649494579507E-11</v>
      </c>
      <c r="AX129" s="21">
        <f t="shared" si="60"/>
        <v>40.824160930517365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0</v>
      </c>
      <c r="BJ129" s="59">
        <f t="shared" si="92"/>
        <v>0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0</v>
      </c>
      <c r="CE129" s="59">
        <f t="shared" si="94"/>
        <v>0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354.30476036506167</v>
      </c>
      <c r="T130" s="59">
        <f t="shared" si="88"/>
        <v>593.51433014569966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34.562886840439731</v>
      </c>
      <c r="AA130" s="21">
        <f>EXP(-LN(2)/25)*AA129+(1-EXP(-LN(2)/25))/(LN(2)/25)*Calculateur!V130*Calculateur!X130*VLOOKUP('Données projet'!$B$9,Paramètres!$A$1:$I$89,3,0)*0.475*44/12</f>
        <v>9.6060599837593355</v>
      </c>
      <c r="AB130" s="21">
        <f>EXP(-LN(2)/2)*AB129+(1-EXP(-LN(2)/2))/(LN(2)/2)*V130*Y130*VLOOKUP('Données projet'!$B$9,Paramètres!$A$1:$I$89,3,0)*0.475*44/12</f>
        <v>3.9743958603128663E-11</v>
      </c>
      <c r="AC130" s="22">
        <f t="shared" si="57"/>
        <v>44.168946824238809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280.11276976762787</v>
      </c>
      <c r="AO130" s="59">
        <f t="shared" si="90"/>
        <v>471.89239871617241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30.857118825932201</v>
      </c>
      <c r="AV130" s="21">
        <f>EXP(-LN(2)/25)*AV129+(1-EXP(-LN(2)/25))/(LN(2)/25)*Calculateur!AQ130*Calculateur!AS130*VLOOKUP('Données projet'!$B$10,Paramètres!$A$1:$I$89,3,0)*0.475*44/12</f>
        <v>9.0941779241743887</v>
      </c>
      <c r="AW130" s="21">
        <f>EXP(-LN(2)/2)*AW129+(1-EXP(-LN(2)/2))/(LN(2)/2)*AQ130*AT130*VLOOKUP('Données projet'!$B$10,Paramètres!$A$1:$I$89,3,0)*0.475*44/12</f>
        <v>3.6263723428392416E-11</v>
      </c>
      <c r="AX130" s="21">
        <f t="shared" si="60"/>
        <v>39.951296750142859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0</v>
      </c>
      <c r="BJ130" s="59">
        <f t="shared" si="92"/>
        <v>0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0</v>
      </c>
      <c r="CE130" s="59">
        <f t="shared" si="94"/>
        <v>0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354.30476036506167</v>
      </c>
      <c r="T131" s="59">
        <f t="shared" si="88"/>
        <v>593.51433014569966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33.885129710778074</v>
      </c>
      <c r="AA131" s="21">
        <f>EXP(-LN(2)/25)*AA130+(1-EXP(-LN(2)/25))/(LN(2)/25)*Calculateur!V131*Calculateur!X131*VLOOKUP('Données projet'!$B$9,Paramètres!$A$1:$I$89,3,0)*0.475*44/12</f>
        <v>9.343381768342697</v>
      </c>
      <c r="AB131" s="21">
        <f>EXP(-LN(2)/2)*AB130+(1-EXP(-LN(2)/2))/(LN(2)/2)*V131*Y131*VLOOKUP('Données projet'!$B$9,Paramètres!$A$1:$I$89,3,0)*0.475*44/12</f>
        <v>2.8103222639469703E-11</v>
      </c>
      <c r="AC131" s="22">
        <f t="shared" si="57"/>
        <v>43.228511479148871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280.11276976762787</v>
      </c>
      <c r="AO131" s="59">
        <f t="shared" si="90"/>
        <v>471.89239871617241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30.252029546739735</v>
      </c>
      <c r="AV131" s="21">
        <f>EXP(-LN(2)/25)*AV130+(1-EXP(-LN(2)/25))/(LN(2)/25)*Calculateur!AQ131*Calculateur!AS131*VLOOKUP('Données projet'!$B$10,Paramètres!$A$1:$I$89,3,0)*0.475*44/12</f>
        <v>8.8454971505958078</v>
      </c>
      <c r="AW131" s="21">
        <f>EXP(-LN(2)/2)*AW130+(1-EXP(-LN(2)/2))/(LN(2)/2)*AQ131*AT131*VLOOKUP('Données projet'!$B$10,Paramètres!$A$1:$I$89,3,0)*0.475*44/12</f>
        <v>2.5642324747289753E-11</v>
      </c>
      <c r="AX131" s="21">
        <f t="shared" si="60"/>
        <v>39.097526697361182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0</v>
      </c>
      <c r="BJ131" s="59">
        <f t="shared" si="92"/>
        <v>0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0</v>
      </c>
      <c r="CE131" s="59">
        <f t="shared" si="94"/>
        <v>0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354.30476036506167</v>
      </c>
      <c r="T132" s="59">
        <f t="shared" si="88"/>
        <v>593.51433014569966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33.220662985038054</v>
      </c>
      <c r="AA132" s="21">
        <f>EXP(-LN(2)/25)*AA131+(1-EXP(-LN(2)/25))/(LN(2)/25)*Calculateur!V132*Calculateur!X132*VLOOKUP('Données projet'!$B$9,Paramètres!$A$1:$I$89,3,0)*0.475*44/12</f>
        <v>9.0878865025402735</v>
      </c>
      <c r="AB132" s="21">
        <f>EXP(-LN(2)/2)*AB131+(1-EXP(-LN(2)/2))/(LN(2)/2)*V132*Y132*VLOOKUP('Données projet'!$B$9,Paramètres!$A$1:$I$89,3,0)*0.475*44/12</f>
        <v>1.9871979301564331E-11</v>
      </c>
      <c r="AC132" s="22">
        <f t="shared" ref="AC132:AC153" si="111">SUM(Z132:AB132)</f>
        <v>42.308549487598199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280.11276976762787</v>
      </c>
      <c r="AO132" s="59">
        <f t="shared" si="90"/>
        <v>471.89239871617241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29.658805699244216</v>
      </c>
      <c r="AV132" s="21">
        <f>EXP(-LN(2)/25)*AV131+(1-EXP(-LN(2)/25))/(LN(2)/25)*Calculateur!AQ132*Calculateur!AS132*VLOOKUP('Données projet'!$B$10,Paramètres!$A$1:$I$89,3,0)*0.475*44/12</f>
        <v>8.6036165658482862</v>
      </c>
      <c r="AW132" s="21">
        <f>EXP(-LN(2)/2)*AW131+(1-EXP(-LN(2)/2))/(LN(2)/2)*AQ132*AT132*VLOOKUP('Données projet'!$B$10,Paramètres!$A$1:$I$89,3,0)*0.475*44/12</f>
        <v>1.8131861714196208E-11</v>
      </c>
      <c r="AX132" s="21">
        <f t="shared" ref="AX132:AX153" si="114">SUM(AU132:AW132)</f>
        <v>38.262422265110636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0</v>
      </c>
      <c r="BJ132" s="59">
        <f t="shared" si="92"/>
        <v>0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0</v>
      </c>
      <c r="CE132" s="59">
        <f t="shared" si="94"/>
        <v>0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354.30476036506167</v>
      </c>
      <c r="T133" s="59">
        <f t="shared" ref="T133:T196" si="142">$T$3</f>
        <v>593.51433014569966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32.569226046505115</v>
      </c>
      <c r="AA133" s="21">
        <f>EXP(-LN(2)/25)*AA132+(1-EXP(-LN(2)/25))/(LN(2)/25)*Calculateur!V133*Calculateur!X133*VLOOKUP('Données projet'!$B$9,Paramètres!$A$1:$I$89,3,0)*0.475*44/12</f>
        <v>8.8393777682171297</v>
      </c>
      <c r="AB133" s="21">
        <f>EXP(-LN(2)/2)*AB132+(1-EXP(-LN(2)/2))/(LN(2)/2)*V133*Y133*VLOOKUP('Données projet'!$B$9,Paramètres!$A$1:$I$89,3,0)*0.475*44/12</f>
        <v>1.4051611319734851E-11</v>
      </c>
      <c r="AC133" s="22">
        <f t="shared" si="111"/>
        <v>41.408603814736296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280.11276976762787</v>
      </c>
      <c r="AO133" s="59">
        <f t="shared" ref="AO133:AO196" si="144">$AO$3</f>
        <v>471.89239871617241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29.077214609567264</v>
      </c>
      <c r="AV133" s="21">
        <f>EXP(-LN(2)/25)*AV132+(1-EXP(-LN(2)/25))/(LN(2)/25)*Calculateur!AQ133*Calculateur!AS133*VLOOKUP('Données projet'!$B$10,Paramètres!$A$1:$I$89,3,0)*0.475*44/12</f>
        <v>8.3683502184106331</v>
      </c>
      <c r="AW133" s="21">
        <f>EXP(-LN(2)/2)*AW132+(1-EXP(-LN(2)/2))/(LN(2)/2)*AQ133*AT133*VLOOKUP('Données projet'!$B$10,Paramètres!$A$1:$I$89,3,0)*0.475*44/12</f>
        <v>1.2821162373644877E-11</v>
      </c>
      <c r="AX133" s="21">
        <f t="shared" si="114"/>
        <v>37.445564827990715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0</v>
      </c>
      <c r="BJ133" s="59">
        <f t="shared" ref="BJ133:BJ196" si="146">$BJ$3</f>
        <v>0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0</v>
      </c>
      <c r="CE133" s="59">
        <f t="shared" ref="CE133:CE196" si="148">$CE$3</f>
        <v>0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354.30476036506167</v>
      </c>
      <c r="T134" s="59">
        <f t="shared" si="142"/>
        <v>593.51433014569966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31.930563388999506</v>
      </c>
      <c r="AA134" s="21">
        <f>EXP(-LN(2)/25)*AA133+(1-EXP(-LN(2)/25))/(LN(2)/25)*Calculateur!V134*Calculateur!X134*VLOOKUP('Données projet'!$B$9,Paramètres!$A$1:$I$89,3,0)*0.475*44/12</f>
        <v>8.5976645183025582</v>
      </c>
      <c r="AB134" s="21">
        <f>EXP(-LN(2)/2)*AB133+(1-EXP(-LN(2)/2))/(LN(2)/2)*V134*Y134*VLOOKUP('Données projet'!$B$9,Paramètres!$A$1:$I$89,3,0)*0.475*44/12</f>
        <v>9.9359896507821657E-12</v>
      </c>
      <c r="AC134" s="22">
        <f t="shared" si="111"/>
        <v>40.528227907312001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280.11276976762787</v>
      </c>
      <c r="AO134" s="59">
        <f t="shared" si="144"/>
        <v>471.89239871617241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28.507028166423343</v>
      </c>
      <c r="AV134" s="21">
        <f>EXP(-LN(2)/25)*AV133+(1-EXP(-LN(2)/25))/(LN(2)/25)*Calculateur!AQ134*Calculateur!AS134*VLOOKUP('Données projet'!$B$10,Paramètres!$A$1:$I$89,3,0)*0.475*44/12</f>
        <v>8.139517241615783</v>
      </c>
      <c r="AW134" s="21">
        <f>EXP(-LN(2)/2)*AW133+(1-EXP(-LN(2)/2))/(LN(2)/2)*AQ134*AT134*VLOOKUP('Données projet'!$B$10,Paramètres!$A$1:$I$89,3,0)*0.475*44/12</f>
        <v>9.0659308570981039E-12</v>
      </c>
      <c r="AX134" s="21">
        <f t="shared" si="114"/>
        <v>36.64654540804819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0</v>
      </c>
      <c r="BJ134" s="59">
        <f t="shared" si="146"/>
        <v>0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0</v>
      </c>
      <c r="CE134" s="59">
        <f t="shared" si="148"/>
        <v>0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354.30476036506167</v>
      </c>
      <c r="T135" s="59">
        <f t="shared" si="142"/>
        <v>593.51433014569966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31.304424516661825</v>
      </c>
      <c r="AA135" s="21">
        <f>EXP(-LN(2)/25)*AA134+(1-EXP(-LN(2)/25))/(LN(2)/25)*Calculateur!V135*Calculateur!X135*VLOOKUP('Données projet'!$B$9,Paramètres!$A$1:$I$89,3,0)*0.475*44/12</f>
        <v>8.3625609299180486</v>
      </c>
      <c r="AB135" s="21">
        <f>EXP(-LN(2)/2)*AB134+(1-EXP(-LN(2)/2))/(LN(2)/2)*V135*Y135*VLOOKUP('Données projet'!$B$9,Paramètres!$A$1:$I$89,3,0)*0.475*44/12</f>
        <v>7.0258056598674257E-12</v>
      </c>
      <c r="AC135" s="22">
        <f t="shared" si="111"/>
        <v>39.666985446586899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280.11276976762787</v>
      </c>
      <c r="AO135" s="59">
        <f t="shared" si="144"/>
        <v>471.89239871617241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27.948022731650081</v>
      </c>
      <c r="AV135" s="21">
        <f>EXP(-LN(2)/25)*AV134+(1-EXP(-LN(2)/25))/(LN(2)/25)*Calculateur!AQ135*Calculateur!AS135*VLOOKUP('Données projet'!$B$10,Paramètres!$A$1:$I$89,3,0)*0.475*44/12</f>
        <v>7.9169417146051906</v>
      </c>
      <c r="AW135" s="21">
        <f>EXP(-LN(2)/2)*AW134+(1-EXP(-LN(2)/2))/(LN(2)/2)*AQ135*AT135*VLOOKUP('Données projet'!$B$10,Paramètres!$A$1:$I$89,3,0)*0.475*44/12</f>
        <v>6.4105811868224383E-12</v>
      </c>
      <c r="AX135" s="21">
        <f t="shared" si="114"/>
        <v>35.864964446261681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0</v>
      </c>
      <c r="BJ135" s="59">
        <f t="shared" si="146"/>
        <v>0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0</v>
      </c>
      <c r="CE135" s="59">
        <f t="shared" si="148"/>
        <v>0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354.30476036506167</v>
      </c>
      <c r="T136" s="59">
        <f t="shared" si="142"/>
        <v>593.51433014569966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30.690563845703686</v>
      </c>
      <c r="AA136" s="21">
        <f>EXP(-LN(2)/25)*AA135+(1-EXP(-LN(2)/25))/(LN(2)/25)*Calculateur!V136*Calculateur!X136*VLOOKUP('Données projet'!$B$9,Paramètres!$A$1:$I$89,3,0)*0.475*44/12</f>
        <v>8.1338862615214733</v>
      </c>
      <c r="AB136" s="21">
        <f>EXP(-LN(2)/2)*AB135+(1-EXP(-LN(2)/2))/(LN(2)/2)*V136*Y136*VLOOKUP('Données projet'!$B$9,Paramètres!$A$1:$I$89,3,0)*0.475*44/12</f>
        <v>4.9679948253910828E-12</v>
      </c>
      <c r="AC136" s="22">
        <f t="shared" si="111"/>
        <v>38.824450107230128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280.11276976762787</v>
      </c>
      <c r="AO136" s="59">
        <f t="shared" si="144"/>
        <v>471.89239871617241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27.399979052493077</v>
      </c>
      <c r="AV136" s="21">
        <f>EXP(-LN(2)/25)*AV135+(1-EXP(-LN(2)/25))/(LN(2)/25)*Calculateur!AQ136*Calculateur!AS136*VLOOKUP('Données projet'!$B$10,Paramètres!$A$1:$I$89,3,0)*0.475*44/12</f>
        <v>7.7004525270854414</v>
      </c>
      <c r="AW136" s="21">
        <f>EXP(-LN(2)/2)*AW135+(1-EXP(-LN(2)/2))/(LN(2)/2)*AQ136*AT136*VLOOKUP('Données projet'!$B$10,Paramètres!$A$1:$I$89,3,0)*0.475*44/12</f>
        <v>4.5329654285490519E-12</v>
      </c>
      <c r="AX136" s="21">
        <f t="shared" si="114"/>
        <v>35.100431579583052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0</v>
      </c>
      <c r="BJ136" s="59">
        <f t="shared" si="146"/>
        <v>0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0</v>
      </c>
      <c r="CE136" s="59">
        <f t="shared" si="148"/>
        <v>0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354.30476036506167</v>
      </c>
      <c r="T137" s="59">
        <f t="shared" si="142"/>
        <v>593.51433014569966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30.088740608084997</v>
      </c>
      <c r="AA137" s="21">
        <f>EXP(-LN(2)/25)*AA136+(1-EXP(-LN(2)/25))/(LN(2)/25)*Calculateur!V137*Calculateur!X137*VLOOKUP('Données projet'!$B$9,Paramètres!$A$1:$I$89,3,0)*0.475*44/12</f>
        <v>7.9114647139576801</v>
      </c>
      <c r="AB137" s="21">
        <f>EXP(-LN(2)/2)*AB136+(1-EXP(-LN(2)/2))/(LN(2)/2)*V137*Y137*VLOOKUP('Données projet'!$B$9,Paramètres!$A$1:$I$89,3,0)*0.475*44/12</f>
        <v>3.5129028299337128E-12</v>
      </c>
      <c r="AC137" s="22">
        <f t="shared" si="111"/>
        <v>38.000205322046185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280.11276976762787</v>
      </c>
      <c r="AO137" s="59">
        <f t="shared" si="144"/>
        <v>471.89239871617241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26.862682175610704</v>
      </c>
      <c r="AV137" s="21">
        <f>EXP(-LN(2)/25)*AV136+(1-EXP(-LN(2)/25))/(LN(2)/25)*Calculateur!AQ137*Calculateur!AS137*VLOOKUP('Données projet'!$B$10,Paramètres!$A$1:$I$89,3,0)*0.475*44/12</f>
        <v>7.4898832477830908</v>
      </c>
      <c r="AW137" s="21">
        <f>EXP(-LN(2)/2)*AW136+(1-EXP(-LN(2)/2))/(LN(2)/2)*AQ137*AT137*VLOOKUP('Données projet'!$B$10,Paramètres!$A$1:$I$89,3,0)*0.475*44/12</f>
        <v>3.2052905934112192E-12</v>
      </c>
      <c r="AX137" s="21">
        <f t="shared" si="114"/>
        <v>34.352565423397003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0</v>
      </c>
      <c r="BJ137" s="59">
        <f t="shared" si="146"/>
        <v>0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0</v>
      </c>
      <c r="CE137" s="59">
        <f t="shared" si="148"/>
        <v>0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354.30476036506167</v>
      </c>
      <c r="T138" s="59">
        <f t="shared" si="142"/>
        <v>593.51433014569966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29.498718757080081</v>
      </c>
      <c r="AA138" s="21">
        <f>EXP(-LN(2)/25)*AA137+(1-EXP(-LN(2)/25))/(LN(2)/25)*Calculateur!V138*Calculateur!X138*VLOOKUP('Données projet'!$B$9,Paramètres!$A$1:$I$89,3,0)*0.475*44/12</f>
        <v>7.6951252953086602</v>
      </c>
      <c r="AB138" s="21">
        <f>EXP(-LN(2)/2)*AB137+(1-EXP(-LN(2)/2))/(LN(2)/2)*V138*Y138*VLOOKUP('Données projet'!$B$9,Paramètres!$A$1:$I$89,3,0)*0.475*44/12</f>
        <v>2.4839974126955414E-12</v>
      </c>
      <c r="AC138" s="22">
        <f t="shared" si="111"/>
        <v>37.193844052391228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280.11276976762787</v>
      </c>
      <c r="AO138" s="59">
        <f t="shared" si="144"/>
        <v>471.89239871617241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26.335921362765259</v>
      </c>
      <c r="AV138" s="21">
        <f>EXP(-LN(2)/25)*AV137+(1-EXP(-LN(2)/25))/(LN(2)/25)*Calculateur!AQ138*Calculateur!AS138*VLOOKUP('Données projet'!$B$10,Paramètres!$A$1:$I$89,3,0)*0.475*44/12</f>
        <v>7.2850719964966206</v>
      </c>
      <c r="AW138" s="21">
        <f>EXP(-LN(2)/2)*AW137+(1-EXP(-LN(2)/2))/(LN(2)/2)*AQ138*AT138*VLOOKUP('Données projet'!$B$10,Paramètres!$A$1:$I$89,3,0)*0.475*44/12</f>
        <v>2.266482714274526E-12</v>
      </c>
      <c r="AX138" s="21">
        <f t="shared" si="114"/>
        <v>33.620993359264148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0</v>
      </c>
      <c r="BJ138" s="59">
        <f t="shared" si="146"/>
        <v>0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0</v>
      </c>
      <c r="CE138" s="59">
        <f t="shared" si="148"/>
        <v>0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354.30476036506167</v>
      </c>
      <c r="T139" s="59">
        <f t="shared" si="142"/>
        <v>593.51433014569966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28.920266874695574</v>
      </c>
      <c r="AA139" s="21">
        <f>EXP(-LN(2)/25)*AA138+(1-EXP(-LN(2)/25))/(LN(2)/25)*Calculateur!V139*Calculateur!X139*VLOOKUP('Données projet'!$B$9,Paramètres!$A$1:$I$89,3,0)*0.475*44/12</f>
        <v>7.484701689439393</v>
      </c>
      <c r="AB139" s="21">
        <f>EXP(-LN(2)/2)*AB138+(1-EXP(-LN(2)/2))/(LN(2)/2)*V139*Y139*VLOOKUP('Données projet'!$B$9,Paramètres!$A$1:$I$89,3,0)*0.475*44/12</f>
        <v>1.7564514149668564E-12</v>
      </c>
      <c r="AC139" s="22">
        <f t="shared" si="111"/>
        <v>36.404968564136723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280.11276976762787</v>
      </c>
      <c r="AO139" s="59">
        <f t="shared" si="144"/>
        <v>471.89239871617241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25.819490008167342</v>
      </c>
      <c r="AV139" s="21">
        <f>EXP(-LN(2)/25)*AV138+(1-EXP(-LN(2)/25))/(LN(2)/25)*Calculateur!AQ139*Calculateur!AS139*VLOOKUP('Données projet'!$B$10,Paramètres!$A$1:$I$89,3,0)*0.475*44/12</f>
        <v>7.0858613196471341</v>
      </c>
      <c r="AW139" s="21">
        <f>EXP(-LN(2)/2)*AW138+(1-EXP(-LN(2)/2))/(LN(2)/2)*AQ139*AT139*VLOOKUP('Données projet'!$B$10,Paramètres!$A$1:$I$89,3,0)*0.475*44/12</f>
        <v>1.6026452967056096E-12</v>
      </c>
      <c r="AX139" s="21">
        <f t="shared" si="114"/>
        <v>32.905351327816085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0</v>
      </c>
      <c r="BJ139" s="59">
        <f t="shared" si="146"/>
        <v>0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0</v>
      </c>
      <c r="CE139" s="59">
        <f t="shared" si="148"/>
        <v>0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354.30476036506167</v>
      </c>
      <c r="T140" s="59">
        <f t="shared" si="142"/>
        <v>593.51433014569966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28.353158080903821</v>
      </c>
      <c r="AA140" s="21">
        <f>EXP(-LN(2)/25)*AA139+(1-EXP(-LN(2)/25))/(LN(2)/25)*Calculateur!V140*Calculateur!X140*VLOOKUP('Données projet'!$B$9,Paramètres!$A$1:$I$89,3,0)*0.475*44/12</f>
        <v>7.2800321281383171</v>
      </c>
      <c r="AB140" s="21">
        <f>EXP(-LN(2)/2)*AB139+(1-EXP(-LN(2)/2))/(LN(2)/2)*V140*Y140*VLOOKUP('Données projet'!$B$9,Paramètres!$A$1:$I$89,3,0)*0.475*44/12</f>
        <v>1.2419987063477707E-12</v>
      </c>
      <c r="AC140" s="22">
        <f t="shared" si="111"/>
        <v>35.633190209043384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280.11276976762787</v>
      </c>
      <c r="AO140" s="59">
        <f t="shared" si="144"/>
        <v>471.89239871617241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25.313185557441066</v>
      </c>
      <c r="AV140" s="21">
        <f>EXP(-LN(2)/25)*AV139+(1-EXP(-LN(2)/25))/(LN(2)/25)*Calculateur!AQ140*Calculateur!AS140*VLOOKUP('Données projet'!$B$10,Paramètres!$A$1:$I$89,3,0)*0.475*44/12</f>
        <v>6.892098069232131</v>
      </c>
      <c r="AW140" s="21">
        <f>EXP(-LN(2)/2)*AW139+(1-EXP(-LN(2)/2))/(LN(2)/2)*AQ140*AT140*VLOOKUP('Données projet'!$B$10,Paramètres!$A$1:$I$89,3,0)*0.475*44/12</f>
        <v>1.133241357137263E-12</v>
      </c>
      <c r="AX140" s="21">
        <f t="shared" si="114"/>
        <v>32.20528362667433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0</v>
      </c>
      <c r="BJ140" s="59">
        <f t="shared" si="146"/>
        <v>0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0</v>
      </c>
      <c r="CE140" s="59">
        <f t="shared" si="148"/>
        <v>0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354.30476036506167</v>
      </c>
      <c r="T141" s="59">
        <f t="shared" si="142"/>
        <v>593.51433014569966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27.797169944656115</v>
      </c>
      <c r="AA141" s="21">
        <f>EXP(-LN(2)/25)*AA140+(1-EXP(-LN(2)/25))/(LN(2)/25)*Calculateur!V141*Calculateur!X141*VLOOKUP('Données projet'!$B$9,Paramètres!$A$1:$I$89,3,0)*0.475*44/12</f>
        <v>7.0809592667541237</v>
      </c>
      <c r="AB141" s="21">
        <f>EXP(-LN(2)/2)*AB140+(1-EXP(-LN(2)/2))/(LN(2)/2)*V141*Y141*VLOOKUP('Données projet'!$B$9,Paramètres!$A$1:$I$89,3,0)*0.475*44/12</f>
        <v>8.7822570748342821E-13</v>
      </c>
      <c r="AC141" s="22">
        <f t="shared" si="111"/>
        <v>34.878129211411121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280.11276976762787</v>
      </c>
      <c r="AO141" s="59">
        <f t="shared" si="144"/>
        <v>471.89239871617241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24.81680942817831</v>
      </c>
      <c r="AV141" s="21">
        <f>EXP(-LN(2)/25)*AV140+(1-EXP(-LN(2)/25))/(LN(2)/25)*Calculateur!AQ141*Calculateur!AS141*VLOOKUP('Données projet'!$B$10,Paramètres!$A$1:$I$89,3,0)*0.475*44/12</f>
        <v>6.7036332850892926</v>
      </c>
      <c r="AW141" s="21">
        <f>EXP(-LN(2)/2)*AW140+(1-EXP(-LN(2)/2))/(LN(2)/2)*AQ141*AT141*VLOOKUP('Données projet'!$B$10,Paramètres!$A$1:$I$89,3,0)*0.475*44/12</f>
        <v>8.0132264835280479E-13</v>
      </c>
      <c r="AX141" s="21">
        <f t="shared" si="114"/>
        <v>31.520442713268405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0</v>
      </c>
      <c r="BJ141" s="59">
        <f t="shared" si="146"/>
        <v>0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0</v>
      </c>
      <c r="CE141" s="59">
        <f t="shared" si="148"/>
        <v>0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354.30476036506167</v>
      </c>
      <c r="T142" s="59">
        <f t="shared" si="142"/>
        <v>593.51433014569966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27.252084396640946</v>
      </c>
      <c r="AA142" s="21">
        <f>EXP(-LN(2)/25)*AA141+(1-EXP(-LN(2)/25))/(LN(2)/25)*Calculateur!V142*Calculateur!X142*VLOOKUP('Données projet'!$B$9,Paramètres!$A$1:$I$89,3,0)*0.475*44/12</f>
        <v>6.8873300632332679</v>
      </c>
      <c r="AB142" s="21">
        <f>EXP(-LN(2)/2)*AB141+(1-EXP(-LN(2)/2))/(LN(2)/2)*V142*Y142*VLOOKUP('Données projet'!$B$9,Paramètres!$A$1:$I$89,3,0)*0.475*44/12</f>
        <v>6.2099935317388535E-13</v>
      </c>
      <c r="AC142" s="22">
        <f t="shared" si="111"/>
        <v>34.139414459874835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280.11276976762787</v>
      </c>
      <c r="AO142" s="59">
        <f t="shared" si="144"/>
        <v>471.89239871617241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24.330166932050854</v>
      </c>
      <c r="AV142" s="21">
        <f>EXP(-LN(2)/25)*AV141+(1-EXP(-LN(2)/25))/(LN(2)/25)*Calculateur!AQ142*Calculateur!AS142*VLOOKUP('Données projet'!$B$10,Paramètres!$A$1:$I$89,3,0)*0.475*44/12</f>
        <v>6.5203220803797723</v>
      </c>
      <c r="AW142" s="21">
        <f>EXP(-LN(2)/2)*AW141+(1-EXP(-LN(2)/2))/(LN(2)/2)*AQ142*AT142*VLOOKUP('Données projet'!$B$10,Paramètres!$A$1:$I$89,3,0)*0.475*44/12</f>
        <v>5.6662067856863149E-13</v>
      </c>
      <c r="AX142" s="21">
        <f t="shared" si="114"/>
        <v>30.850489012431193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0</v>
      </c>
      <c r="BJ142" s="59">
        <f t="shared" si="146"/>
        <v>0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0</v>
      </c>
      <c r="CE142" s="59">
        <f t="shared" si="148"/>
        <v>0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354.30476036506167</v>
      </c>
      <c r="T143" s="59">
        <f t="shared" si="142"/>
        <v>593.51433014569966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26.717687643752999</v>
      </c>
      <c r="AA143" s="21">
        <f>EXP(-LN(2)/25)*AA142+(1-EXP(-LN(2)/25))/(LN(2)/25)*Calculateur!V143*Calculateur!X143*VLOOKUP('Données projet'!$B$9,Paramètres!$A$1:$I$89,3,0)*0.475*44/12</f>
        <v>6.698995660465207</v>
      </c>
      <c r="AB143" s="21">
        <f>EXP(-LN(2)/2)*AB142+(1-EXP(-LN(2)/2))/(LN(2)/2)*V143*Y143*VLOOKUP('Données projet'!$B$9,Paramètres!$A$1:$I$89,3,0)*0.475*44/12</f>
        <v>4.391128537417141E-13</v>
      </c>
      <c r="AC143" s="22">
        <f t="shared" si="111"/>
        <v>33.416683304218644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280.11276976762787</v>
      </c>
      <c r="AO143" s="59">
        <f t="shared" si="144"/>
        <v>471.89239871617241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23.853067198449843</v>
      </c>
      <c r="AV143" s="21">
        <f>EXP(-LN(2)/25)*AV142+(1-EXP(-LN(2)/25))/(LN(2)/25)*Calculateur!AQ143*Calculateur!AS143*VLOOKUP('Données projet'!$B$10,Paramètres!$A$1:$I$89,3,0)*0.475*44/12</f>
        <v>6.342023530202952</v>
      </c>
      <c r="AW143" s="21">
        <f>EXP(-LN(2)/2)*AW142+(1-EXP(-LN(2)/2))/(LN(2)/2)*AQ143*AT143*VLOOKUP('Données projet'!$B$10,Paramètres!$A$1:$I$89,3,0)*0.475*44/12</f>
        <v>4.0066132417640239E-13</v>
      </c>
      <c r="AX143" s="21">
        <f t="shared" si="114"/>
        <v>30.195090728653195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0</v>
      </c>
      <c r="BJ143" s="59">
        <f t="shared" si="146"/>
        <v>0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0</v>
      </c>
      <c r="CE143" s="59">
        <f t="shared" si="148"/>
        <v>0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354.30476036506167</v>
      </c>
      <c r="T144" s="59">
        <f t="shared" si="142"/>
        <v>593.51433014569966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26.19377008523935</v>
      </c>
      <c r="AA144" s="21">
        <f>EXP(-LN(2)/25)*AA143+(1-EXP(-LN(2)/25))/(LN(2)/25)*Calculateur!V144*Calculateur!X144*VLOOKUP('Données projet'!$B$9,Paramètres!$A$1:$I$89,3,0)*0.475*44/12</f>
        <v>6.5158112718449148</v>
      </c>
      <c r="AB144" s="21">
        <f>EXP(-LN(2)/2)*AB143+(1-EXP(-LN(2)/2))/(LN(2)/2)*V144*Y144*VLOOKUP('Données projet'!$B$9,Paramètres!$A$1:$I$89,3,0)*0.475*44/12</f>
        <v>3.1049967658694268E-13</v>
      </c>
      <c r="AC144" s="22">
        <f t="shared" si="111"/>
        <v>32.709581357084581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280.11276976762787</v>
      </c>
      <c r="AO144" s="59">
        <f t="shared" si="144"/>
        <v>471.89239871617241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23.385323099622646</v>
      </c>
      <c r="AV144" s="21">
        <f>EXP(-LN(2)/25)*AV143+(1-EXP(-LN(2)/25))/(LN(2)/25)*Calculateur!AQ144*Calculateur!AS144*VLOOKUP('Données projet'!$B$10,Paramètres!$A$1:$I$89,3,0)*0.475*44/12</f>
        <v>6.16860056325703</v>
      </c>
      <c r="AW144" s="21">
        <f>EXP(-LN(2)/2)*AW143+(1-EXP(-LN(2)/2))/(LN(2)/2)*AQ144*AT144*VLOOKUP('Données projet'!$B$10,Paramètres!$A$1:$I$89,3,0)*0.475*44/12</f>
        <v>2.8331033928431575E-13</v>
      </c>
      <c r="AX144" s="21">
        <f t="shared" si="114"/>
        <v>29.55392366287996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0</v>
      </c>
      <c r="BJ144" s="59">
        <f t="shared" si="146"/>
        <v>0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0</v>
      </c>
      <c r="CE144" s="59">
        <f t="shared" si="148"/>
        <v>0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354.30476036506167</v>
      </c>
      <c r="T145" s="59">
        <f t="shared" si="142"/>
        <v>593.51433014569966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25.68012623049</v>
      </c>
      <c r="AA145" s="21">
        <f>EXP(-LN(2)/25)*AA144+(1-EXP(-LN(2)/25))/(LN(2)/25)*Calculateur!V145*Calculateur!X145*VLOOKUP('Données projet'!$B$9,Paramètres!$A$1:$I$89,3,0)*0.475*44/12</f>
        <v>6.3376360699646925</v>
      </c>
      <c r="AB145" s="21">
        <f>EXP(-LN(2)/2)*AB144+(1-EXP(-LN(2)/2))/(LN(2)/2)*V145*Y145*VLOOKUP('Données projet'!$B$9,Paramètres!$A$1:$I$89,3,0)*0.475*44/12</f>
        <v>2.1955642687085705E-13</v>
      </c>
      <c r="AC145" s="22">
        <f t="shared" si="111"/>
        <v>32.017762300454912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280.11276976762787</v>
      </c>
      <c r="AO145" s="59">
        <f t="shared" si="144"/>
        <v>471.89239871617241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22.926751177277719</v>
      </c>
      <c r="AV145" s="21">
        <f>EXP(-LN(2)/25)*AV144+(1-EXP(-LN(2)/25))/(LN(2)/25)*Calculateur!AQ145*Calculateur!AS145*VLOOKUP('Données projet'!$B$10,Paramètres!$A$1:$I$89,3,0)*0.475*44/12</f>
        <v>5.999919856462161</v>
      </c>
      <c r="AW145" s="21">
        <f>EXP(-LN(2)/2)*AW144+(1-EXP(-LN(2)/2))/(LN(2)/2)*AQ145*AT145*VLOOKUP('Données projet'!$B$10,Paramètres!$A$1:$I$89,3,0)*0.475*44/12</f>
        <v>2.003306620882012E-13</v>
      </c>
      <c r="AX145" s="21">
        <f t="shared" si="114"/>
        <v>28.926671033740078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0</v>
      </c>
      <c r="BJ145" s="59">
        <f t="shared" si="146"/>
        <v>0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0</v>
      </c>
      <c r="CE145" s="59">
        <f t="shared" si="148"/>
        <v>0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354.30476036506167</v>
      </c>
      <c r="T146" s="59">
        <f t="shared" si="142"/>
        <v>593.51433014569966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25.176554618440466</v>
      </c>
      <c r="AA146" s="21">
        <f>EXP(-LN(2)/25)*AA145+(1-EXP(-LN(2)/25))/(LN(2)/25)*Calculateur!V146*Calculateur!X146*VLOOKUP('Données projet'!$B$9,Paramètres!$A$1:$I$89,3,0)*0.475*44/12</f>
        <v>6.1643330783497117</v>
      </c>
      <c r="AB146" s="21">
        <f>EXP(-LN(2)/2)*AB145+(1-EXP(-LN(2)/2))/(LN(2)/2)*V146*Y146*VLOOKUP('Données projet'!$B$9,Paramètres!$A$1:$I$89,3,0)*0.475*44/12</f>
        <v>1.5524983829347134E-13</v>
      </c>
      <c r="AC146" s="22">
        <f t="shared" si="111"/>
        <v>31.340887696790332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280.11276976762787</v>
      </c>
      <c r="AO146" s="59">
        <f t="shared" si="144"/>
        <v>471.89239871617241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22.477171570628723</v>
      </c>
      <c r="AV146" s="21">
        <f>EXP(-LN(2)/25)*AV145+(1-EXP(-LN(2)/25))/(LN(2)/25)*Calculateur!AQ146*Calculateur!AS146*VLOOKUP('Données projet'!$B$10,Paramètres!$A$1:$I$89,3,0)*0.475*44/12</f>
        <v>5.8358517324651311</v>
      </c>
      <c r="AW146" s="21">
        <f>EXP(-LN(2)/2)*AW145+(1-EXP(-LN(2)/2))/(LN(2)/2)*AQ146*AT146*VLOOKUP('Données projet'!$B$10,Paramètres!$A$1:$I$89,3,0)*0.475*44/12</f>
        <v>1.4165516964215787E-13</v>
      </c>
      <c r="AX146" s="21">
        <f t="shared" si="114"/>
        <v>28.313023303093996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0</v>
      </c>
      <c r="BJ146" s="59">
        <f t="shared" si="146"/>
        <v>0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0</v>
      </c>
      <c r="CE146" s="59">
        <f t="shared" si="148"/>
        <v>0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354.30476036506167</v>
      </c>
      <c r="T147" s="59">
        <f t="shared" si="142"/>
        <v>593.51433014569966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24.682857738554869</v>
      </c>
      <c r="AA147" s="21">
        <f>EXP(-LN(2)/25)*AA146+(1-EXP(-LN(2)/25))/(LN(2)/25)*Calculateur!V147*Calculateur!X147*VLOOKUP('Données projet'!$B$9,Paramètres!$A$1:$I$89,3,0)*0.475*44/12</f>
        <v>5.9957690661540513</v>
      </c>
      <c r="AB147" s="21">
        <f>EXP(-LN(2)/2)*AB146+(1-EXP(-LN(2)/2))/(LN(2)/2)*V147*Y147*VLOOKUP('Données projet'!$B$9,Paramètres!$A$1:$I$89,3,0)*0.475*44/12</f>
        <v>1.0977821343542853E-13</v>
      </c>
      <c r="AC147" s="22">
        <f t="shared" si="111"/>
        <v>30.67862680470903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280.11276976762787</v>
      </c>
      <c r="AO147" s="59">
        <f t="shared" si="144"/>
        <v>471.89239871617241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22.036407945849628</v>
      </c>
      <c r="AV147" s="21">
        <f>EXP(-LN(2)/25)*AV146+(1-EXP(-LN(2)/25))/(LN(2)/25)*Calculateur!AQ147*Calculateur!AS147*VLOOKUP('Données projet'!$B$10,Paramètres!$A$1:$I$89,3,0)*0.475*44/12</f>
        <v>5.6762700599467673</v>
      </c>
      <c r="AW147" s="21">
        <f>EXP(-LN(2)/2)*AW146+(1-EXP(-LN(2)/2))/(LN(2)/2)*AQ147*AT147*VLOOKUP('Données projet'!$B$10,Paramètres!$A$1:$I$89,3,0)*0.475*44/12</f>
        <v>1.001653310441006E-13</v>
      </c>
      <c r="AX147" s="21">
        <f t="shared" si="114"/>
        <v>27.712678005796494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0</v>
      </c>
      <c r="BJ147" s="59">
        <f t="shared" si="146"/>
        <v>0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0</v>
      </c>
      <c r="CE147" s="59">
        <f t="shared" si="148"/>
        <v>0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354.30476036506167</v>
      </c>
      <c r="T148" s="59">
        <f t="shared" si="142"/>
        <v>593.51433014569966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24.198841953358464</v>
      </c>
      <c r="AA148" s="21">
        <f>EXP(-LN(2)/25)*AA147+(1-EXP(-LN(2)/25))/(LN(2)/25)*Calculateur!V148*Calculateur!X148*VLOOKUP('Données projet'!$B$9,Paramètres!$A$1:$I$89,3,0)*0.475*44/12</f>
        <v>5.8318144457362768</v>
      </c>
      <c r="AB148" s="21">
        <f>EXP(-LN(2)/2)*AB147+(1-EXP(-LN(2)/2))/(LN(2)/2)*V148*Y148*VLOOKUP('Données projet'!$B$9,Paramètres!$A$1:$I$89,3,0)*0.475*44/12</f>
        <v>7.7624919146735669E-14</v>
      </c>
      <c r="AC148" s="22">
        <f t="shared" si="111"/>
        <v>30.03065639909482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280.11276976762787</v>
      </c>
      <c r="AO148" s="59">
        <f t="shared" si="144"/>
        <v>471.89239871617241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21.604287426913189</v>
      </c>
      <c r="AV148" s="21">
        <f>EXP(-LN(2)/25)*AV147+(1-EXP(-LN(2)/25))/(LN(2)/25)*Calculateur!AQ148*Calculateur!AS148*VLOOKUP('Données projet'!$B$10,Paramètres!$A$1:$I$89,3,0)*0.475*44/12</f>
        <v>5.521052156655454</v>
      </c>
      <c r="AW148" s="21">
        <f>EXP(-LN(2)/2)*AW147+(1-EXP(-LN(2)/2))/(LN(2)/2)*AQ148*AT148*VLOOKUP('Données projet'!$B$10,Paramètres!$A$1:$I$89,3,0)*0.475*44/12</f>
        <v>7.0827584821078937E-14</v>
      </c>
      <c r="AX148" s="21">
        <f t="shared" si="114"/>
        <v>27.125339583568714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0</v>
      </c>
      <c r="BJ148" s="59">
        <f t="shared" si="146"/>
        <v>0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0</v>
      </c>
      <c r="CE148" s="59">
        <f t="shared" si="148"/>
        <v>0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354.30476036506167</v>
      </c>
      <c r="T149" s="59">
        <f t="shared" si="142"/>
        <v>593.51433014569966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23.724317422489282</v>
      </c>
      <c r="AA149" s="21">
        <f>EXP(-LN(2)/25)*AA148+(1-EXP(-LN(2)/25))/(LN(2)/25)*Calculateur!V149*Calculateur!X149*VLOOKUP('Données projet'!$B$9,Paramètres!$A$1:$I$89,3,0)*0.475*44/12</f>
        <v>5.6723431730358254</v>
      </c>
      <c r="AB149" s="21">
        <f>EXP(-LN(2)/2)*AB148+(1-EXP(-LN(2)/2))/(LN(2)/2)*V149*Y149*VLOOKUP('Données projet'!$B$9,Paramètres!$A$1:$I$89,3,0)*0.475*44/12</f>
        <v>5.4889106717714263E-14</v>
      </c>
      <c r="AC149" s="22">
        <f t="shared" si="111"/>
        <v>29.396660595525159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280.11276976762787</v>
      </c>
      <c r="AO149" s="59">
        <f t="shared" si="144"/>
        <v>471.89239871617241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21.180640527785599</v>
      </c>
      <c r="AV149" s="21">
        <f>EXP(-LN(2)/25)*AV148+(1-EXP(-LN(2)/25))/(LN(2)/25)*Calculateur!AQ149*Calculateur!AS149*VLOOKUP('Données projet'!$B$10,Paramètres!$A$1:$I$89,3,0)*0.475*44/12</f>
        <v>5.3700786950921966</v>
      </c>
      <c r="AW149" s="21">
        <f>EXP(-LN(2)/2)*AW148+(1-EXP(-LN(2)/2))/(LN(2)/2)*AQ149*AT149*VLOOKUP('Données projet'!$B$10,Paramètres!$A$1:$I$89,3,0)*0.475*44/12</f>
        <v>5.0082665522050299E-14</v>
      </c>
      <c r="AX149" s="21">
        <f t="shared" si="114"/>
        <v>26.550719222877845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0</v>
      </c>
      <c r="BJ149" s="59">
        <f t="shared" si="146"/>
        <v>0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0</v>
      </c>
      <c r="CE149" s="59">
        <f t="shared" si="148"/>
        <v>0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354.30476036506167</v>
      </c>
      <c r="T150" s="59">
        <f t="shared" si="142"/>
        <v>593.51433014569966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23.259098028239062</v>
      </c>
      <c r="AA150" s="21">
        <f>EXP(-LN(2)/25)*AA149+(1-EXP(-LN(2)/25))/(LN(2)/25)*Calculateur!V150*Calculateur!X150*VLOOKUP('Données projet'!$B$9,Paramètres!$A$1:$I$89,3,0)*0.475*44/12</f>
        <v>5.5172326506735976</v>
      </c>
      <c r="AB150" s="21">
        <f>EXP(-LN(2)/2)*AB149+(1-EXP(-LN(2)/2))/(LN(2)/2)*V150*Y150*VLOOKUP('Données projet'!$B$9,Paramètres!$A$1:$I$89,3,0)*0.475*44/12</f>
        <v>3.8812459573367835E-14</v>
      </c>
      <c r="AC150" s="22">
        <f t="shared" si="111"/>
        <v>28.7763306789127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280.11276976762787</v>
      </c>
      <c r="AO150" s="59">
        <f t="shared" si="144"/>
        <v>471.89239871617241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20.765301085950806</v>
      </c>
      <c r="AV150" s="21">
        <f>EXP(-LN(2)/25)*AV149+(1-EXP(-LN(2)/25))/(LN(2)/25)*Calculateur!AQ150*Calculateur!AS150*VLOOKUP('Données projet'!$B$10,Paramètres!$A$1:$I$89,3,0)*0.475*44/12</f>
        <v>5.2232336107747352</v>
      </c>
      <c r="AW150" s="21">
        <f>EXP(-LN(2)/2)*AW149+(1-EXP(-LN(2)/2))/(LN(2)/2)*AQ150*AT150*VLOOKUP('Données projet'!$B$10,Paramètres!$A$1:$I$89,3,0)*0.475*44/12</f>
        <v>3.5413792410539468E-14</v>
      </c>
      <c r="AX150" s="21">
        <f t="shared" si="114"/>
        <v>25.988534696725576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0</v>
      </c>
      <c r="BJ150" s="59">
        <f t="shared" si="146"/>
        <v>0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0</v>
      </c>
      <c r="CE150" s="59">
        <f t="shared" si="148"/>
        <v>0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354.30476036506167</v>
      </c>
      <c r="T151" s="59">
        <f t="shared" si="142"/>
        <v>593.51433014569966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22.803001302554275</v>
      </c>
      <c r="AA151" s="21">
        <f>EXP(-LN(2)/25)*AA150+(1-EXP(-LN(2)/25))/(LN(2)/25)*Calculateur!V151*Calculateur!X151*VLOOKUP('Données projet'!$B$9,Paramètres!$A$1:$I$89,3,0)*0.475*44/12</f>
        <v>5.3663636337022727</v>
      </c>
      <c r="AB151" s="21">
        <f>EXP(-LN(2)/2)*AB150+(1-EXP(-LN(2)/2))/(LN(2)/2)*V151*Y151*VLOOKUP('Données projet'!$B$9,Paramètres!$A$1:$I$89,3,0)*0.475*44/12</f>
        <v>2.7444553358857131E-14</v>
      </c>
      <c r="AC151" s="22">
        <f t="shared" si="111"/>
        <v>28.169364936256578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280.11276976762787</v>
      </c>
      <c r="AO151" s="59">
        <f t="shared" si="144"/>
        <v>471.89239871617241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20.358106197238349</v>
      </c>
      <c r="AV151" s="21">
        <f>EXP(-LN(2)/25)*AV150+(1-EXP(-LN(2)/25))/(LN(2)/25)*Calculateur!AQ151*Calculateur!AS151*VLOOKUP('Données projet'!$B$10,Paramètres!$A$1:$I$89,3,0)*0.475*44/12</f>
        <v>5.080404013010182</v>
      </c>
      <c r="AW151" s="21">
        <f>EXP(-LN(2)/2)*AW150+(1-EXP(-LN(2)/2))/(LN(2)/2)*AQ151*AT151*VLOOKUP('Données projet'!$B$10,Paramètres!$A$1:$I$89,3,0)*0.475*44/12</f>
        <v>2.504133276102515E-14</v>
      </c>
      <c r="AX151" s="21">
        <f t="shared" si="114"/>
        <v>25.438510210248555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0</v>
      </c>
      <c r="BJ151" s="59">
        <f t="shared" si="146"/>
        <v>0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0</v>
      </c>
      <c r="CE151" s="59">
        <f t="shared" si="148"/>
        <v>0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354.30476036506167</v>
      </c>
      <c r="T152" s="59">
        <f t="shared" si="142"/>
        <v>593.51433014569966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22.355848355468634</v>
      </c>
      <c r="AA152" s="21">
        <f>EXP(-LN(2)/25)*AA151+(1-EXP(-LN(2)/25))/(LN(2)/25)*Calculateur!V152*Calculateur!X152*VLOOKUP('Données projet'!$B$9,Paramètres!$A$1:$I$89,3,0)*0.475*44/12</f>
        <v>5.2196201379338856</v>
      </c>
      <c r="AB152" s="21">
        <f>EXP(-LN(2)/2)*AB151+(1-EXP(-LN(2)/2))/(LN(2)/2)*V152*Y152*VLOOKUP('Données projet'!$B$9,Paramètres!$A$1:$I$89,3,0)*0.475*44/12</f>
        <v>1.9406229786683917E-14</v>
      </c>
      <c r="AC152" s="22">
        <f t="shared" si="111"/>
        <v>27.575468493402536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280.11276976762787</v>
      </c>
      <c r="AO152" s="59">
        <f t="shared" si="144"/>
        <v>471.89239871617241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19.958896151929189</v>
      </c>
      <c r="AV152" s="21">
        <f>EXP(-LN(2)/25)*AV151+(1-EXP(-LN(2)/25))/(LN(2)/25)*Calculateur!AQ152*Calculateur!AS152*VLOOKUP('Données projet'!$B$10,Paramètres!$A$1:$I$89,3,0)*0.475*44/12</f>
        <v>4.9414800981075828</v>
      </c>
      <c r="AW152" s="21">
        <f>EXP(-LN(2)/2)*AW151+(1-EXP(-LN(2)/2))/(LN(2)/2)*AQ152*AT152*VLOOKUP('Données projet'!$B$10,Paramètres!$A$1:$I$89,3,0)*0.475*44/12</f>
        <v>1.7706896205269734E-14</v>
      </c>
      <c r="AX152" s="21">
        <f t="shared" si="114"/>
        <v>24.900376250036789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0</v>
      </c>
      <c r="BJ152" s="59">
        <f t="shared" si="146"/>
        <v>0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0</v>
      </c>
      <c r="CE152" s="59">
        <f t="shared" si="148"/>
        <v>0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354.30476036506167</v>
      </c>
      <c r="T153" s="59">
        <f t="shared" si="142"/>
        <v>593.51433014569966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21.917463804938976</v>
      </c>
      <c r="AA153" s="21">
        <f>EXP(-LN(2)/25)*AA152+(1-EXP(-LN(2)/25))/(LN(2)/25)*Calculateur!V153*Calculateur!X153*VLOOKUP('Données projet'!$B$9,Paramètres!$A$1:$I$89,3,0)*0.475*44/12</f>
        <v>5.0768893507741897</v>
      </c>
      <c r="AB153" s="21">
        <f>EXP(-LN(2)/2)*AB152+(1-EXP(-LN(2)/2))/(LN(2)/2)*V153*Y153*VLOOKUP('Données projet'!$B$9,Paramètres!$A$1:$I$89,3,0)*0.475*44/12</f>
        <v>1.3722276679428566E-14</v>
      </c>
      <c r="AC153" s="22">
        <f t="shared" si="111"/>
        <v>26.994353155713178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280.11276976762787</v>
      </c>
      <c r="AO153" s="59">
        <f t="shared" si="144"/>
        <v>471.89239871617241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19.567514372114456</v>
      </c>
      <c r="AV153" s="21">
        <f>EXP(-LN(2)/25)*AV152+(1-EXP(-LN(2)/25))/(LN(2)/25)*Calculateur!AQ153*Calculateur!AS153*VLOOKUP('Données projet'!$B$10,Paramètres!$A$1:$I$89,3,0)*0.475*44/12</f>
        <v>4.8063550649636868</v>
      </c>
      <c r="AW153" s="21">
        <f>EXP(-LN(2)/2)*AW152+(1-EXP(-LN(2)/2))/(LN(2)/2)*AQ153*AT153*VLOOKUP('Données projet'!$B$10,Paramètres!$A$1:$I$89,3,0)*0.475*44/12</f>
        <v>1.2520666380512575E-14</v>
      </c>
      <c r="AX153" s="21">
        <f t="shared" si="114"/>
        <v>24.373869437078156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0</v>
      </c>
      <c r="BJ153" s="59">
        <f t="shared" si="146"/>
        <v>0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0</v>
      </c>
      <c r="CE153" s="59">
        <f t="shared" si="148"/>
        <v>0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354.30476036506167</v>
      </c>
      <c r="T154" s="59">
        <f t="shared" si="142"/>
        <v>593.51433014569966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21.487675708057029</v>
      </c>
      <c r="AA154" s="21">
        <f>EXP(-LN(2)/25)*AA153+(1-EXP(-LN(2)/25))/(LN(2)/25)*Calculateur!V154*Calculateur!X154*VLOOKUP('Données projet'!$B$9,Paramètres!$A$1:$I$89,3,0)*0.475*44/12</f>
        <v>4.9380615444952616</v>
      </c>
      <c r="AB154" s="21">
        <f>EXP(-LN(2)/2)*AB153+(1-EXP(-LN(2)/2))/(LN(2)/2)*V154*Y154*VLOOKUP('Données projet'!$B$9,Paramètres!$A$1:$I$89,3,0)*0.475*44/12</f>
        <v>9.7031148933419587E-15</v>
      </c>
      <c r="AC154" s="22">
        <f t="shared" ref="AC154:AC203" si="163">SUM(Z154:AB154)</f>
        <v>26.425737252552302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280.11276976762787</v>
      </c>
      <c r="AO154" s="59">
        <f t="shared" si="144"/>
        <v>471.89239871617241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19.183807350282574</v>
      </c>
      <c r="AV154" s="21">
        <f>EXP(-LN(2)/25)*AV153+(1-EXP(-LN(2)/25))/(LN(2)/25)*Calculateur!AQ154*Calculateur!AS154*VLOOKUP('Données projet'!$B$10,Paramètres!$A$1:$I$89,3,0)*0.475*44/12</f>
        <v>4.6749250329570273</v>
      </c>
      <c r="AW154" s="21">
        <f>EXP(-LN(2)/2)*AW153+(1-EXP(-LN(2)/2))/(LN(2)/2)*AQ154*AT154*VLOOKUP('Données projet'!$B$10,Paramètres!$A$1:$I$89,3,0)*0.475*44/12</f>
        <v>8.8534481026348671E-15</v>
      </c>
      <c r="AX154" s="21">
        <f t="shared" ref="AX154:AX203" si="166">SUM(AU154:AW154)</f>
        <v>23.858732383239609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0</v>
      </c>
      <c r="BJ154" s="59">
        <f t="shared" si="146"/>
        <v>0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0</v>
      </c>
      <c r="CE154" s="59">
        <f t="shared" si="148"/>
        <v>0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354.30476036506167</v>
      </c>
      <c r="T155" s="59">
        <f t="shared" si="142"/>
        <v>593.51433014569966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21.066315493610084</v>
      </c>
      <c r="AA155" s="21">
        <f>EXP(-LN(2)/25)*AA154+(1-EXP(-LN(2)/25))/(LN(2)/25)*Calculateur!V155*Calculateur!X155*VLOOKUP('Données projet'!$B$9,Paramètres!$A$1:$I$89,3,0)*0.475*44/12</f>
        <v>4.8030299918796677</v>
      </c>
      <c r="AB155" s="21">
        <f>EXP(-LN(2)/2)*AB154+(1-EXP(-LN(2)/2))/(LN(2)/2)*V155*Y155*VLOOKUP('Données projet'!$B$9,Paramètres!$A$1:$I$89,3,0)*0.475*44/12</f>
        <v>6.8611383397142829E-15</v>
      </c>
      <c r="AC155" s="22">
        <f t="shared" si="163"/>
        <v>25.86934548548976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280.11276976762787</v>
      </c>
      <c r="AO155" s="59">
        <f t="shared" si="144"/>
        <v>471.89239871617241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18.807624589110642</v>
      </c>
      <c r="AV155" s="21">
        <f>EXP(-LN(2)/25)*AV154+(1-EXP(-LN(2)/25))/(LN(2)/25)*Calculateur!AQ155*Calculateur!AS155*VLOOKUP('Données projet'!$B$10,Paramètres!$A$1:$I$89,3,0)*0.475*44/12</f>
        <v>4.5470889620871944</v>
      </c>
      <c r="AW155" s="21">
        <f>EXP(-LN(2)/2)*AW154+(1-EXP(-LN(2)/2))/(LN(2)/2)*AQ155*AT155*VLOOKUP('Données projet'!$B$10,Paramètres!$A$1:$I$89,3,0)*0.475*44/12</f>
        <v>6.2603331902562874E-15</v>
      </c>
      <c r="AX155" s="21">
        <f t="shared" si="166"/>
        <v>23.354713551197843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0</v>
      </c>
      <c r="BJ155" s="59">
        <f t="shared" si="146"/>
        <v>0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0</v>
      </c>
      <c r="CE155" s="59">
        <f t="shared" si="148"/>
        <v>0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354.30476036506167</v>
      </c>
      <c r="T156" s="59">
        <f t="shared" si="142"/>
        <v>593.51433014569966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20.65321789596409</v>
      </c>
      <c r="AA156" s="21">
        <f>EXP(-LN(2)/25)*AA155+(1-EXP(-LN(2)/25))/(LN(2)/25)*Calculateur!V156*Calculateur!X156*VLOOKUP('Données projet'!$B$9,Paramètres!$A$1:$I$89,3,0)*0.475*44/12</f>
        <v>4.6716908841713485</v>
      </c>
      <c r="AB156" s="21">
        <f>EXP(-LN(2)/2)*AB155+(1-EXP(-LN(2)/2))/(LN(2)/2)*V156*Y156*VLOOKUP('Données projet'!$B$9,Paramètres!$A$1:$I$89,3,0)*0.475*44/12</f>
        <v>4.8515574466709793E-15</v>
      </c>
      <c r="AC156" s="22">
        <f t="shared" si="163"/>
        <v>25.324908780135441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280.11276976762787</v>
      </c>
      <c r="AO156" s="59">
        <f t="shared" si="144"/>
        <v>471.89239871617241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18.438818542436461</v>
      </c>
      <c r="AV156" s="21">
        <f>EXP(-LN(2)/25)*AV155+(1-EXP(-LN(2)/25))/(LN(2)/25)*Calculateur!AQ156*Calculateur!AS156*VLOOKUP('Données projet'!$B$10,Paramètres!$A$1:$I$89,3,0)*0.475*44/12</f>
        <v>4.4227485752979039</v>
      </c>
      <c r="AW156" s="21">
        <f>EXP(-LN(2)/2)*AW155+(1-EXP(-LN(2)/2))/(LN(2)/2)*AQ156*AT156*VLOOKUP('Données projet'!$B$10,Paramètres!$A$1:$I$89,3,0)*0.475*44/12</f>
        <v>4.4267240513174335E-15</v>
      </c>
      <c r="AX156" s="21">
        <f t="shared" si="166"/>
        <v>22.861567117734371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0</v>
      </c>
      <c r="BJ156" s="59">
        <f t="shared" si="146"/>
        <v>0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0</v>
      </c>
      <c r="CE156" s="59">
        <f t="shared" si="148"/>
        <v>0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354.30476036506167</v>
      </c>
      <c r="T157" s="59">
        <f t="shared" si="142"/>
        <v>593.51433014569966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20.248220890243278</v>
      </c>
      <c r="AA157" s="21">
        <f>EXP(-LN(2)/25)*AA156+(1-EXP(-LN(2)/25))/(LN(2)/25)*Calculateur!V157*Calculateur!X157*VLOOKUP('Données projet'!$B$9,Paramètres!$A$1:$I$89,3,0)*0.475*44/12</f>
        <v>4.5439432512701368</v>
      </c>
      <c r="AB157" s="21">
        <f>EXP(-LN(2)/2)*AB156+(1-EXP(-LN(2)/2))/(LN(2)/2)*V157*Y157*VLOOKUP('Données projet'!$B$9,Paramètres!$A$1:$I$89,3,0)*0.475*44/12</f>
        <v>3.4305691698571414E-15</v>
      </c>
      <c r="AC157" s="22">
        <f t="shared" si="163"/>
        <v>24.792164141513418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280.11276976762787</v>
      </c>
      <c r="AO157" s="59">
        <f t="shared" si="144"/>
        <v>471.89239871617241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18.077244557388088</v>
      </c>
      <c r="AV157" s="21">
        <f>EXP(-LN(2)/25)*AV156+(1-EXP(-LN(2)/25))/(LN(2)/25)*Calculateur!AQ157*Calculateur!AS157*VLOOKUP('Données projet'!$B$10,Paramètres!$A$1:$I$89,3,0)*0.475*44/12</f>
        <v>4.3018082829241431</v>
      </c>
      <c r="AW157" s="21">
        <f>EXP(-LN(2)/2)*AW156+(1-EXP(-LN(2)/2))/(LN(2)/2)*AQ157*AT157*VLOOKUP('Données projet'!$B$10,Paramètres!$A$1:$I$89,3,0)*0.475*44/12</f>
        <v>3.1301665951281437E-15</v>
      </c>
      <c r="AX157" s="21">
        <f t="shared" si="166"/>
        <v>22.379052840312234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0</v>
      </c>
      <c r="BJ157" s="59">
        <f t="shared" si="146"/>
        <v>0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0</v>
      </c>
      <c r="CE157" s="59">
        <f t="shared" si="148"/>
        <v>0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354.30476036506167</v>
      </c>
      <c r="T158" s="59">
        <f t="shared" si="142"/>
        <v>593.51433014569966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19.851165628780869</v>
      </c>
      <c r="AA158" s="21">
        <f>EXP(-LN(2)/25)*AA157+(1-EXP(-LN(2)/25))/(LN(2)/25)*Calculateur!V158*Calculateur!X158*VLOOKUP('Données projet'!$B$9,Paramètres!$A$1:$I$89,3,0)*0.475*44/12</f>
        <v>4.4196888841085649</v>
      </c>
      <c r="AB158" s="21">
        <f>EXP(-LN(2)/2)*AB157+(1-EXP(-LN(2)/2))/(LN(2)/2)*V158*Y158*VLOOKUP('Données projet'!$B$9,Paramètres!$A$1:$I$89,3,0)*0.475*44/12</f>
        <v>2.4257787233354897E-15</v>
      </c>
      <c r="AC158" s="22">
        <f t="shared" si="163"/>
        <v>24.270854512889439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280.11276976762787</v>
      </c>
      <c r="AO158" s="59">
        <f t="shared" si="144"/>
        <v>471.89239871617241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17.722760817648158</v>
      </c>
      <c r="AV158" s="21">
        <f>EXP(-LN(2)/25)*AV157+(1-EXP(-LN(2)/25))/(LN(2)/25)*Calculateur!AQ158*Calculateur!AS158*VLOOKUP('Données projet'!$B$10,Paramètres!$A$1:$I$89,3,0)*0.475*44/12</f>
        <v>4.1841751092053165</v>
      </c>
      <c r="AW158" s="21">
        <f>EXP(-LN(2)/2)*AW157+(1-EXP(-LN(2)/2))/(LN(2)/2)*AQ158*AT158*VLOOKUP('Données projet'!$B$10,Paramètres!$A$1:$I$89,3,0)*0.475*44/12</f>
        <v>2.2133620256587168E-15</v>
      </c>
      <c r="AX158" s="21">
        <f t="shared" si="166"/>
        <v>21.906935926853478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0</v>
      </c>
      <c r="BJ158" s="59">
        <f t="shared" si="146"/>
        <v>0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0</v>
      </c>
      <c r="CE158" s="59">
        <f t="shared" si="148"/>
        <v>0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354.30476036506167</v>
      </c>
      <c r="T159" s="59">
        <f t="shared" si="142"/>
        <v>593.51433014569966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19.461896378815943</v>
      </c>
      <c r="AA159" s="21">
        <f>EXP(-LN(2)/25)*AA158+(1-EXP(-LN(2)/25))/(LN(2)/25)*Calculateur!V159*Calculateur!X159*VLOOKUP('Données projet'!$B$9,Paramètres!$A$1:$I$89,3,0)*0.475*44/12</f>
        <v>4.2988322591512791</v>
      </c>
      <c r="AB159" s="21">
        <f>EXP(-LN(2)/2)*AB158+(1-EXP(-LN(2)/2))/(LN(2)/2)*V159*Y159*VLOOKUP('Données projet'!$B$9,Paramètres!$A$1:$I$89,3,0)*0.475*44/12</f>
        <v>1.7152845849285707E-15</v>
      </c>
      <c r="AC159" s="22">
        <f t="shared" si="163"/>
        <v>23.760728637967222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280.11276976762787</v>
      </c>
      <c r="AO159" s="59">
        <f t="shared" si="144"/>
        <v>471.89239871617241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17.375228287830797</v>
      </c>
      <c r="AV159" s="21">
        <f>EXP(-LN(2)/25)*AV158+(1-EXP(-LN(2)/25))/(LN(2)/25)*Calculateur!AQ159*Calculateur!AS159*VLOOKUP('Données projet'!$B$10,Paramètres!$A$1:$I$89,3,0)*0.475*44/12</f>
        <v>4.0697586208078915</v>
      </c>
      <c r="AW159" s="21">
        <f>EXP(-LN(2)/2)*AW158+(1-EXP(-LN(2)/2))/(LN(2)/2)*AQ159*AT159*VLOOKUP('Données projet'!$B$10,Paramètres!$A$1:$I$89,3,0)*0.475*44/12</f>
        <v>1.5650832975640719E-15</v>
      </c>
      <c r="AX159" s="21">
        <f t="shared" si="166"/>
        <v>21.44498690863869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0</v>
      </c>
      <c r="BJ159" s="59">
        <f t="shared" si="146"/>
        <v>0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0</v>
      </c>
      <c r="CE159" s="59">
        <f t="shared" si="148"/>
        <v>0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354.30476036506167</v>
      </c>
      <c r="T160" s="59">
        <f t="shared" si="142"/>
        <v>593.51433014569966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19.080260461412031</v>
      </c>
      <c r="AA160" s="21">
        <f>EXP(-LN(2)/25)*AA159+(1-EXP(-LN(2)/25))/(LN(2)/25)*Calculateur!V160*Calculateur!X160*VLOOKUP('Données projet'!$B$9,Paramètres!$A$1:$I$89,3,0)*0.475*44/12</f>
        <v>4.1812804649590243</v>
      </c>
      <c r="AB160" s="21">
        <f>EXP(-LN(2)/2)*AB159+(1-EXP(-LN(2)/2))/(LN(2)/2)*V160*Y160*VLOOKUP('Données projet'!$B$9,Paramètres!$A$1:$I$89,3,0)*0.475*44/12</f>
        <v>1.2128893616677448E-15</v>
      </c>
      <c r="AC160" s="22">
        <f t="shared" si="163"/>
        <v>23.261540926371055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280.11276976762787</v>
      </c>
      <c r="AO160" s="59">
        <f t="shared" si="144"/>
        <v>471.89239871617241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17.034510658949241</v>
      </c>
      <c r="AV160" s="21">
        <f>EXP(-LN(2)/25)*AV159+(1-EXP(-LN(2)/25))/(LN(2)/25)*Calculateur!AQ160*Calculateur!AS160*VLOOKUP('Données projet'!$B$10,Paramètres!$A$1:$I$89,3,0)*0.475*44/12</f>
        <v>3.9584708573025953</v>
      </c>
      <c r="AW160" s="21">
        <f>EXP(-LN(2)/2)*AW159+(1-EXP(-LN(2)/2))/(LN(2)/2)*AQ160*AT160*VLOOKUP('Données projet'!$B$10,Paramètres!$A$1:$I$89,3,0)*0.475*44/12</f>
        <v>1.1066810128293584E-15</v>
      </c>
      <c r="AX160" s="21">
        <f t="shared" si="166"/>
        <v>20.992981516251838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0</v>
      </c>
      <c r="BJ160" s="59">
        <f t="shared" si="146"/>
        <v>0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0</v>
      </c>
      <c r="CE160" s="59">
        <f t="shared" si="148"/>
        <v>0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354.30476036506167</v>
      </c>
      <c r="T161" s="59">
        <f t="shared" si="142"/>
        <v>593.51433014569966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18.706108191573485</v>
      </c>
      <c r="AA161" s="21">
        <f>EXP(-LN(2)/25)*AA160+(1-EXP(-LN(2)/25))/(LN(2)/25)*Calculateur!V161*Calculateur!X161*VLOOKUP('Données projet'!$B$9,Paramètres!$A$1:$I$89,3,0)*0.475*44/12</f>
        <v>4.0669431307607367</v>
      </c>
      <c r="AB161" s="21">
        <f>EXP(-LN(2)/2)*AB160+(1-EXP(-LN(2)/2))/(LN(2)/2)*V161*Y161*VLOOKUP('Données projet'!$B$9,Paramètres!$A$1:$I$89,3,0)*0.475*44/12</f>
        <v>8.5764229246428536E-16</v>
      </c>
      <c r="AC161" s="22">
        <f t="shared" si="163"/>
        <v>22.773051322334222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280.11276976762787</v>
      </c>
      <c r="AO161" s="59">
        <f t="shared" si="144"/>
        <v>471.89239871617241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16.700474294952819</v>
      </c>
      <c r="AV161" s="21">
        <f>EXP(-LN(2)/25)*AV160+(1-EXP(-LN(2)/25))/(LN(2)/25)*Calculateur!AQ161*Calculateur!AS161*VLOOKUP('Données projet'!$B$10,Paramètres!$A$1:$I$89,3,0)*0.475*44/12</f>
        <v>3.8502262635427207</v>
      </c>
      <c r="AW161" s="21">
        <f>EXP(-LN(2)/2)*AW160+(1-EXP(-LN(2)/2))/(LN(2)/2)*AQ161*AT161*VLOOKUP('Données projet'!$B$10,Paramètres!$A$1:$I$89,3,0)*0.475*44/12</f>
        <v>7.8254164878203593E-16</v>
      </c>
      <c r="AX161" s="21">
        <f t="shared" si="166"/>
        <v>20.550700558495539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0</v>
      </c>
      <c r="BJ161" s="59">
        <f t="shared" si="146"/>
        <v>0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0</v>
      </c>
      <c r="CE161" s="59">
        <f t="shared" si="148"/>
        <v>0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354.30476036506167</v>
      </c>
      <c r="T162" s="59">
        <f t="shared" si="142"/>
        <v>593.51433014569966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18.339292819536119</v>
      </c>
      <c r="AA162" s="21">
        <f>EXP(-LN(2)/25)*AA161+(1-EXP(-LN(2)/25))/(LN(2)/25)*Calculateur!V162*Calculateur!X162*VLOOKUP('Données projet'!$B$9,Paramètres!$A$1:$I$89,3,0)*0.475*44/12</f>
        <v>3.9557323569788401</v>
      </c>
      <c r="AB162" s="21">
        <f>EXP(-LN(2)/2)*AB161+(1-EXP(-LN(2)/2))/(LN(2)/2)*V162*Y162*VLOOKUP('Données projet'!$B$9,Paramètres!$A$1:$I$89,3,0)*0.475*44/12</f>
        <v>6.0644468083387242E-16</v>
      </c>
      <c r="AC162" s="22">
        <f t="shared" si="163"/>
        <v>22.295025176514958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280.11276976762787</v>
      </c>
      <c r="AO162" s="59">
        <f t="shared" si="144"/>
        <v>471.89239871617241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16.372988180312301</v>
      </c>
      <c r="AV162" s="21">
        <f>EXP(-LN(2)/25)*AV161+(1-EXP(-LN(2)/25))/(LN(2)/25)*Calculateur!AQ162*Calculateur!AS162*VLOOKUP('Données projet'!$B$10,Paramètres!$A$1:$I$89,3,0)*0.475*44/12</f>
        <v>3.7449416238915454</v>
      </c>
      <c r="AW162" s="21">
        <f>EXP(-LN(2)/2)*AW161+(1-EXP(-LN(2)/2))/(LN(2)/2)*AQ162*AT162*VLOOKUP('Données projet'!$B$10,Paramètres!$A$1:$I$89,3,0)*0.475*44/12</f>
        <v>5.5334050641467919E-16</v>
      </c>
      <c r="AX162" s="21">
        <f t="shared" si="166"/>
        <v>20.117929804203847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0</v>
      </c>
      <c r="BJ162" s="59">
        <f t="shared" si="146"/>
        <v>0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0</v>
      </c>
      <c r="CE162" s="59">
        <f t="shared" si="148"/>
        <v>0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354.30476036506167</v>
      </c>
      <c r="T163" s="59">
        <f t="shared" si="142"/>
        <v>593.51433014569966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17.979670473209122</v>
      </c>
      <c r="AA163" s="21">
        <f>EXP(-LN(2)/25)*AA162+(1-EXP(-LN(2)/25))/(LN(2)/25)*Calculateur!V163*Calculateur!X163*VLOOKUP('Données projet'!$B$9,Paramètres!$A$1:$I$89,3,0)*0.475*44/12</f>
        <v>3.8475626476543301</v>
      </c>
      <c r="AB163" s="21">
        <f>EXP(-LN(2)/2)*AB162+(1-EXP(-LN(2)/2))/(LN(2)/2)*V163*Y163*VLOOKUP('Données projet'!$B$9,Paramètres!$A$1:$I$89,3,0)*0.475*44/12</f>
        <v>4.2882114623214268E-16</v>
      </c>
      <c r="AC163" s="22">
        <f t="shared" si="163"/>
        <v>21.827233120863454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280.11276976762787</v>
      </c>
      <c r="AO163" s="59">
        <f t="shared" si="144"/>
        <v>471.89239871617241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16.051923868633079</v>
      </c>
      <c r="AV163" s="21">
        <f>EXP(-LN(2)/25)*AV162+(1-EXP(-LN(2)/25))/(LN(2)/25)*Calculateur!AQ163*Calculateur!AS163*VLOOKUP('Données projet'!$B$10,Paramètres!$A$1:$I$89,3,0)*0.475*44/12</f>
        <v>3.6425359982483103</v>
      </c>
      <c r="AW163" s="21">
        <f>EXP(-LN(2)/2)*AW162+(1-EXP(-LN(2)/2))/(LN(2)/2)*AQ163*AT163*VLOOKUP('Données projet'!$B$10,Paramètres!$A$1:$I$89,3,0)*0.475*44/12</f>
        <v>3.9127082439101796E-16</v>
      </c>
      <c r="AX163" s="21">
        <f t="shared" si="166"/>
        <v>19.694459866881388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0</v>
      </c>
      <c r="BJ163" s="59">
        <f t="shared" si="146"/>
        <v>0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0</v>
      </c>
      <c r="CE163" s="59">
        <f t="shared" si="148"/>
        <v>0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354.30476036506167</v>
      </c>
      <c r="T164" s="59">
        <f t="shared" si="142"/>
        <v>593.51433014569966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17.627100101745626</v>
      </c>
      <c r="AA164" s="21">
        <f>EXP(-LN(2)/25)*AA163+(1-EXP(-LN(2)/25))/(LN(2)/25)*Calculateur!V164*Calculateur!X164*VLOOKUP('Données projet'!$B$9,Paramètres!$A$1:$I$89,3,0)*0.475*44/12</f>
        <v>3.7423508447196965</v>
      </c>
      <c r="AB164" s="21">
        <f>EXP(-LN(2)/2)*AB163+(1-EXP(-LN(2)/2))/(LN(2)/2)*V164*Y164*VLOOKUP('Données projet'!$B$9,Paramètres!$A$1:$I$89,3,0)*0.475*44/12</f>
        <v>3.0322234041693621E-16</v>
      </c>
      <c r="AC164" s="22">
        <f t="shared" si="163"/>
        <v>21.369450946465321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280.11276976762787</v>
      </c>
      <c r="AO164" s="59">
        <f t="shared" si="144"/>
        <v>471.89239871617241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15.737155432275992</v>
      </c>
      <c r="AV164" s="21">
        <f>EXP(-LN(2)/25)*AV163+(1-EXP(-LN(2)/25))/(LN(2)/25)*Calculateur!AQ164*Calculateur!AS164*VLOOKUP('Données projet'!$B$10,Paramètres!$A$1:$I$89,3,0)*0.475*44/12</f>
        <v>3.542930659823567</v>
      </c>
      <c r="AW164" s="21">
        <f>EXP(-LN(2)/2)*AW163+(1-EXP(-LN(2)/2))/(LN(2)/2)*AQ164*AT164*VLOOKUP('Données projet'!$B$10,Paramètres!$A$1:$I$89,3,0)*0.475*44/12</f>
        <v>2.766702532073396E-16</v>
      </c>
      <c r="AX164" s="21">
        <f t="shared" si="166"/>
        <v>19.280086092099559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0</v>
      </c>
      <c r="BJ164" s="59">
        <f t="shared" si="146"/>
        <v>0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0</v>
      </c>
      <c r="CE164" s="59">
        <f t="shared" si="148"/>
        <v>0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354.30476036506167</v>
      </c>
      <c r="T165" s="59">
        <f t="shared" si="142"/>
        <v>593.51433014569966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17.281443420219837</v>
      </c>
      <c r="AA165" s="21">
        <f>EXP(-LN(2)/25)*AA164+(1-EXP(-LN(2)/25))/(LN(2)/25)*Calculateur!V165*Calculateur!X165*VLOOKUP('Données projet'!$B$9,Paramètres!$A$1:$I$89,3,0)*0.475*44/12</f>
        <v>3.6400160640691586</v>
      </c>
      <c r="AB165" s="21">
        <f>EXP(-LN(2)/2)*AB164+(1-EXP(-LN(2)/2))/(LN(2)/2)*V165*Y165*VLOOKUP('Données projet'!$B$9,Paramètres!$A$1:$I$89,3,0)*0.475*44/12</f>
        <v>2.1441057311607134E-16</v>
      </c>
      <c r="AC165" s="22">
        <f t="shared" si="163"/>
        <v>20.921459484288995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280.11276976762787</v>
      </c>
      <c r="AO165" s="59">
        <f t="shared" si="144"/>
        <v>471.89239871617241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15.428559412966079</v>
      </c>
      <c r="AV165" s="21">
        <f>EXP(-LN(2)/25)*AV164+(1-EXP(-LN(2)/25))/(LN(2)/25)*Calculateur!AQ165*Calculateur!AS165*VLOOKUP('Données projet'!$B$10,Paramètres!$A$1:$I$89,3,0)*0.475*44/12</f>
        <v>3.4460490346160655</v>
      </c>
      <c r="AW165" s="21">
        <f>EXP(-LN(2)/2)*AW164+(1-EXP(-LN(2)/2))/(LN(2)/2)*AQ165*AT165*VLOOKUP('Données projet'!$B$10,Paramètres!$A$1:$I$89,3,0)*0.475*44/12</f>
        <v>1.9563541219550898E-16</v>
      </c>
      <c r="AX165" s="21">
        <f t="shared" si="166"/>
        <v>18.874608447582144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0</v>
      </c>
      <c r="BJ165" s="59">
        <f t="shared" si="146"/>
        <v>0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0</v>
      </c>
      <c r="CE165" s="59">
        <f t="shared" si="148"/>
        <v>0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354.30476036506167</v>
      </c>
      <c r="T166" s="59">
        <f t="shared" si="142"/>
        <v>593.51433014569966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16.942564855389012</v>
      </c>
      <c r="AA166" s="21">
        <f>EXP(-LN(2)/25)*AA165+(1-EXP(-LN(2)/25))/(LN(2)/25)*Calculateur!V166*Calculateur!X166*VLOOKUP('Données projet'!$B$9,Paramètres!$A$1:$I$89,3,0)*0.475*44/12</f>
        <v>3.5404796333770618</v>
      </c>
      <c r="AB166" s="21">
        <f>EXP(-LN(2)/2)*AB165+(1-EXP(-LN(2)/2))/(LN(2)/2)*V166*Y166*VLOOKUP('Données projet'!$B$9,Paramètres!$A$1:$I$89,3,0)*0.475*44/12</f>
        <v>1.516111702084681E-16</v>
      </c>
      <c r="AC166" s="22">
        <f t="shared" si="163"/>
        <v>20.483044488766073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280.11276976762787</v>
      </c>
      <c r="AO166" s="59">
        <f t="shared" si="144"/>
        <v>471.89239871617241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15.126014773369848</v>
      </c>
      <c r="AV166" s="21">
        <f>EXP(-LN(2)/25)*AV165+(1-EXP(-LN(2)/25))/(LN(2)/25)*Calculateur!AQ166*Calculateur!AS166*VLOOKUP('Données projet'!$B$10,Paramètres!$A$1:$I$89,3,0)*0.475*44/12</f>
        <v>3.3518166425446463</v>
      </c>
      <c r="AW166" s="21">
        <f>EXP(-LN(2)/2)*AW165+(1-EXP(-LN(2)/2))/(LN(2)/2)*AQ166*AT166*VLOOKUP('Données projet'!$B$10,Paramètres!$A$1:$I$89,3,0)*0.475*44/12</f>
        <v>1.383351266036698E-16</v>
      </c>
      <c r="AX166" s="21">
        <f t="shared" si="166"/>
        <v>18.477831415914494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0</v>
      </c>
      <c r="BJ166" s="59">
        <f t="shared" si="146"/>
        <v>0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0</v>
      </c>
      <c r="CE166" s="59">
        <f t="shared" si="148"/>
        <v>0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354.30476036506167</v>
      </c>
      <c r="T167" s="59">
        <f t="shared" si="142"/>
        <v>593.51433014569966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16.610331492519002</v>
      </c>
      <c r="AA167" s="21">
        <f>EXP(-LN(2)/25)*AA166+(1-EXP(-LN(2)/25))/(LN(2)/25)*Calculateur!V167*Calculateur!X167*VLOOKUP('Données projet'!$B$9,Paramètres!$A$1:$I$89,3,0)*0.475*44/12</f>
        <v>3.443665031616634</v>
      </c>
      <c r="AB167" s="21">
        <f>EXP(-LN(2)/2)*AB166+(1-EXP(-LN(2)/2))/(LN(2)/2)*V167*Y167*VLOOKUP('Données projet'!$B$9,Paramètres!$A$1:$I$89,3,0)*0.475*44/12</f>
        <v>1.0720528655803567E-16</v>
      </c>
      <c r="AC167" s="22">
        <f t="shared" si="163"/>
        <v>20.053996524135634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280.11276976762787</v>
      </c>
      <c r="AO167" s="59">
        <f t="shared" si="144"/>
        <v>471.89239871617241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14.82940284962209</v>
      </c>
      <c r="AV167" s="21">
        <f>EXP(-LN(2)/25)*AV166+(1-EXP(-LN(2)/25))/(LN(2)/25)*Calculateur!AQ167*Calculateur!AS167*VLOOKUP('Données projet'!$B$10,Paramètres!$A$1:$I$89,3,0)*0.475*44/12</f>
        <v>3.2601610401898862</v>
      </c>
      <c r="AW167" s="21">
        <f>EXP(-LN(2)/2)*AW166+(1-EXP(-LN(2)/2))/(LN(2)/2)*AQ167*AT167*VLOOKUP('Données projet'!$B$10,Paramètres!$A$1:$I$89,3,0)*0.475*44/12</f>
        <v>9.7817706097754491E-17</v>
      </c>
      <c r="AX167" s="21">
        <f t="shared" si="166"/>
        <v>18.089563889811977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0</v>
      </c>
      <c r="BJ167" s="59">
        <f t="shared" si="146"/>
        <v>0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0</v>
      </c>
      <c r="CE167" s="59">
        <f t="shared" si="148"/>
        <v>0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354.30476036506167</v>
      </c>
      <c r="T168" s="59">
        <f t="shared" si="142"/>
        <v>593.51433014569966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16.284613023252533</v>
      </c>
      <c r="AA168" s="21">
        <f>EXP(-LN(2)/25)*AA167+(1-EXP(-LN(2)/25))/(LN(2)/25)*Calculateur!V168*Calculateur!X168*VLOOKUP('Données projet'!$B$9,Paramètres!$A$1:$I$89,3,0)*0.475*44/12</f>
        <v>3.3494978302326035</v>
      </c>
      <c r="AB168" s="21">
        <f>EXP(-LN(2)/2)*AB167+(1-EXP(-LN(2)/2))/(LN(2)/2)*V168*Y168*VLOOKUP('Données projet'!$B$9,Paramètres!$A$1:$I$89,3,0)*0.475*44/12</f>
        <v>7.5805585104234052E-17</v>
      </c>
      <c r="AC168" s="22">
        <f t="shared" si="163"/>
        <v>19.634110853485137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280.11276976762787</v>
      </c>
      <c r="AO168" s="59">
        <f t="shared" si="144"/>
        <v>471.89239871617241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14.538607304783616</v>
      </c>
      <c r="AV168" s="21">
        <f>EXP(-LN(2)/25)*AV167+(1-EXP(-LN(2)/25))/(LN(2)/25)*Calculateur!AQ168*Calculateur!AS168*VLOOKUP('Données projet'!$B$10,Paramètres!$A$1:$I$89,3,0)*0.475*44/12</f>
        <v>3.171011765101476</v>
      </c>
      <c r="AW168" s="21">
        <f>EXP(-LN(2)/2)*AW167+(1-EXP(-LN(2)/2))/(LN(2)/2)*AQ168*AT168*VLOOKUP('Données projet'!$B$10,Paramètres!$A$1:$I$89,3,0)*0.475*44/12</f>
        <v>6.9167563301834899E-17</v>
      </c>
      <c r="AX168" s="21">
        <f t="shared" si="166"/>
        <v>17.709619069885093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0</v>
      </c>
      <c r="BJ168" s="59">
        <f t="shared" si="146"/>
        <v>0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0</v>
      </c>
      <c r="CE168" s="59">
        <f t="shared" si="148"/>
        <v>0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354.30476036506167</v>
      </c>
      <c r="T169" s="59">
        <f t="shared" si="142"/>
        <v>593.51433014569966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15.965281694499728</v>
      </c>
      <c r="AA169" s="21">
        <f>EXP(-LN(2)/25)*AA168+(1-EXP(-LN(2)/25))/(LN(2)/25)*Calculateur!V169*Calculateur!X169*VLOOKUP('Données projet'!$B$9,Paramètres!$A$1:$I$89,3,0)*0.475*44/12</f>
        <v>3.2579056359224574</v>
      </c>
      <c r="AB169" s="21">
        <f>EXP(-LN(2)/2)*AB168+(1-EXP(-LN(2)/2))/(LN(2)/2)*V169*Y169*VLOOKUP('Données projet'!$B$9,Paramètres!$A$1:$I$89,3,0)*0.475*44/12</f>
        <v>5.3602643279017835E-17</v>
      </c>
      <c r="AC169" s="22">
        <f t="shared" si="163"/>
        <v>19.223187330422185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280.11276976762787</v>
      </c>
      <c r="AO169" s="59">
        <f t="shared" si="144"/>
        <v>471.89239871617241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14.253514083211655</v>
      </c>
      <c r="AV169" s="21">
        <f>EXP(-LN(2)/25)*AV168+(1-EXP(-LN(2)/25))/(LN(2)/25)*Calculateur!AQ169*Calculateur!AS169*VLOOKUP('Données projet'!$B$10,Paramètres!$A$1:$I$89,3,0)*0.475*44/12</f>
        <v>3.084300281628515</v>
      </c>
      <c r="AW169" s="21">
        <f>EXP(-LN(2)/2)*AW168+(1-EXP(-LN(2)/2))/(LN(2)/2)*AQ169*AT169*VLOOKUP('Données projet'!$B$10,Paramètres!$A$1:$I$89,3,0)*0.475*44/12</f>
        <v>4.8908853048877245E-17</v>
      </c>
      <c r="AX169" s="21">
        <f t="shared" si="166"/>
        <v>17.33781436484017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0</v>
      </c>
      <c r="BJ169" s="59">
        <f t="shared" si="146"/>
        <v>0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0</v>
      </c>
      <c r="CE169" s="59">
        <f t="shared" si="148"/>
        <v>0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354.30476036506167</v>
      </c>
      <c r="T170" s="59">
        <f t="shared" si="142"/>
        <v>593.51433014569966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15.652212258330888</v>
      </c>
      <c r="AA170" s="21">
        <f>EXP(-LN(2)/25)*AA169+(1-EXP(-LN(2)/25))/(LN(2)/25)*Calculateur!V170*Calculateur!X170*VLOOKUP('Données projet'!$B$9,Paramètres!$A$1:$I$89,3,0)*0.475*44/12</f>
        <v>3.1688180349823463</v>
      </c>
      <c r="AB170" s="21">
        <f>EXP(-LN(2)/2)*AB169+(1-EXP(-LN(2)/2))/(LN(2)/2)*V170*Y170*VLOOKUP('Données projet'!$B$9,Paramètres!$A$1:$I$89,3,0)*0.475*44/12</f>
        <v>3.7902792552117026E-17</v>
      </c>
      <c r="AC170" s="22">
        <f t="shared" si="163"/>
        <v>18.821030293313235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280.11276976762787</v>
      </c>
      <c r="AO170" s="59">
        <f t="shared" si="144"/>
        <v>471.89239871617241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13.974011365825026</v>
      </c>
      <c r="AV170" s="21">
        <f>EXP(-LN(2)/25)*AV169+(1-EXP(-LN(2)/25))/(LN(2)/25)*Calculateur!AQ170*Calculateur!AS170*VLOOKUP('Données projet'!$B$10,Paramètres!$A$1:$I$89,3,0)*0.475*44/12</f>
        <v>2.9999599282310805</v>
      </c>
      <c r="AW170" s="21">
        <f>EXP(-LN(2)/2)*AW169+(1-EXP(-LN(2)/2))/(LN(2)/2)*AQ170*AT170*VLOOKUP('Données projet'!$B$10,Paramètres!$A$1:$I$89,3,0)*0.475*44/12</f>
        <v>3.458378165091745E-17</v>
      </c>
      <c r="AX170" s="21">
        <f t="shared" si="166"/>
        <v>16.973971294056106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0</v>
      </c>
      <c r="BJ170" s="59">
        <f t="shared" si="146"/>
        <v>0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0</v>
      </c>
      <c r="CE170" s="59">
        <f t="shared" si="148"/>
        <v>0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354.30476036506167</v>
      </c>
      <c r="T171" s="59">
        <f t="shared" si="142"/>
        <v>593.51433014569966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15.345281922851818</v>
      </c>
      <c r="AA171" s="21">
        <f>EXP(-LN(2)/25)*AA170+(1-EXP(-LN(2)/25))/(LN(2)/25)*Calculateur!V171*Calculateur!X171*VLOOKUP('Données projet'!$B$9,Paramètres!$A$1:$I$89,3,0)*0.475*44/12</f>
        <v>3.0821665391748558</v>
      </c>
      <c r="AB171" s="21">
        <f>EXP(-LN(2)/2)*AB170+(1-EXP(-LN(2)/2))/(LN(2)/2)*V171*Y171*VLOOKUP('Données projet'!$B$9,Paramètres!$A$1:$I$89,3,0)*0.475*44/12</f>
        <v>2.6801321639508917E-17</v>
      </c>
      <c r="AC171" s="22">
        <f t="shared" si="163"/>
        <v>18.427448462026675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280.11276976762787</v>
      </c>
      <c r="AO171" s="59">
        <f t="shared" si="144"/>
        <v>471.89239871617241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13.699989526246524</v>
      </c>
      <c r="AV171" s="21">
        <f>EXP(-LN(2)/25)*AV170+(1-EXP(-LN(2)/25))/(LN(2)/25)*Calculateur!AQ171*Calculateur!AS171*VLOOKUP('Données projet'!$B$10,Paramètres!$A$1:$I$89,3,0)*0.475*44/12</f>
        <v>2.9179258662325656</v>
      </c>
      <c r="AW171" s="21">
        <f>EXP(-LN(2)/2)*AW170+(1-EXP(-LN(2)/2))/(LN(2)/2)*AQ171*AT171*VLOOKUP('Données projet'!$B$10,Paramètres!$A$1:$I$89,3,0)*0.475*44/12</f>
        <v>2.4454426524438623E-17</v>
      </c>
      <c r="AX171" s="21">
        <f t="shared" si="166"/>
        <v>16.617915392479091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0</v>
      </c>
      <c r="BJ171" s="59">
        <f t="shared" si="146"/>
        <v>0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0</v>
      </c>
      <c r="CE171" s="59">
        <f t="shared" si="148"/>
        <v>0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354.30476036506167</v>
      </c>
      <c r="T172" s="59">
        <f t="shared" si="142"/>
        <v>593.51433014569966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15.044370304042474</v>
      </c>
      <c r="AA172" s="21">
        <f>EXP(-LN(2)/25)*AA171+(1-EXP(-LN(2)/25))/(LN(2)/25)*Calculateur!V172*Calculateur!X172*VLOOKUP('Données projet'!$B$9,Paramètres!$A$1:$I$89,3,0)*0.475*44/12</f>
        <v>2.9978845330770256</v>
      </c>
      <c r="AB172" s="21">
        <f>EXP(-LN(2)/2)*AB171+(1-EXP(-LN(2)/2))/(LN(2)/2)*V172*Y172*VLOOKUP('Données projet'!$B$9,Paramètres!$A$1:$I$89,3,0)*0.475*44/12</f>
        <v>1.8951396276058513E-17</v>
      </c>
      <c r="AC172" s="22">
        <f t="shared" si="163"/>
        <v>18.042254837119501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280.11276976762787</v>
      </c>
      <c r="AO172" s="59">
        <f t="shared" si="144"/>
        <v>471.89239871617241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13.431341087805338</v>
      </c>
      <c r="AV172" s="21">
        <f>EXP(-LN(2)/25)*AV171+(1-EXP(-LN(2)/25))/(LN(2)/25)*Calculateur!AQ172*Calculateur!AS172*VLOOKUP('Données projet'!$B$10,Paramètres!$A$1:$I$89,3,0)*0.475*44/12</f>
        <v>2.8381350299733836</v>
      </c>
      <c r="AW172" s="21">
        <f>EXP(-LN(2)/2)*AW171+(1-EXP(-LN(2)/2))/(LN(2)/2)*AQ172*AT172*VLOOKUP('Données projet'!$B$10,Paramètres!$A$1:$I$89,3,0)*0.475*44/12</f>
        <v>1.7291890825458725E-17</v>
      </c>
      <c r="AX172" s="21">
        <f t="shared" si="166"/>
        <v>16.269476117778723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0</v>
      </c>
      <c r="BJ172" s="59">
        <f t="shared" si="146"/>
        <v>0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0</v>
      </c>
      <c r="CE172" s="59">
        <f t="shared" si="148"/>
        <v>0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354.30476036506167</v>
      </c>
      <c r="T173" s="59">
        <f t="shared" si="142"/>
        <v>593.51433014569966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14.749359378540015</v>
      </c>
      <c r="AA173" s="21">
        <f>EXP(-LN(2)/25)*AA172+(1-EXP(-LN(2)/25))/(LN(2)/25)*Calculateur!V173*Calculateur!X173*VLOOKUP('Données projet'!$B$9,Paramètres!$A$1:$I$89,3,0)*0.475*44/12</f>
        <v>2.9159072228681384</v>
      </c>
      <c r="AB173" s="21">
        <f>EXP(-LN(2)/2)*AB172+(1-EXP(-LN(2)/2))/(LN(2)/2)*V173*Y173*VLOOKUP('Données projet'!$B$9,Paramètres!$A$1:$I$89,3,0)*0.475*44/12</f>
        <v>1.3400660819754459E-17</v>
      </c>
      <c r="AC173" s="22">
        <f t="shared" si="163"/>
        <v>17.665266601408153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280.11276976762787</v>
      </c>
      <c r="AO173" s="59">
        <f t="shared" si="144"/>
        <v>471.89239871617241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13.167960681382615</v>
      </c>
      <c r="AV173" s="21">
        <f>EXP(-LN(2)/25)*AV172+(1-EXP(-LN(2)/25))/(LN(2)/25)*Calculateur!AQ173*Calculateur!AS173*VLOOKUP('Données projet'!$B$10,Paramètres!$A$1:$I$89,3,0)*0.475*44/12</f>
        <v>2.760526078327727</v>
      </c>
      <c r="AW173" s="21">
        <f>EXP(-LN(2)/2)*AW172+(1-EXP(-LN(2)/2))/(LN(2)/2)*AQ173*AT173*VLOOKUP('Données projet'!$B$10,Paramètres!$A$1:$I$89,3,0)*0.475*44/12</f>
        <v>1.2227213262219311E-17</v>
      </c>
      <c r="AX173" s="21">
        <f t="shared" si="166"/>
        <v>15.928486759710342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0</v>
      </c>
      <c r="BJ173" s="59">
        <f t="shared" si="146"/>
        <v>0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0</v>
      </c>
      <c r="CE173" s="59">
        <f t="shared" si="148"/>
        <v>0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354.30476036506167</v>
      </c>
      <c r="T174" s="59">
        <f t="shared" si="142"/>
        <v>593.51433014569966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14.460133437347764</v>
      </c>
      <c r="AA174" s="21">
        <f>EXP(-LN(2)/25)*AA173+(1-EXP(-LN(2)/25))/(LN(2)/25)*Calculateur!V174*Calculateur!X174*VLOOKUP('Données projet'!$B$9,Paramètres!$A$1:$I$89,3,0)*0.475*44/12</f>
        <v>2.8361715865179127</v>
      </c>
      <c r="AB174" s="21">
        <f>EXP(-LN(2)/2)*AB173+(1-EXP(-LN(2)/2))/(LN(2)/2)*V174*Y174*VLOOKUP('Données projet'!$B$9,Paramètres!$A$1:$I$89,3,0)*0.475*44/12</f>
        <v>9.4756981380292565E-18</v>
      </c>
      <c r="AC174" s="22">
        <f t="shared" si="163"/>
        <v>17.296305023865678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280.11276976762787</v>
      </c>
      <c r="AO174" s="59">
        <f t="shared" si="144"/>
        <v>471.89239871617241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12.909745004083657</v>
      </c>
      <c r="AV174" s="21">
        <f>EXP(-LN(2)/25)*AV173+(1-EXP(-LN(2)/25))/(LN(2)/25)*Calculateur!AQ174*Calculateur!AS174*VLOOKUP('Données projet'!$B$10,Paramètres!$A$1:$I$89,3,0)*0.475*44/12</f>
        <v>2.6850393475460983</v>
      </c>
      <c r="AW174" s="21">
        <f>EXP(-LN(2)/2)*AW173+(1-EXP(-LN(2)/2))/(LN(2)/2)*AQ174*AT174*VLOOKUP('Données projet'!$B$10,Paramètres!$A$1:$I$89,3,0)*0.475*44/12</f>
        <v>8.6459454127293624E-18</v>
      </c>
      <c r="AX174" s="21">
        <f t="shared" si="166"/>
        <v>15.594784351629755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0</v>
      </c>
      <c r="BJ174" s="59">
        <f t="shared" si="146"/>
        <v>0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0</v>
      </c>
      <c r="CE174" s="59">
        <f t="shared" si="148"/>
        <v>0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354.30476036506167</v>
      </c>
      <c r="T175" s="59">
        <f t="shared" si="142"/>
        <v>593.51433014569966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14.176579040451887</v>
      </c>
      <c r="AA175" s="21">
        <f>EXP(-LN(2)/25)*AA174+(1-EXP(-LN(2)/25))/(LN(2)/25)*Calculateur!V175*Calculateur!X175*VLOOKUP('Données projet'!$B$9,Paramètres!$A$1:$I$89,3,0)*0.475*44/12</f>
        <v>2.7586163253367988</v>
      </c>
      <c r="AB175" s="21">
        <f>EXP(-LN(2)/2)*AB174+(1-EXP(-LN(2)/2))/(LN(2)/2)*V175*Y175*VLOOKUP('Données projet'!$B$9,Paramètres!$A$1:$I$89,3,0)*0.475*44/12</f>
        <v>6.7003304098772294E-18</v>
      </c>
      <c r="AC175" s="22">
        <f t="shared" si="163"/>
        <v>16.935195365788687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280.11276976762787</v>
      </c>
      <c r="AO175" s="59">
        <f t="shared" si="144"/>
        <v>471.89239871617241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12.656592778720519</v>
      </c>
      <c r="AV175" s="21">
        <f>EXP(-LN(2)/25)*AV174+(1-EXP(-LN(2)/25))/(LN(2)/25)*Calculateur!AQ175*Calculateur!AS175*VLOOKUP('Données projet'!$B$10,Paramètres!$A$1:$I$89,3,0)*0.475*44/12</f>
        <v>2.6116168053873676</v>
      </c>
      <c r="AW175" s="21">
        <f>EXP(-LN(2)/2)*AW174+(1-EXP(-LN(2)/2))/(LN(2)/2)*AQ175*AT175*VLOOKUP('Données projet'!$B$10,Paramètres!$A$1:$I$89,3,0)*0.475*44/12</f>
        <v>6.1136066311096557E-18</v>
      </c>
      <c r="AX175" s="21">
        <f t="shared" si="166"/>
        <v>15.268209584107886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0</v>
      </c>
      <c r="BJ175" s="59">
        <f t="shared" si="146"/>
        <v>0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0</v>
      </c>
      <c r="CE175" s="59">
        <f t="shared" si="148"/>
        <v>0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354.30476036506167</v>
      </c>
      <c r="T176" s="59">
        <f t="shared" si="142"/>
        <v>593.51433014569966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13.898584972328035</v>
      </c>
      <c r="AA176" s="21">
        <f>EXP(-LN(2)/25)*AA175+(1-EXP(-LN(2)/25))/(LN(2)/25)*Calculateur!V176*Calculateur!X176*VLOOKUP('Données projet'!$B$9,Paramètres!$A$1:$I$89,3,0)*0.475*44/12</f>
        <v>2.6831818168511363</v>
      </c>
      <c r="AB176" s="21">
        <f>EXP(-LN(2)/2)*AB175+(1-EXP(-LN(2)/2))/(LN(2)/2)*V176*Y176*VLOOKUP('Données projet'!$B$9,Paramètres!$A$1:$I$89,3,0)*0.475*44/12</f>
        <v>4.7378490690146282E-18</v>
      </c>
      <c r="AC176" s="22">
        <f t="shared" si="163"/>
        <v>16.58176678917917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280.11276976762787</v>
      </c>
      <c r="AO176" s="59">
        <f t="shared" si="144"/>
        <v>471.89239871617241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12.408404714089142</v>
      </c>
      <c r="AV176" s="21">
        <f>EXP(-LN(2)/25)*AV175+(1-EXP(-LN(2)/25))/(LN(2)/25)*Calculateur!AQ176*Calculateur!AS176*VLOOKUP('Données projet'!$B$10,Paramètres!$A$1:$I$89,3,0)*0.475*44/12</f>
        <v>2.540202006505091</v>
      </c>
      <c r="AW176" s="21">
        <f>EXP(-LN(2)/2)*AW175+(1-EXP(-LN(2)/2))/(LN(2)/2)*AQ176*AT176*VLOOKUP('Données projet'!$B$10,Paramètres!$A$1:$I$89,3,0)*0.475*44/12</f>
        <v>4.3229727063646812E-18</v>
      </c>
      <c r="AX176" s="21">
        <f t="shared" si="166"/>
        <v>14.948606720594233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0</v>
      </c>
      <c r="BJ176" s="59">
        <f t="shared" si="146"/>
        <v>0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0</v>
      </c>
      <c r="CE176" s="59">
        <f t="shared" si="148"/>
        <v>0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354.30476036506167</v>
      </c>
      <c r="T177" s="59">
        <f t="shared" si="142"/>
        <v>593.51433014569966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13.626042198320452</v>
      </c>
      <c r="AA177" s="21">
        <f>EXP(-LN(2)/25)*AA176+(1-EXP(-LN(2)/25))/(LN(2)/25)*Calculateur!V177*Calculateur!X177*VLOOKUP('Données projet'!$B$9,Paramètres!$A$1:$I$89,3,0)*0.475*44/12</f>
        <v>2.6098100689669428</v>
      </c>
      <c r="AB177" s="21">
        <f>EXP(-LN(2)/2)*AB176+(1-EXP(-LN(2)/2))/(LN(2)/2)*V177*Y177*VLOOKUP('Données projet'!$B$9,Paramètres!$A$1:$I$89,3,0)*0.475*44/12</f>
        <v>3.3501652049386147E-18</v>
      </c>
      <c r="AC177" s="22">
        <f t="shared" si="163"/>
        <v>16.235852267287395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280.11276976762787</v>
      </c>
      <c r="AO177" s="59">
        <f t="shared" si="144"/>
        <v>471.89239871617241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12.165083466025415</v>
      </c>
      <c r="AV177" s="21">
        <f>EXP(-LN(2)/25)*AV176+(1-EXP(-LN(2)/25))/(LN(2)/25)*Calculateur!AQ177*Calculateur!AS177*VLOOKUP('Données projet'!$B$10,Paramètres!$A$1:$I$89,3,0)*0.475*44/12</f>
        <v>2.4707400490537914</v>
      </c>
      <c r="AW177" s="21">
        <f>EXP(-LN(2)/2)*AW176+(1-EXP(-LN(2)/2))/(LN(2)/2)*AQ177*AT177*VLOOKUP('Données projet'!$B$10,Paramètres!$A$1:$I$89,3,0)*0.475*44/12</f>
        <v>3.0568033155548278E-18</v>
      </c>
      <c r="AX177" s="21">
        <f t="shared" si="166"/>
        <v>14.635823515079206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0</v>
      </c>
      <c r="BJ177" s="59">
        <f t="shared" si="146"/>
        <v>0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0</v>
      </c>
      <c r="CE177" s="59">
        <f t="shared" si="148"/>
        <v>0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354.30476036506167</v>
      </c>
      <c r="T178" s="59">
        <f t="shared" si="142"/>
        <v>593.51433014569966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13.358843821876478</v>
      </c>
      <c r="AA178" s="21">
        <f>EXP(-LN(2)/25)*AA177+(1-EXP(-LN(2)/25))/(LN(2)/25)*Calculateur!V178*Calculateur!X178*VLOOKUP('Données projet'!$B$9,Paramètres!$A$1:$I$89,3,0)*0.475*44/12</f>
        <v>2.5384446753870948</v>
      </c>
      <c r="AB178" s="21">
        <f>EXP(-LN(2)/2)*AB177+(1-EXP(-LN(2)/2))/(LN(2)/2)*V178*Y178*VLOOKUP('Données projet'!$B$9,Paramètres!$A$1:$I$89,3,0)*0.475*44/12</f>
        <v>2.3689245345073141E-18</v>
      </c>
      <c r="AC178" s="22">
        <f t="shared" si="163"/>
        <v>15.897288497263574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280.11276976762787</v>
      </c>
      <c r="AO178" s="59">
        <f t="shared" si="144"/>
        <v>471.89239871617241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11.926533599224909</v>
      </c>
      <c r="AV178" s="21">
        <f>EXP(-LN(2)/25)*AV177+(1-EXP(-LN(2)/25))/(LN(2)/25)*Calculateur!AQ178*Calculateur!AS178*VLOOKUP('Données projet'!$B$10,Paramètres!$A$1:$I$89,3,0)*0.475*44/12</f>
        <v>2.4031775324818434</v>
      </c>
      <c r="AW178" s="21">
        <f>EXP(-LN(2)/2)*AW177+(1-EXP(-LN(2)/2))/(LN(2)/2)*AQ178*AT178*VLOOKUP('Données projet'!$B$10,Paramètres!$A$1:$I$89,3,0)*0.475*44/12</f>
        <v>2.1614863531823406E-18</v>
      </c>
      <c r="AX178" s="21">
        <f t="shared" si="166"/>
        <v>14.329711131706752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0</v>
      </c>
      <c r="BJ178" s="59">
        <f t="shared" si="146"/>
        <v>0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0</v>
      </c>
      <c r="CE178" s="59">
        <f t="shared" si="148"/>
        <v>0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354.30476036506167</v>
      </c>
      <c r="T179" s="59">
        <f t="shared" si="142"/>
        <v>593.51433014569966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13.096885042619654</v>
      </c>
      <c r="AA179" s="21">
        <f>EXP(-LN(2)/25)*AA178+(1-EXP(-LN(2)/25))/(LN(2)/25)*Calculateur!V179*Calculateur!X179*VLOOKUP('Données projet'!$B$9,Paramètres!$A$1:$I$89,3,0)*0.475*44/12</f>
        <v>2.4690307722476308</v>
      </c>
      <c r="AB179" s="21">
        <f>EXP(-LN(2)/2)*AB178+(1-EXP(-LN(2)/2))/(LN(2)/2)*V179*Y179*VLOOKUP('Données projet'!$B$9,Paramètres!$A$1:$I$89,3,0)*0.475*44/12</f>
        <v>1.6750826024693073E-18</v>
      </c>
      <c r="AC179" s="22">
        <f t="shared" si="163"/>
        <v>15.565915814867285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280.11276976762787</v>
      </c>
      <c r="AO179" s="59">
        <f t="shared" si="144"/>
        <v>471.89239871617241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11.69266154981131</v>
      </c>
      <c r="AV179" s="21">
        <f>EXP(-LN(2)/25)*AV178+(1-EXP(-LN(2)/25))/(LN(2)/25)*Calculateur!AQ179*Calculateur!AS179*VLOOKUP('Données projet'!$B$10,Paramètres!$A$1:$I$89,3,0)*0.475*44/12</f>
        <v>2.3374625164785137</v>
      </c>
      <c r="AW179" s="21">
        <f>EXP(-LN(2)/2)*AW178+(1-EXP(-LN(2)/2))/(LN(2)/2)*AQ179*AT179*VLOOKUP('Données projet'!$B$10,Paramètres!$A$1:$I$89,3,0)*0.475*44/12</f>
        <v>1.5284016577774139E-18</v>
      </c>
      <c r="AX179" s="21">
        <f t="shared" si="166"/>
        <v>14.030124066289824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0</v>
      </c>
      <c r="BJ179" s="59">
        <f t="shared" si="146"/>
        <v>0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0</v>
      </c>
      <c r="CE179" s="59">
        <f t="shared" si="148"/>
        <v>0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354.30476036506167</v>
      </c>
      <c r="T180" s="59">
        <f t="shared" si="142"/>
        <v>593.51433014569966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12.840063115244979</v>
      </c>
      <c r="AA180" s="21">
        <f>EXP(-LN(2)/25)*AA179+(1-EXP(-LN(2)/25))/(LN(2)/25)*Calculateur!V180*Calculateur!X180*VLOOKUP('Données projet'!$B$9,Paramètres!$A$1:$I$89,3,0)*0.475*44/12</f>
        <v>2.4015149959398339</v>
      </c>
      <c r="AB180" s="21">
        <f>EXP(-LN(2)/2)*AB179+(1-EXP(-LN(2)/2))/(LN(2)/2)*V180*Y180*VLOOKUP('Données projet'!$B$9,Paramètres!$A$1:$I$89,3,0)*0.475*44/12</f>
        <v>1.1844622672536571E-18</v>
      </c>
      <c r="AC180" s="22">
        <f t="shared" si="163"/>
        <v>15.241578111184813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280.11276976762787</v>
      </c>
      <c r="AO180" s="59">
        <f t="shared" si="144"/>
        <v>471.89239871617241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11.463375588638847</v>
      </c>
      <c r="AV180" s="21">
        <f>EXP(-LN(2)/25)*AV179+(1-EXP(-LN(2)/25))/(LN(2)/25)*Calculateur!AQ180*Calculateur!AS180*VLOOKUP('Données projet'!$B$10,Paramètres!$A$1:$I$89,3,0)*0.475*44/12</f>
        <v>2.2735444810435972</v>
      </c>
      <c r="AW180" s="21">
        <f>EXP(-LN(2)/2)*AW179+(1-EXP(-LN(2)/2))/(LN(2)/2)*AQ180*AT180*VLOOKUP('Données projet'!$B$10,Paramètres!$A$1:$I$89,3,0)*0.475*44/12</f>
        <v>1.0807431765911703E-18</v>
      </c>
      <c r="AX180" s="21">
        <f t="shared" si="166"/>
        <v>13.736920069682444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0</v>
      </c>
      <c r="BJ180" s="59">
        <f t="shared" si="146"/>
        <v>0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0</v>
      </c>
      <c r="CE180" s="59">
        <f t="shared" si="148"/>
        <v>0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354.30476036506167</v>
      </c>
      <c r="T181" s="59">
        <f t="shared" si="142"/>
        <v>593.51433014569966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12.588277309220212</v>
      </c>
      <c r="AA181" s="21">
        <f>EXP(-LN(2)/25)*AA180+(1-EXP(-LN(2)/25))/(LN(2)/25)*Calculateur!V181*Calculateur!X181*VLOOKUP('Données projet'!$B$9,Paramètres!$A$1:$I$89,3,0)*0.475*44/12</f>
        <v>2.3358454420856742</v>
      </c>
      <c r="AB181" s="21">
        <f>EXP(-LN(2)/2)*AB180+(1-EXP(-LN(2)/2))/(LN(2)/2)*V181*Y181*VLOOKUP('Données projet'!$B$9,Paramètres!$A$1:$I$89,3,0)*0.475*44/12</f>
        <v>8.3754130123465367E-19</v>
      </c>
      <c r="AC181" s="22">
        <f t="shared" si="163"/>
        <v>14.924122751305886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280.11276976762787</v>
      </c>
      <c r="AO181" s="59">
        <f t="shared" si="144"/>
        <v>471.89239871617241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11.238585785314349</v>
      </c>
      <c r="AV181" s="21">
        <f>EXP(-LN(2)/25)*AV180+(1-EXP(-LN(2)/25))/(LN(2)/25)*Calculateur!AQ181*Calculateur!AS181*VLOOKUP('Données projet'!$B$10,Paramètres!$A$1:$I$89,3,0)*0.475*44/12</f>
        <v>2.2113742876489519</v>
      </c>
      <c r="AW181" s="21">
        <f>EXP(-LN(2)/2)*AW180+(1-EXP(-LN(2)/2))/(LN(2)/2)*AQ181*AT181*VLOOKUP('Données projet'!$B$10,Paramètres!$A$1:$I$89,3,0)*0.475*44/12</f>
        <v>7.6420082888870696E-19</v>
      </c>
      <c r="AX181" s="21">
        <f t="shared" si="166"/>
        <v>13.4499600729633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0</v>
      </c>
      <c r="BJ181" s="59">
        <f t="shared" si="146"/>
        <v>0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0</v>
      </c>
      <c r="CE181" s="59">
        <f t="shared" si="148"/>
        <v>0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354.30476036506167</v>
      </c>
      <c r="T182" s="59">
        <f t="shared" si="142"/>
        <v>593.51433014569966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12.341428869277413</v>
      </c>
      <c r="AA182" s="21">
        <f>EXP(-LN(2)/25)*AA181+(1-EXP(-LN(2)/25))/(LN(2)/25)*Calculateur!V182*Calculateur!X182*VLOOKUP('Données projet'!$B$9,Paramètres!$A$1:$I$89,3,0)*0.475*44/12</f>
        <v>2.2719716256350684</v>
      </c>
      <c r="AB182" s="21">
        <f>EXP(-LN(2)/2)*AB181+(1-EXP(-LN(2)/2))/(LN(2)/2)*V182*Y182*VLOOKUP('Données projet'!$B$9,Paramètres!$A$1:$I$89,3,0)*0.475*44/12</f>
        <v>5.9223113362682853E-19</v>
      </c>
      <c r="AC182" s="22">
        <f t="shared" si="163"/>
        <v>14.613400494912481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280.11276976762787</v>
      </c>
      <c r="AO182" s="59">
        <f t="shared" si="144"/>
        <v>471.89239871617241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11.018203972924802</v>
      </c>
      <c r="AV182" s="21">
        <f>EXP(-LN(2)/25)*AV181+(1-EXP(-LN(2)/25))/(LN(2)/25)*Calculateur!AQ182*Calculateur!AS182*VLOOKUP('Données projet'!$B$10,Paramètres!$A$1:$I$89,3,0)*0.475*44/12</f>
        <v>2.1509041414620715</v>
      </c>
      <c r="AW182" s="21">
        <f>EXP(-LN(2)/2)*AW181+(1-EXP(-LN(2)/2))/(LN(2)/2)*AQ182*AT182*VLOOKUP('Données projet'!$B$10,Paramètres!$A$1:$I$89,3,0)*0.475*44/12</f>
        <v>5.4037158829558515E-19</v>
      </c>
      <c r="AX182" s="21">
        <f t="shared" si="166"/>
        <v>13.169108114386873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0</v>
      </c>
      <c r="BJ182" s="59">
        <f t="shared" si="146"/>
        <v>0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0</v>
      </c>
      <c r="CE182" s="59">
        <f t="shared" si="148"/>
        <v>0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354.30476036506167</v>
      </c>
      <c r="T183" s="59">
        <f t="shared" si="142"/>
        <v>593.51433014569966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12.099420976679212</v>
      </c>
      <c r="AA183" s="21">
        <f>EXP(-LN(2)/25)*AA182+(1-EXP(-LN(2)/25))/(LN(2)/25)*Calculateur!V183*Calculateur!X183*VLOOKUP('Données projet'!$B$9,Paramètres!$A$1:$I$89,3,0)*0.475*44/12</f>
        <v>2.2098444420542824</v>
      </c>
      <c r="AB183" s="21">
        <f>EXP(-LN(2)/2)*AB182+(1-EXP(-LN(2)/2))/(LN(2)/2)*V183*Y183*VLOOKUP('Données projet'!$B$9,Paramètres!$A$1:$I$89,3,0)*0.475*44/12</f>
        <v>4.1877065061732684E-19</v>
      </c>
      <c r="AC183" s="22">
        <f t="shared" si="163"/>
        <v>14.309265418733496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280.11276976762787</v>
      </c>
      <c r="AO183" s="59">
        <f t="shared" si="144"/>
        <v>471.89239871617241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10.802143713456582</v>
      </c>
      <c r="AV183" s="21">
        <f>EXP(-LN(2)/25)*AV182+(1-EXP(-LN(2)/25))/(LN(2)/25)*Calculateur!AQ183*Calculateur!AS183*VLOOKUP('Données projet'!$B$10,Paramètres!$A$1:$I$89,3,0)*0.475*44/12</f>
        <v>2.0920875546026583</v>
      </c>
      <c r="AW183" s="21">
        <f>EXP(-LN(2)/2)*AW182+(1-EXP(-LN(2)/2))/(LN(2)/2)*AQ183*AT183*VLOOKUP('Données projet'!$B$10,Paramètres!$A$1:$I$89,3,0)*0.475*44/12</f>
        <v>3.8210041444435348E-19</v>
      </c>
      <c r="AX183" s="21">
        <f t="shared" si="166"/>
        <v>12.89423126805924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0</v>
      </c>
      <c r="BJ183" s="59">
        <f t="shared" si="146"/>
        <v>0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0</v>
      </c>
      <c r="CE183" s="59">
        <f t="shared" si="148"/>
        <v>0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354.30476036506167</v>
      </c>
      <c r="T184" s="59">
        <f t="shared" si="142"/>
        <v>593.51433014569966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11.862158711244623</v>
      </c>
      <c r="AA184" s="21">
        <f>EXP(-LN(2)/25)*AA183+(1-EXP(-LN(2)/25))/(LN(2)/25)*Calculateur!V184*Calculateur!X184*VLOOKUP('Données projet'!$B$9,Paramètres!$A$1:$I$89,3,0)*0.475*44/12</f>
        <v>2.1494161295756395</v>
      </c>
      <c r="AB184" s="21">
        <f>EXP(-LN(2)/2)*AB183+(1-EXP(-LN(2)/2))/(LN(2)/2)*V184*Y184*VLOOKUP('Données projet'!$B$9,Paramètres!$A$1:$I$89,3,0)*0.475*44/12</f>
        <v>2.9611556681341427E-19</v>
      </c>
      <c r="AC184" s="22">
        <f t="shared" si="163"/>
        <v>14.011574840820263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280.11276976762787</v>
      </c>
      <c r="AO184" s="59">
        <f t="shared" si="144"/>
        <v>471.89239871617241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10.590320263892787</v>
      </c>
      <c r="AV184" s="21">
        <f>EXP(-LN(2)/25)*AV183+(1-EXP(-LN(2)/25))/(LN(2)/25)*Calculateur!AQ184*Calculateur!AS184*VLOOKUP('Données projet'!$B$10,Paramètres!$A$1:$I$89,3,0)*0.475*44/12</f>
        <v>2.0348793104039458</v>
      </c>
      <c r="AW184" s="21">
        <f>EXP(-LN(2)/2)*AW183+(1-EXP(-LN(2)/2))/(LN(2)/2)*AQ184*AT184*VLOOKUP('Données projet'!$B$10,Paramètres!$A$1:$I$89,3,0)*0.475*44/12</f>
        <v>2.7018579414779257E-19</v>
      </c>
      <c r="AX184" s="21">
        <f t="shared" si="166"/>
        <v>12.625199574296733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0</v>
      </c>
      <c r="BJ184" s="59">
        <f t="shared" si="146"/>
        <v>0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0</v>
      </c>
      <c r="CE184" s="59">
        <f t="shared" si="148"/>
        <v>0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354.30476036506167</v>
      </c>
      <c r="T185" s="59">
        <f t="shared" si="142"/>
        <v>593.51433014569966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11.629549014119513</v>
      </c>
      <c r="AA185" s="21">
        <f>EXP(-LN(2)/25)*AA184+(1-EXP(-LN(2)/25))/(LN(2)/25)*Calculateur!V185*Calculateur!X185*VLOOKUP('Données projet'!$B$9,Paramètres!$A$1:$I$89,3,0)*0.475*44/12</f>
        <v>2.0906402324795121</v>
      </c>
      <c r="AB185" s="21">
        <f>EXP(-LN(2)/2)*AB184+(1-EXP(-LN(2)/2))/(LN(2)/2)*V185*Y185*VLOOKUP('Données projet'!$B$9,Paramètres!$A$1:$I$89,3,0)*0.475*44/12</f>
        <v>2.0938532530866342E-19</v>
      </c>
      <c r="AC185" s="22">
        <f t="shared" si="163"/>
        <v>13.720189246599025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280.11276976762787</v>
      </c>
      <c r="AO185" s="59">
        <f t="shared" si="144"/>
        <v>471.89239871617241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10.382650542975393</v>
      </c>
      <c r="AV185" s="21">
        <f>EXP(-LN(2)/25)*AV184+(1-EXP(-LN(2)/25))/(LN(2)/25)*Calculateur!AQ185*Calculateur!AS185*VLOOKUP('Données projet'!$B$10,Paramètres!$A$1:$I$89,3,0)*0.475*44/12</f>
        <v>1.9792354286512976</v>
      </c>
      <c r="AW185" s="21">
        <f>EXP(-LN(2)/2)*AW184+(1-EXP(-LN(2)/2))/(LN(2)/2)*AQ185*AT185*VLOOKUP('Données projet'!$B$10,Paramètres!$A$1:$I$89,3,0)*0.475*44/12</f>
        <v>1.9105020722217674E-19</v>
      </c>
      <c r="AX185" s="21">
        <f t="shared" si="166"/>
        <v>12.361885971626691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0</v>
      </c>
      <c r="BJ185" s="59">
        <f t="shared" si="146"/>
        <v>0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0</v>
      </c>
      <c r="CE185" s="59">
        <f t="shared" si="148"/>
        <v>0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354.30476036506167</v>
      </c>
      <c r="T186" s="59">
        <f t="shared" si="142"/>
        <v>593.51433014569966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11.401500651277122</v>
      </c>
      <c r="AA186" s="21">
        <f>EXP(-LN(2)/25)*AA185+(1-EXP(-LN(2)/25))/(LN(2)/25)*Calculateur!V186*Calculateur!X186*VLOOKUP('Données projet'!$B$9,Paramètres!$A$1:$I$89,3,0)*0.475*44/12</f>
        <v>2.0334715653803683</v>
      </c>
      <c r="AB186" s="21">
        <f>EXP(-LN(2)/2)*AB185+(1-EXP(-LN(2)/2))/(LN(2)/2)*V186*Y186*VLOOKUP('Données projet'!$B$9,Paramètres!$A$1:$I$89,3,0)*0.475*44/12</f>
        <v>1.4805778340670713E-19</v>
      </c>
      <c r="AC186" s="22">
        <f t="shared" si="163"/>
        <v>13.43497221665749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280.11276976762787</v>
      </c>
      <c r="AO186" s="59">
        <f t="shared" si="144"/>
        <v>471.89239871617241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10.179053098619166</v>
      </c>
      <c r="AV186" s="21">
        <f>EXP(-LN(2)/25)*AV185+(1-EXP(-LN(2)/25))/(LN(2)/25)*Calculateur!AQ186*Calculateur!AS186*VLOOKUP('Données projet'!$B$10,Paramètres!$A$1:$I$89,3,0)*0.475*44/12</f>
        <v>1.9251131317713603</v>
      </c>
      <c r="AW186" s="21">
        <f>EXP(-LN(2)/2)*AW185+(1-EXP(-LN(2)/2))/(LN(2)/2)*AQ186*AT186*VLOOKUP('Données projet'!$B$10,Paramètres!$A$1:$I$89,3,0)*0.475*44/12</f>
        <v>1.3509289707389629E-19</v>
      </c>
      <c r="AX186" s="21">
        <f t="shared" si="166"/>
        <v>12.104166230390526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0</v>
      </c>
      <c r="BJ186" s="59">
        <f t="shared" si="146"/>
        <v>0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0</v>
      </c>
      <c r="CE186" s="59">
        <f t="shared" si="148"/>
        <v>0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354.30476036506167</v>
      </c>
      <c r="T187" s="59">
        <f t="shared" si="142"/>
        <v>593.51433014569966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11.177924177734301</v>
      </c>
      <c r="AA187" s="21">
        <f>EXP(-LN(2)/25)*AA186+(1-EXP(-LN(2)/25))/(LN(2)/25)*Calculateur!V187*Calculateur!X187*VLOOKUP('Données projet'!$B$9,Paramètres!$A$1:$I$89,3,0)*0.475*44/12</f>
        <v>1.97786617848942</v>
      </c>
      <c r="AB187" s="21">
        <f>EXP(-LN(2)/2)*AB186+(1-EXP(-LN(2)/2))/(LN(2)/2)*V187*Y187*VLOOKUP('Données projet'!$B$9,Paramètres!$A$1:$I$89,3,0)*0.475*44/12</f>
        <v>1.0469266265433171E-19</v>
      </c>
      <c r="AC187" s="22">
        <f t="shared" si="163"/>
        <v>13.15579035622372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280.11276976762787</v>
      </c>
      <c r="AO187" s="59">
        <f t="shared" si="144"/>
        <v>471.89239871617241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9.9794480759645854</v>
      </c>
      <c r="AV187" s="21">
        <f>EXP(-LN(2)/25)*AV186+(1-EXP(-LN(2)/25))/(LN(2)/25)*Calculateur!AQ187*Calculateur!AS187*VLOOKUP('Données projet'!$B$10,Paramètres!$A$1:$I$89,3,0)*0.475*44/12</f>
        <v>1.8724708119457727</v>
      </c>
      <c r="AW187" s="21">
        <f>EXP(-LN(2)/2)*AW186+(1-EXP(-LN(2)/2))/(LN(2)/2)*AQ187*AT187*VLOOKUP('Données projet'!$B$10,Paramètres!$A$1:$I$89,3,0)*0.475*44/12</f>
        <v>9.552510361108837E-20</v>
      </c>
      <c r="AX187" s="21">
        <f t="shared" si="166"/>
        <v>11.851918887910358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0</v>
      </c>
      <c r="BJ187" s="59">
        <f t="shared" si="146"/>
        <v>0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0</v>
      </c>
      <c r="CE187" s="59">
        <f t="shared" si="148"/>
        <v>0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354.30476036506167</v>
      </c>
      <c r="T188" s="59">
        <f t="shared" si="142"/>
        <v>593.51433014569966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10.958731902469472</v>
      </c>
      <c r="AA188" s="21">
        <f>EXP(-LN(2)/25)*AA187+(1-EXP(-LN(2)/25))/(LN(2)/25)*Calculateur!V188*Calculateur!X188*VLOOKUP('Données projet'!$B$9,Paramètres!$A$1:$I$89,3,0)*0.475*44/12</f>
        <v>1.923781323827165</v>
      </c>
      <c r="AB188" s="21">
        <f>EXP(-LN(2)/2)*AB187+(1-EXP(-LN(2)/2))/(LN(2)/2)*V188*Y188*VLOOKUP('Données projet'!$B$9,Paramètres!$A$1:$I$89,3,0)*0.475*44/12</f>
        <v>7.4028891703353566E-20</v>
      </c>
      <c r="AC188" s="22">
        <f t="shared" si="163"/>
        <v>12.882513226296638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280.11276976762787</v>
      </c>
      <c r="AO188" s="59">
        <f t="shared" si="144"/>
        <v>471.89239871617241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9.783757186057219</v>
      </c>
      <c r="AV188" s="21">
        <f>EXP(-LN(2)/25)*AV187+(1-EXP(-LN(2)/25))/(LN(2)/25)*Calculateur!AQ188*Calculateur!AS188*VLOOKUP('Données projet'!$B$10,Paramètres!$A$1:$I$89,3,0)*0.475*44/12</f>
        <v>1.8212679991241552</v>
      </c>
      <c r="AW188" s="21">
        <f>EXP(-LN(2)/2)*AW187+(1-EXP(-LN(2)/2))/(LN(2)/2)*AQ188*AT188*VLOOKUP('Données projet'!$B$10,Paramètres!$A$1:$I$89,3,0)*0.475*44/12</f>
        <v>6.7546448536948144E-20</v>
      </c>
      <c r="AX188" s="21">
        <f t="shared" si="166"/>
        <v>11.605025185181374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0</v>
      </c>
      <c r="BJ188" s="59">
        <f t="shared" si="146"/>
        <v>0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0</v>
      </c>
      <c r="CE188" s="59">
        <f t="shared" si="148"/>
        <v>0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354.30476036506167</v>
      </c>
      <c r="T189" s="59">
        <f t="shared" si="142"/>
        <v>593.51433014569966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10.743837854028499</v>
      </c>
      <c r="AA189" s="21">
        <f>EXP(-LN(2)/25)*AA188+(1-EXP(-LN(2)/25))/(LN(2)/25)*Calculateur!V189*Calculateur!X189*VLOOKUP('Données projet'!$B$9,Paramètres!$A$1:$I$89,3,0)*0.475*44/12</f>
        <v>1.8711754223598482</v>
      </c>
      <c r="AB189" s="21">
        <f>EXP(-LN(2)/2)*AB188+(1-EXP(-LN(2)/2))/(LN(2)/2)*V189*Y189*VLOOKUP('Données projet'!$B$9,Paramètres!$A$1:$I$89,3,0)*0.475*44/12</f>
        <v>5.2346331327165854E-20</v>
      </c>
      <c r="AC189" s="22">
        <f t="shared" si="163"/>
        <v>12.615013276388346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280.11276976762787</v>
      </c>
      <c r="AO189" s="59">
        <f t="shared" si="144"/>
        <v>471.89239871617241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9.5919036751412783</v>
      </c>
      <c r="AV189" s="21">
        <f>EXP(-LN(2)/25)*AV188+(1-EXP(-LN(2)/25))/(LN(2)/25)*Calculateur!AQ189*Calculateur!AS189*VLOOKUP('Données projet'!$B$10,Paramètres!$A$1:$I$89,3,0)*0.475*44/12</f>
        <v>1.7714653299117835</v>
      </c>
      <c r="AW189" s="21">
        <f>EXP(-LN(2)/2)*AW188+(1-EXP(-LN(2)/2))/(LN(2)/2)*AQ189*AT189*VLOOKUP('Données projet'!$B$10,Paramètres!$A$1:$I$89,3,0)*0.475*44/12</f>
        <v>4.7762551805544185E-20</v>
      </c>
      <c r="AX189" s="21">
        <f t="shared" si="166"/>
        <v>11.363369005053062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0</v>
      </c>
      <c r="BJ189" s="59">
        <f t="shared" si="146"/>
        <v>0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0</v>
      </c>
      <c r="CE189" s="59">
        <f t="shared" si="148"/>
        <v>0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354.30476036506167</v>
      </c>
      <c r="T190" s="59">
        <f t="shared" si="142"/>
        <v>593.51433014569966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10.533157746805026</v>
      </c>
      <c r="AA190" s="21">
        <f>EXP(-LN(2)/25)*AA189+(1-EXP(-LN(2)/25))/(LN(2)/25)*Calculateur!V190*Calculateur!X190*VLOOKUP('Données projet'!$B$9,Paramètres!$A$1:$I$89,3,0)*0.475*44/12</f>
        <v>1.8200080320345793</v>
      </c>
      <c r="AB190" s="21">
        <f>EXP(-LN(2)/2)*AB189+(1-EXP(-LN(2)/2))/(LN(2)/2)*V190*Y190*VLOOKUP('Données projet'!$B$9,Paramètres!$A$1:$I$89,3,0)*0.475*44/12</f>
        <v>3.7014445851676783E-20</v>
      </c>
      <c r="AC190" s="22">
        <f t="shared" si="163"/>
        <v>12.353165778839605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280.11276976762787</v>
      </c>
      <c r="AO190" s="59">
        <f t="shared" si="144"/>
        <v>471.89239871617241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9.403812294555312</v>
      </c>
      <c r="AV190" s="21">
        <f>EXP(-LN(2)/25)*AV189+(1-EXP(-LN(2)/25))/(LN(2)/25)*Calculateur!AQ190*Calculateur!AS190*VLOOKUP('Données projet'!$B$10,Paramètres!$A$1:$I$89,3,0)*0.475*44/12</f>
        <v>1.7230245173080327</v>
      </c>
      <c r="AW190" s="21">
        <f>EXP(-LN(2)/2)*AW189+(1-EXP(-LN(2)/2))/(LN(2)/2)*AQ190*AT190*VLOOKUP('Données projet'!$B$10,Paramètres!$A$1:$I$89,3,0)*0.475*44/12</f>
        <v>3.3773224268474072E-20</v>
      </c>
      <c r="AX190" s="21">
        <f t="shared" si="166"/>
        <v>11.126836811863345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0</v>
      </c>
      <c r="BJ190" s="59">
        <f t="shared" si="146"/>
        <v>0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0</v>
      </c>
      <c r="CE190" s="59">
        <f t="shared" si="148"/>
        <v>0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354.30476036506167</v>
      </c>
      <c r="T191" s="59">
        <f t="shared" si="142"/>
        <v>593.51433014569966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10.326608947982029</v>
      </c>
      <c r="AA191" s="21">
        <f>EXP(-LN(2)/25)*AA190+(1-EXP(-LN(2)/25))/(LN(2)/25)*Calculateur!V191*Calculateur!X191*VLOOKUP('Données projet'!$B$9,Paramètres!$A$1:$I$89,3,0)*0.475*44/12</f>
        <v>1.7702398166885309</v>
      </c>
      <c r="AB191" s="21">
        <f>EXP(-LN(2)/2)*AB190+(1-EXP(-LN(2)/2))/(LN(2)/2)*V191*Y191*VLOOKUP('Données projet'!$B$9,Paramètres!$A$1:$I$89,3,0)*0.475*44/12</f>
        <v>2.6173165663582927E-20</v>
      </c>
      <c r="AC191" s="22">
        <f t="shared" si="163"/>
        <v>12.096848764670559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280.11276976762787</v>
      </c>
      <c r="AO191" s="59">
        <f t="shared" si="144"/>
        <v>471.89239871617241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9.2194092712182236</v>
      </c>
      <c r="AV191" s="21">
        <f>EXP(-LN(2)/25)*AV190+(1-EXP(-LN(2)/25))/(LN(2)/25)*Calculateur!AQ191*Calculateur!AS191*VLOOKUP('Données projet'!$B$10,Paramètres!$A$1:$I$89,3,0)*0.475*44/12</f>
        <v>1.6759083212723231</v>
      </c>
      <c r="AW191" s="21">
        <f>EXP(-LN(2)/2)*AW190+(1-EXP(-LN(2)/2))/(LN(2)/2)*AQ191*AT191*VLOOKUP('Données projet'!$B$10,Paramètres!$A$1:$I$89,3,0)*0.475*44/12</f>
        <v>2.3881275902772093E-20</v>
      </c>
      <c r="AX191" s="21">
        <f t="shared" si="166"/>
        <v>10.895317592490546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0</v>
      </c>
      <c r="BJ191" s="59">
        <f t="shared" si="146"/>
        <v>0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0</v>
      </c>
      <c r="CE191" s="59">
        <f t="shared" si="148"/>
        <v>0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354.30476036506167</v>
      </c>
      <c r="T192" s="59">
        <f t="shared" si="142"/>
        <v>593.51433014569966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10.124110445121623</v>
      </c>
      <c r="AA192" s="21">
        <f>EXP(-LN(2)/25)*AA191+(1-EXP(-LN(2)/25))/(LN(2)/25)*Calculateur!V192*Calculateur!X192*VLOOKUP('Données projet'!$B$9,Paramètres!$A$1:$I$89,3,0)*0.475*44/12</f>
        <v>1.721832515808317</v>
      </c>
      <c r="AB192" s="21">
        <f>EXP(-LN(2)/2)*AB191+(1-EXP(-LN(2)/2))/(LN(2)/2)*V192*Y192*VLOOKUP('Données projet'!$B$9,Paramètres!$A$1:$I$89,3,0)*0.475*44/12</f>
        <v>1.8507222925838392E-20</v>
      </c>
      <c r="AC192" s="22">
        <f t="shared" si="163"/>
        <v>11.845942960929939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280.11276976762787</v>
      </c>
      <c r="AO192" s="59">
        <f t="shared" si="144"/>
        <v>471.89239871617241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9.0386222786940369</v>
      </c>
      <c r="AV192" s="21">
        <f>EXP(-LN(2)/25)*AV191+(1-EXP(-LN(2)/25))/(LN(2)/25)*Calculateur!AQ192*Calculateur!AS192*VLOOKUP('Données projet'!$B$10,Paramètres!$A$1:$I$89,3,0)*0.475*44/12</f>
        <v>1.6300805200949431</v>
      </c>
      <c r="AW192" s="21">
        <f>EXP(-LN(2)/2)*AW191+(1-EXP(-LN(2)/2))/(LN(2)/2)*AQ192*AT192*VLOOKUP('Données projet'!$B$10,Paramètres!$A$1:$I$89,3,0)*0.475*44/12</f>
        <v>1.6886612134237036E-20</v>
      </c>
      <c r="AX192" s="21">
        <f t="shared" si="166"/>
        <v>10.66870279878898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0</v>
      </c>
      <c r="BJ192" s="59">
        <f t="shared" si="146"/>
        <v>0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0</v>
      </c>
      <c r="CE192" s="59">
        <f t="shared" si="148"/>
        <v>0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354.30476036506167</v>
      </c>
      <c r="T193" s="59">
        <f t="shared" si="142"/>
        <v>593.51433014569966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9.9255828143904186</v>
      </c>
      <c r="AA193" s="21">
        <f>EXP(-LN(2)/25)*AA192+(1-EXP(-LN(2)/25))/(LN(2)/25)*Calculateur!V193*Calculateur!X193*VLOOKUP('Données projet'!$B$9,Paramètres!$A$1:$I$89,3,0)*0.475*44/12</f>
        <v>1.6747489151163018</v>
      </c>
      <c r="AB193" s="21">
        <f>EXP(-LN(2)/2)*AB192+(1-EXP(-LN(2)/2))/(LN(2)/2)*V193*Y193*VLOOKUP('Données projet'!$B$9,Paramètres!$A$1:$I$89,3,0)*0.475*44/12</f>
        <v>1.3086582831791464E-20</v>
      </c>
      <c r="AC193" s="22">
        <f t="shared" si="163"/>
        <v>11.600331729506721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280.11276976762787</v>
      </c>
      <c r="AO193" s="59">
        <f t="shared" si="144"/>
        <v>471.89239871617241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8.861380408824072</v>
      </c>
      <c r="AV193" s="21">
        <f>EXP(-LN(2)/25)*AV192+(1-EXP(-LN(2)/25))/(LN(2)/25)*Calculateur!AQ193*Calculateur!AS193*VLOOKUP('Données projet'!$B$10,Paramètres!$A$1:$I$89,3,0)*0.475*44/12</f>
        <v>1.585505882550738</v>
      </c>
      <c r="AW193" s="21">
        <f>EXP(-LN(2)/2)*AW192+(1-EXP(-LN(2)/2))/(LN(2)/2)*AQ193*AT193*VLOOKUP('Données projet'!$B$10,Paramètres!$A$1:$I$89,3,0)*0.475*44/12</f>
        <v>1.1940637951386046E-20</v>
      </c>
      <c r="AX193" s="21">
        <f t="shared" si="166"/>
        <v>10.44688629137481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0</v>
      </c>
      <c r="BJ193" s="59">
        <f t="shared" si="146"/>
        <v>0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0</v>
      </c>
      <c r="CE193" s="59">
        <f t="shared" si="148"/>
        <v>0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354.30476036506167</v>
      </c>
      <c r="T194" s="59">
        <f t="shared" si="142"/>
        <v>593.51433014569966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9.7309481894079557</v>
      </c>
      <c r="AA194" s="21">
        <f>EXP(-LN(2)/25)*AA193+(1-EXP(-LN(2)/25))/(LN(2)/25)*Calculateur!V194*Calculateur!X194*VLOOKUP('Données projet'!$B$9,Paramètres!$A$1:$I$89,3,0)*0.475*44/12</f>
        <v>1.6289528179612287</v>
      </c>
      <c r="AB194" s="21">
        <f>EXP(-LN(2)/2)*AB193+(1-EXP(-LN(2)/2))/(LN(2)/2)*V194*Y194*VLOOKUP('Données projet'!$B$9,Paramètres!$A$1:$I$89,3,0)*0.475*44/12</f>
        <v>9.2536114629191958E-21</v>
      </c>
      <c r="AC194" s="22">
        <f t="shared" si="163"/>
        <v>11.359901007369185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280.11276976762787</v>
      </c>
      <c r="AO194" s="59">
        <f t="shared" si="144"/>
        <v>471.89239871617241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8.6876141439153916</v>
      </c>
      <c r="AV194" s="21">
        <f>EXP(-LN(2)/25)*AV193+(1-EXP(-LN(2)/25))/(LN(2)/25)*Calculateur!AQ194*Calculateur!AS194*VLOOKUP('Données projet'!$B$10,Paramètres!$A$1:$I$89,3,0)*0.475*44/12</f>
        <v>1.5421501408142575</v>
      </c>
      <c r="AW194" s="21">
        <f>EXP(-LN(2)/2)*AW193+(1-EXP(-LN(2)/2))/(LN(2)/2)*AQ194*AT194*VLOOKUP('Données projet'!$B$10,Paramètres!$A$1:$I$89,3,0)*0.475*44/12</f>
        <v>8.443306067118518E-21</v>
      </c>
      <c r="AX194" s="21">
        <f t="shared" si="166"/>
        <v>10.229764284729649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0</v>
      </c>
      <c r="BJ194" s="59">
        <f t="shared" si="146"/>
        <v>0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0</v>
      </c>
      <c r="CE194" s="59">
        <f t="shared" si="148"/>
        <v>0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354.30476036506167</v>
      </c>
      <c r="T195" s="59">
        <f t="shared" si="142"/>
        <v>593.51433014569966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9.5401302307059996</v>
      </c>
      <c r="AA195" s="21">
        <f>EXP(-LN(2)/25)*AA194+(1-EXP(-LN(2)/25))/(LN(2)/25)*Calculateur!V195*Calculateur!X195*VLOOKUP('Données projet'!$B$9,Paramètres!$A$1:$I$89,3,0)*0.475*44/12</f>
        <v>1.5844090174911731</v>
      </c>
      <c r="AB195" s="21">
        <f>EXP(-LN(2)/2)*AB194+(1-EXP(-LN(2)/2))/(LN(2)/2)*V195*Y195*VLOOKUP('Données projet'!$B$9,Paramètres!$A$1:$I$89,3,0)*0.475*44/12</f>
        <v>6.5432914158957318E-21</v>
      </c>
      <c r="AC195" s="22">
        <f t="shared" si="163"/>
        <v>11.124539248197173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280.11276976762787</v>
      </c>
      <c r="AO195" s="59">
        <f t="shared" si="144"/>
        <v>471.89239871617241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8.5172553294746134</v>
      </c>
      <c r="AV195" s="21">
        <f>EXP(-LN(2)/25)*AV194+(1-EXP(-LN(2)/25))/(LN(2)/25)*Calculateur!AQ195*Calculateur!AS195*VLOOKUP('Données projet'!$B$10,Paramètres!$A$1:$I$89,3,0)*0.475*44/12</f>
        <v>1.4999799641155402</v>
      </c>
      <c r="AW195" s="21">
        <f>EXP(-LN(2)/2)*AW194+(1-EXP(-LN(2)/2))/(LN(2)/2)*AQ195*AT195*VLOOKUP('Données projet'!$B$10,Paramètres!$A$1:$I$89,3,0)*0.475*44/12</f>
        <v>5.9703189756930231E-21</v>
      </c>
      <c r="AX195" s="21">
        <f t="shared" si="166"/>
        <v>10.017235293590154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0</v>
      </c>
      <c r="BJ195" s="59">
        <f t="shared" si="146"/>
        <v>0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0</v>
      </c>
      <c r="CE195" s="59">
        <f t="shared" si="148"/>
        <v>0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354.30476036506167</v>
      </c>
      <c r="T196" s="59">
        <f t="shared" si="142"/>
        <v>593.51433014569966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9.3530540957867263</v>
      </c>
      <c r="AA196" s="21">
        <f>EXP(-LN(2)/25)*AA195+(1-EXP(-LN(2)/25))/(LN(2)/25)*Calculateur!V196*Calculateur!X196*VLOOKUP('Données projet'!$B$9,Paramètres!$A$1:$I$89,3,0)*0.475*44/12</f>
        <v>1.5410832695874279</v>
      </c>
      <c r="AB196" s="21">
        <f>EXP(-LN(2)/2)*AB195+(1-EXP(-LN(2)/2))/(LN(2)/2)*V196*Y196*VLOOKUP('Données projet'!$B$9,Paramètres!$A$1:$I$89,3,0)*0.475*44/12</f>
        <v>4.6268057314595979E-21</v>
      </c>
      <c r="AC196" s="22">
        <f t="shared" si="163"/>
        <v>10.894137365374155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280.11276976762787</v>
      </c>
      <c r="AO196" s="59">
        <f t="shared" si="144"/>
        <v>471.89239871617241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8.3502371474764026</v>
      </c>
      <c r="AV196" s="21">
        <f>EXP(-LN(2)/25)*AV195+(1-EXP(-LN(2)/25))/(LN(2)/25)*Calculateur!AQ196*Calculateur!AS196*VLOOKUP('Données projet'!$B$10,Paramètres!$A$1:$I$89,3,0)*0.475*44/12</f>
        <v>1.4589629331162828</v>
      </c>
      <c r="AW196" s="21">
        <f>EXP(-LN(2)/2)*AW195+(1-EXP(-LN(2)/2))/(LN(2)/2)*AQ196*AT196*VLOOKUP('Données projet'!$B$10,Paramètres!$A$1:$I$89,3,0)*0.475*44/12</f>
        <v>4.221653033559259E-21</v>
      </c>
      <c r="AX196" s="21">
        <f t="shared" si="166"/>
        <v>9.8092000805926851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0</v>
      </c>
      <c r="BJ196" s="59">
        <f t="shared" si="146"/>
        <v>0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0</v>
      </c>
      <c r="CE196" s="59">
        <f t="shared" si="148"/>
        <v>0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354.30476036506167</v>
      </c>
      <c r="T197" s="59">
        <f t="shared" ref="T197:T203" si="204">$T$3</f>
        <v>593.51433014569966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9.1696464097680455</v>
      </c>
      <c r="AA197" s="21">
        <f>EXP(-LN(2)/25)*AA196+(1-EXP(-LN(2)/25))/(LN(2)/25)*Calculateur!V197*Calculateur!X197*VLOOKUP('Données projet'!$B$9,Paramètres!$A$1:$I$89,3,0)*0.475*44/12</f>
        <v>1.4989422665385128</v>
      </c>
      <c r="AB197" s="21">
        <f>EXP(-LN(2)/2)*AB196+(1-EXP(-LN(2)/2))/(LN(2)/2)*V197*Y197*VLOOKUP('Données projet'!$B$9,Paramètres!$A$1:$I$89,3,0)*0.475*44/12</f>
        <v>3.2716457079478659E-21</v>
      </c>
      <c r="AC197" s="22">
        <f t="shared" si="163"/>
        <v>10.668588676306559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280.11276976762787</v>
      </c>
      <c r="AO197" s="59">
        <f t="shared" ref="AO197:AO203" si="205">$AO$3</f>
        <v>471.89239871617241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8.1864940901561436</v>
      </c>
      <c r="AV197" s="21">
        <f>EXP(-LN(2)/25)*AV196+(1-EXP(-LN(2)/25))/(LN(2)/25)*Calculateur!AQ197*Calculateur!AS197*VLOOKUP('Données projet'!$B$10,Paramètres!$A$1:$I$89,3,0)*0.475*44/12</f>
        <v>1.4190675149866918</v>
      </c>
      <c r="AW197" s="21">
        <f>EXP(-LN(2)/2)*AW196+(1-EXP(-LN(2)/2))/(LN(2)/2)*AQ197*AT197*VLOOKUP('Données projet'!$B$10,Paramètres!$A$1:$I$89,3,0)*0.475*44/12</f>
        <v>2.9851594878465116E-21</v>
      </c>
      <c r="AX197" s="21">
        <f t="shared" si="166"/>
        <v>9.6055616051428352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0</v>
      </c>
      <c r="BJ197" s="59">
        <f t="shared" ref="BJ197:BJ203" si="206">$BJ$3</f>
        <v>0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0</v>
      </c>
      <c r="CE197" s="59">
        <f t="shared" ref="CE197:CE203" si="207">$CE$3</f>
        <v>0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354.30476036506167</v>
      </c>
      <c r="T198" s="59">
        <f t="shared" si="204"/>
        <v>593.51433014569966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8.9898352366045486</v>
      </c>
      <c r="AA198" s="21">
        <f>EXP(-LN(2)/25)*AA197+(1-EXP(-LN(2)/25))/(LN(2)/25)*Calculateur!V198*Calculateur!X198*VLOOKUP('Données projet'!$B$9,Paramètres!$A$1:$I$89,3,0)*0.475*44/12</f>
        <v>1.4579536114340692</v>
      </c>
      <c r="AB198" s="21">
        <f>EXP(-LN(2)/2)*AB197+(1-EXP(-LN(2)/2))/(LN(2)/2)*V198*Y198*VLOOKUP('Données projet'!$B$9,Paramètres!$A$1:$I$89,3,0)*0.475*44/12</f>
        <v>2.313402865729799E-21</v>
      </c>
      <c r="AC198" s="22">
        <f t="shared" si="163"/>
        <v>10.447788848038618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280.11276976762787</v>
      </c>
      <c r="AO198" s="59">
        <f t="shared" si="205"/>
        <v>471.89239871617241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8.0259619343165323</v>
      </c>
      <c r="AV198" s="21">
        <f>EXP(-LN(2)/25)*AV197+(1-EXP(-LN(2)/25))/(LN(2)/25)*Calculateur!AQ198*Calculateur!AS198*VLOOKUP('Données projet'!$B$10,Paramètres!$A$1:$I$89,3,0)*0.475*44/12</f>
        <v>1.3802630391638635</v>
      </c>
      <c r="AW198" s="21">
        <f>EXP(-LN(2)/2)*AW197+(1-EXP(-LN(2)/2))/(LN(2)/2)*AQ198*AT198*VLOOKUP('Données projet'!$B$10,Paramètres!$A$1:$I$89,3,0)*0.475*44/12</f>
        <v>2.1108265167796295E-21</v>
      </c>
      <c r="AX198" s="21">
        <f t="shared" si="166"/>
        <v>9.4062249734803949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0</v>
      </c>
      <c r="BJ198" s="59">
        <f t="shared" si="206"/>
        <v>0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0</v>
      </c>
      <c r="CE198" s="59">
        <f t="shared" si="207"/>
        <v>0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354.30476036506167</v>
      </c>
      <c r="T199" s="59">
        <f t="shared" si="204"/>
        <v>593.51433014569966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8.8135500508728004</v>
      </c>
      <c r="AA199" s="21">
        <f>EXP(-LN(2)/25)*AA198+(1-EXP(-LN(2)/25))/(LN(2)/25)*Calculateur!V199*Calculateur!X199*VLOOKUP('Données projet'!$B$9,Paramètres!$A$1:$I$89,3,0)*0.475*44/12</f>
        <v>1.4180857932589563</v>
      </c>
      <c r="AB199" s="21">
        <f>EXP(-LN(2)/2)*AB198+(1-EXP(-LN(2)/2))/(LN(2)/2)*V199*Y199*VLOOKUP('Données projet'!$B$9,Paramètres!$A$1:$I$89,3,0)*0.475*44/12</f>
        <v>1.6358228539739329E-21</v>
      </c>
      <c r="AC199" s="22">
        <f t="shared" si="163"/>
        <v>10.231635844131757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280.11276976762787</v>
      </c>
      <c r="AO199" s="59">
        <f t="shared" si="205"/>
        <v>471.89239871617241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7.8685777161379891</v>
      </c>
      <c r="AV199" s="21">
        <f>EXP(-LN(2)/25)*AV198+(1-EXP(-LN(2)/25))/(LN(2)/25)*Calculateur!AQ199*Calculateur!AS199*VLOOKUP('Données projet'!$B$10,Paramètres!$A$1:$I$89,3,0)*0.475*44/12</f>
        <v>1.3425196737730491</v>
      </c>
      <c r="AW199" s="21">
        <f>EXP(-LN(2)/2)*AW198+(1-EXP(-LN(2)/2))/(LN(2)/2)*AQ199*AT199*VLOOKUP('Données projet'!$B$10,Paramètres!$A$1:$I$89,3,0)*0.475*44/12</f>
        <v>1.4925797439232558E-21</v>
      </c>
      <c r="AX199" s="21">
        <f t="shared" si="166"/>
        <v>9.2110973899110391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0</v>
      </c>
      <c r="BJ199" s="59">
        <f t="shared" si="206"/>
        <v>0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0</v>
      </c>
      <c r="CE199" s="59">
        <f t="shared" si="207"/>
        <v>0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354.30476036506167</v>
      </c>
      <c r="T200" s="59">
        <f t="shared" si="204"/>
        <v>593.51433014569966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8.6407217101099061</v>
      </c>
      <c r="AA200" s="21">
        <f>EXP(-LN(2)/25)*AA199+(1-EXP(-LN(2)/25))/(LN(2)/25)*Calculateur!V200*Calculateur!X200*VLOOKUP('Données projet'!$B$9,Paramètres!$A$1:$I$89,3,0)*0.475*44/12</f>
        <v>1.3793081626683994</v>
      </c>
      <c r="AB200" s="21">
        <f>EXP(-LN(2)/2)*AB199+(1-EXP(-LN(2)/2))/(LN(2)/2)*V200*Y200*VLOOKUP('Données projet'!$B$9,Paramètres!$A$1:$I$89,3,0)*0.475*44/12</f>
        <v>1.1567014328648995E-21</v>
      </c>
      <c r="AC200" s="22">
        <f t="shared" si="163"/>
        <v>10.020029872778306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280.11276976762787</v>
      </c>
      <c r="AO200" s="59">
        <f t="shared" si="205"/>
        <v>471.89239871617241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7.7142797064830324</v>
      </c>
      <c r="AV200" s="21">
        <f>EXP(-LN(2)/25)*AV199+(1-EXP(-LN(2)/25))/(LN(2)/25)*Calculateur!AQ200*Calculateur!AS200*VLOOKUP('Données projet'!$B$10,Paramètres!$A$1:$I$89,3,0)*0.475*44/12</f>
        <v>1.3058084026936838</v>
      </c>
      <c r="AW200" s="21">
        <f>EXP(-LN(2)/2)*AW199+(1-EXP(-LN(2)/2))/(LN(2)/2)*AQ200*AT200*VLOOKUP('Données projet'!$B$10,Paramètres!$A$1:$I$89,3,0)*0.475*44/12</f>
        <v>1.0554132583898147E-21</v>
      </c>
      <c r="AX200" s="21">
        <f t="shared" si="166"/>
        <v>9.0200881091767169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0</v>
      </c>
      <c r="BJ200" s="59">
        <f t="shared" si="206"/>
        <v>0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0</v>
      </c>
      <c r="CE200" s="59">
        <f t="shared" si="207"/>
        <v>0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354.30476036506167</v>
      </c>
      <c r="T201" s="59">
        <f t="shared" si="204"/>
        <v>593.51433014569966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8.4712824276944936</v>
      </c>
      <c r="AA201" s="21">
        <f>EXP(-LN(2)/25)*AA200+(1-EXP(-LN(2)/25))/(LN(2)/25)*Calculateur!V201*Calculateur!X201*VLOOKUP('Données projet'!$B$9,Paramètres!$A$1:$I$89,3,0)*0.475*44/12</f>
        <v>1.3415909084255682</v>
      </c>
      <c r="AB201" s="21">
        <f>EXP(-LN(2)/2)*AB200+(1-EXP(-LN(2)/2))/(LN(2)/2)*V201*Y201*VLOOKUP('Données projet'!$B$9,Paramètres!$A$1:$I$89,3,0)*0.475*44/12</f>
        <v>8.1791142698696647E-22</v>
      </c>
      <c r="AC201" s="22">
        <f t="shared" si="163"/>
        <v>9.8128733361200613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280.11276976762787</v>
      </c>
      <c r="AO201" s="59">
        <f t="shared" si="205"/>
        <v>471.89239871617241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7.5630073866849168</v>
      </c>
      <c r="AV201" s="21">
        <f>EXP(-LN(2)/25)*AV200+(1-EXP(-LN(2)/25))/(LN(2)/25)*Calculateur!AQ201*Calculateur!AS201*VLOOKUP('Données projet'!$B$10,Paramètres!$A$1:$I$89,3,0)*0.475*44/12</f>
        <v>1.2701010032525455</v>
      </c>
      <c r="AW201" s="21">
        <f>EXP(-LN(2)/2)*AW200+(1-EXP(-LN(2)/2))/(LN(2)/2)*AQ201*AT201*VLOOKUP('Données projet'!$B$10,Paramètres!$A$1:$I$89,3,0)*0.475*44/12</f>
        <v>7.4628987196162789E-22</v>
      </c>
      <c r="AX201" s="21">
        <f t="shared" si="166"/>
        <v>8.8331083899374629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0</v>
      </c>
      <c r="BJ201" s="59">
        <f t="shared" si="206"/>
        <v>0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0</v>
      </c>
      <c r="CE201" s="59">
        <f t="shared" si="207"/>
        <v>0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354.30476036506167</v>
      </c>
      <c r="T202" s="59">
        <f t="shared" si="204"/>
        <v>593.51433014569966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8.3051657462594886</v>
      </c>
      <c r="AA202" s="21">
        <f>EXP(-LN(2)/25)*AA201+(1-EXP(-LN(2)/25))/(LN(2)/25)*Calculateur!V202*Calculateur!X202*VLOOKUP('Données projet'!$B$9,Paramètres!$A$1:$I$89,3,0)*0.475*44/12</f>
        <v>1.3049050344834714</v>
      </c>
      <c r="AB202" s="21">
        <f>EXP(-LN(2)/2)*AB201+(1-EXP(-LN(2)/2))/(LN(2)/2)*V202*Y202*VLOOKUP('Données projet'!$B$9,Paramètres!$A$1:$I$89,3,0)*0.475*44/12</f>
        <v>5.7835071643244974E-22</v>
      </c>
      <c r="AC202" s="22">
        <f t="shared" si="163"/>
        <v>9.6100707807429604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280.11276976762787</v>
      </c>
      <c r="AO202" s="59">
        <f t="shared" si="205"/>
        <v>471.89239871617241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7.4147014248110379</v>
      </c>
      <c r="AV202" s="21">
        <f>EXP(-LN(2)/25)*AV201+(1-EXP(-LN(2)/25))/(LN(2)/25)*Calculateur!AQ202*Calculateur!AS202*VLOOKUP('Données projet'!$B$10,Paramètres!$A$1:$I$89,3,0)*0.475*44/12</f>
        <v>1.2353700245268957</v>
      </c>
      <c r="AW202" s="21">
        <f>EXP(-LN(2)/2)*AW201+(1-EXP(-LN(2)/2))/(LN(2)/2)*AQ202*AT202*VLOOKUP('Données projet'!$B$10,Paramètres!$A$1:$I$89,3,0)*0.475*44/12</f>
        <v>5.2770662919490737E-22</v>
      </c>
      <c r="AX202" s="21">
        <f t="shared" si="166"/>
        <v>8.6500714493379327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0</v>
      </c>
      <c r="BJ202" s="59">
        <f t="shared" si="206"/>
        <v>0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0</v>
      </c>
      <c r="CE202" s="59">
        <f t="shared" si="207"/>
        <v>0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354.30476036506167</v>
      </c>
      <c r="T203" s="59">
        <f t="shared" si="204"/>
        <v>593.51433014569966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8.1423065116262539</v>
      </c>
      <c r="AA203" s="21">
        <f>EXP(-LN(2)/25)*AA202+(1-EXP(-LN(2)/25))/(LN(2)/25)*Calculateur!V203*Calculateur!X203*VLOOKUP('Données projet'!$B$9,Paramètres!$A$1:$I$89,3,0)*0.475*44/12</f>
        <v>1.2692223376935474</v>
      </c>
      <c r="AB203" s="21">
        <f>EXP(-LN(2)/2)*AB202+(1-EXP(-LN(2)/2))/(LN(2)/2)*V203*Y203*VLOOKUP('Données projet'!$B$9,Paramètres!$A$1:$I$89,3,0)*0.475*44/12</f>
        <v>4.0895571349348324E-22</v>
      </c>
      <c r="AC203" s="22">
        <f t="shared" si="163"/>
        <v>9.4115288493198008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280.11276976762787</v>
      </c>
      <c r="AO203" s="59">
        <f t="shared" si="205"/>
        <v>471.89239871617241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7.2693036523918009</v>
      </c>
      <c r="AV203" s="21">
        <f>EXP(-LN(2)/25)*AV202+(1-EXP(-LN(2)/25))/(LN(2)/25)*Calculateur!AQ203*Calculateur!AS203*VLOOKUP('Données projet'!$B$10,Paramètres!$A$1:$I$89,3,0)*0.475*44/12</f>
        <v>1.2015887662409217</v>
      </c>
      <c r="AW203" s="21">
        <f>EXP(-LN(2)/2)*AW202+(1-EXP(-LN(2)/2))/(LN(2)/2)*AQ203*AT203*VLOOKUP('Données projet'!$B$10,Paramètres!$A$1:$I$89,3,0)*0.475*44/12</f>
        <v>3.7314493598081395E-22</v>
      </c>
      <c r="AX203" s="21">
        <f t="shared" si="166"/>
        <v>8.4708924186327224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0</v>
      </c>
      <c r="BJ203" s="59">
        <f t="shared" si="206"/>
        <v>0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0</v>
      </c>
      <c r="CE203" s="59">
        <f t="shared" si="207"/>
        <v>0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1.4037863041747067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1.3070441688874561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59" zoomScaleNormal="90" workbookViewId="0">
      <selection activeCell="J13" sqref="J1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5.9899267200000006</v>
      </c>
      <c r="C6" s="147">
        <f ca="1">IF(OR('Données projet'!B9="",'Données projet'!C9="",'Données projet'!C9=0%),0,Calculateur!S3)</f>
        <v>354.30476036506167</v>
      </c>
      <c r="D6" s="147">
        <f>IF(OR('Données projet'!B9="",'Données projet'!C9="",'Données projet'!C9=0%),0,Calculateur!T3)</f>
        <v>593.51433014569966</v>
      </c>
      <c r="E6" s="147">
        <f ca="1">MIN(C6,D6)</f>
        <v>354.30476036506167</v>
      </c>
      <c r="F6" s="147">
        <f ca="1">E6*B6</f>
        <v>2122.25955113388</v>
      </c>
      <c r="G6" s="147">
        <f ca="1">F6*(100%-'Données projet'!$C$24)*(100%-'Données projet'!$C$25)*(100%-'Données projet'!$C$26)*(100%-'Données projet'!$C$27)</f>
        <v>1910.033596020492</v>
      </c>
      <c r="H6" s="148">
        <f>IF(OR('Données projet'!B9="",'Données projet'!C9="",'Données projet'!C9=0%),0,AVERAGE(Calculateur!$AC$3:$AC$33)*B6)</f>
        <v>57.968208067516287</v>
      </c>
      <c r="I6" s="149">
        <f>H6*(100%-'Données projet'!$C$24)*(100%-'Données projet'!$C$25)*(100%-'Données projet'!$C$26)*(100%-'Données projet'!$C$27)</f>
        <v>52.171387260764661</v>
      </c>
      <c r="J6" s="150">
        <f>IF(OR('Données projet'!B9="",'Données projet'!C9="",'Données projet'!C9=0%),0,SUM(Calculateur!$V$3:$V$33)*VLOOKUP('Données projet'!$B$9,Paramètres!$A$1:$I$89,9,0)*B6)</f>
        <v>497.10401849280004</v>
      </c>
      <c r="K6" s="151">
        <f>J6*(100%-'Données projet'!$C$24)*(100%-'Données projet'!$C$25)*(100%-'Données projet'!$C$26)*(100%-'Données projet'!$C$27)</f>
        <v>447.39361664352003</v>
      </c>
      <c r="L6" s="152">
        <f ca="1">G6+I6+K6</f>
        <v>2409.5985999247769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Douglas</v>
      </c>
      <c r="B7" s="154">
        <f>'Données projet'!D10</f>
        <v>3.2220492800000002</v>
      </c>
      <c r="C7" s="147">
        <f ca="1">IF(OR('Données projet'!B10="",'Données projet'!C10="",'Données projet'!C10=0%),0,Calculateur!AN3)</f>
        <v>280.11276976762787</v>
      </c>
      <c r="D7" s="147">
        <f>IF(OR('Données projet'!B10="",'Données projet'!C10="",'Données projet'!C10=0%),0,Calculateur!AO3)</f>
        <v>471.89239871617241</v>
      </c>
      <c r="E7" s="147">
        <f t="shared" ref="E7:E15" ca="1" si="0">MIN(C7,D7)</f>
        <v>280.11276976762787</v>
      </c>
      <c r="F7" s="147">
        <f t="shared" ref="F7:F15" ca="1" si="1">E7*B7</f>
        <v>902.5371481485912</v>
      </c>
      <c r="G7" s="147">
        <f ca="1">F7*(100%-'Données projet'!$C$24)*(100%-'Données projet'!$C$25)*(100%-'Données projet'!$C$26)*(100%-'Données projet'!$C$27)</f>
        <v>812.28343333373209</v>
      </c>
      <c r="H7" s="155">
        <f>IF(OR('Données projet'!B10="",'Données projet'!C10="",'Données projet'!C10=0%),0,AVERAGE(Calculateur!$AX$3:$AX$33)*B7)</f>
        <v>14.44132033666385</v>
      </c>
      <c r="I7" s="149">
        <f>H7*(100%-'Données projet'!$C$24)*(100%-'Données projet'!$C$25)*(100%-'Données projet'!$C$26)*(100%-'Données projet'!$C$27)</f>
        <v>12.997188302997465</v>
      </c>
      <c r="J7" s="150">
        <f>IF(OR('Données projet'!B10="",'Données projet'!C10="",'Données projet'!C10=0%),0,SUM(Calculateur!$AQ$3:$AQ$33)*VLOOKUP('Données projet'!$B$10,Paramètres!$A$1:$I$89,9,0)*B7)</f>
        <v>149.63196856319999</v>
      </c>
      <c r="K7" s="151">
        <f>J7*(100%-'Données projet'!$C$24)*(100%-'Données projet'!$C$25)*(100%-'Données projet'!$C$26)*(100%-'Données projet'!$C$27)</f>
        <v>134.66877170687999</v>
      </c>
      <c r="L7" s="152">
        <f t="shared" ref="L7:L15" ca="1" si="2">G7+I7+K7</f>
        <v>959.94939334360947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Hêtre</v>
      </c>
      <c r="B8" s="154">
        <f>'Données projet'!D11</f>
        <v>0.53558000000000006</v>
      </c>
      <c r="C8" s="147">
        <f ca="1"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ca="1" si="0"/>
        <v>0</v>
      </c>
      <c r="F8" s="147">
        <f t="shared" ca="1" si="1"/>
        <v>0</v>
      </c>
      <c r="G8" s="147">
        <f ca="1"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Chêne sessile</v>
      </c>
      <c r="B9" s="154">
        <f>'Données projet'!D12</f>
        <v>0.96404400000000001</v>
      </c>
      <c r="C9" s="147">
        <f ca="1"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ca="1" si="0"/>
        <v>0</v>
      </c>
      <c r="F9" s="147">
        <f t="shared" ca="1" si="1"/>
        <v>0</v>
      </c>
      <c r="G9" s="147">
        <f ca="1"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3024.7966992824713</v>
      </c>
      <c r="G16" s="166">
        <f t="shared" ca="1" si="3"/>
        <v>2722.3170293542244</v>
      </c>
      <c r="H16" s="167">
        <f t="shared" si="3"/>
        <v>72.409528404180136</v>
      </c>
      <c r="I16" s="167">
        <f t="shared" si="3"/>
        <v>65.168575563762118</v>
      </c>
      <c r="J16" s="168">
        <f t="shared" si="3"/>
        <v>646.735987056</v>
      </c>
      <c r="K16" s="168">
        <f t="shared" si="3"/>
        <v>582.06238835040006</v>
      </c>
      <c r="L16" s="169">
        <f t="shared" ca="1" si="3"/>
        <v>3369.5479932683866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Normal="80" workbookViewId="0">
      <selection activeCell="M33" sqref="M33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7463.8924350373582</v>
      </c>
      <c r="U10" s="178">
        <f>'Données projet'!D9</f>
        <v>5.9899267200000006</v>
      </c>
      <c r="V10" s="177">
        <f>U10*T10</f>
        <v>44708.168731836144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5675.3103368509528</v>
      </c>
      <c r="U11" s="178">
        <f>'Données projet'!D10</f>
        <v>3.2220492800000002</v>
      </c>
      <c r="V11" s="177">
        <f t="shared" ref="V11" si="0">U11*T11</f>
        <v>18286.129584627171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0.53558000000000006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0.96404400000000001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359.99999999999989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92976.25/10.9069</f>
        <v>8524.5349274312593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30729.95/10.9069</f>
        <v>2817.4779268169691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9049.35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4</v>
      </c>
      <c r="I23" s="191">
        <f>6477.95/10.9069</f>
        <v>593.93136454904686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-226975.43637105037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43</v>
      </c>
      <c r="C24" s="193">
        <v>10</v>
      </c>
      <c r="D24" s="182">
        <f t="shared" ref="D24:D42" si="2">B24*C24</f>
        <v>430</v>
      </c>
      <c r="E24" s="193"/>
      <c r="F24" s="233"/>
      <c r="H24" s="190">
        <v>5</v>
      </c>
      <c r="I24" s="191">
        <f>6626.3/10.9069</f>
        <v>607.53284617994109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1029.5990517977325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60</v>
      </c>
      <c r="C25" s="193">
        <v>20</v>
      </c>
      <c r="D25" s="182">
        <f t="shared" si="2"/>
        <v>1200</v>
      </c>
      <c r="E25" s="193"/>
      <c r="F25" s="233"/>
      <c r="H25" s="190">
        <v>6</v>
      </c>
      <c r="I25" s="191">
        <f>49535.95/10.9069</f>
        <v>4541.7075429315382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-228005.0354228481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90</v>
      </c>
      <c r="C26" s="193">
        <v>30</v>
      </c>
      <c r="D26" s="182">
        <f t="shared" si="2"/>
        <v>2700</v>
      </c>
      <c r="E26" s="193"/>
      <c r="F26" s="233"/>
      <c r="G26" s="229"/>
      <c r="H26" s="190">
        <v>10</v>
      </c>
      <c r="I26" s="191">
        <f>12362.5/10.9069</f>
        <v>1133.456802574517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72</v>
      </c>
      <c r="C27" s="193">
        <v>50</v>
      </c>
      <c r="D27" s="182">
        <f t="shared" si="2"/>
        <v>3600</v>
      </c>
      <c r="E27" s="193"/>
      <c r="F27" s="233"/>
      <c r="G27" s="229"/>
      <c r="H27" s="190">
        <v>11</v>
      </c>
      <c r="I27" s="191">
        <f>56645/10.9069</f>
        <v>5193.5013615234393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77</v>
      </c>
      <c r="C28" s="193">
        <v>50</v>
      </c>
      <c r="D28" s="182">
        <f t="shared" si="2"/>
        <v>3850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686</v>
      </c>
      <c r="C29" s="193">
        <v>50</v>
      </c>
      <c r="D29" s="182">
        <f t="shared" si="2"/>
        <v>34300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19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54</v>
      </c>
      <c r="C55" s="191">
        <v>10</v>
      </c>
      <c r="D55" s="179">
        <f t="shared" ref="D55:D73" si="4">B55*C55</f>
        <v>540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54</v>
      </c>
      <c r="C56" s="191">
        <v>30</v>
      </c>
      <c r="D56" s="179">
        <f t="shared" si="4"/>
        <v>1620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69</v>
      </c>
      <c r="C57" s="191">
        <v>30</v>
      </c>
      <c r="D57" s="179">
        <f t="shared" si="4"/>
        <v>2070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72</v>
      </c>
      <c r="C58" s="191">
        <v>50</v>
      </c>
      <c r="D58" s="179">
        <f t="shared" si="4"/>
        <v>3600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606</v>
      </c>
      <c r="C59" s="191">
        <v>50</v>
      </c>
      <c r="D59" s="179">
        <f t="shared" si="4"/>
        <v>30300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>
        <v>0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>
        <v>0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>
        <v>0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>
        <v>0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>
        <v>0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>
        <v>0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>
        <v>0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>
        <v>0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>
        <v>0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>
        <v>0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>
        <v>0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>
        <v>0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2023-08-16T14:50:19Z</dcterms:modified>
</cp:coreProperties>
</file>